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77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 xml:space="preserve">Nebraska Holdings </t>
        </is>
      </c>
      <c r="AD1" t="inlineStr">
        <is>
          <t>All Comparator Library Holdings - Same Edition</t>
        </is>
      </c>
      <c r="AE1" t="inlineStr">
        <is>
          <t xml:space="preserve">All Comparator Library Holdings </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QL1 .W54 no. 149</t>
        </is>
      </c>
      <c r="C2" t="inlineStr">
        <is>
          <t>0                      QL 0001000W  54                                                      no. 149</t>
        </is>
      </c>
      <c r="D2" t="inlineStr">
        <is>
          <t>Natal and breeding dispersal of northern spotted owls / by Eric D. Forsman ... [et al.]</t>
        </is>
      </c>
      <c r="E2" t="inlineStr">
        <is>
          <t>no. 149*</t>
        </is>
      </c>
      <c r="F2" t="inlineStr">
        <is>
          <t>No</t>
        </is>
      </c>
      <c r="G2" t="inlineStr">
        <is>
          <t>1</t>
        </is>
      </c>
      <c r="H2" t="inlineStr">
        <is>
          <t>No</t>
        </is>
      </c>
      <c r="I2" t="inlineStr">
        <is>
          <t>No</t>
        </is>
      </c>
      <c r="J2" t="inlineStr">
        <is>
          <t>0</t>
        </is>
      </c>
      <c r="L2" t="inlineStr">
        <is>
          <t>Bethesda, MD : Wildlife Society, c2002.</t>
        </is>
      </c>
      <c r="M2" t="inlineStr">
        <is>
          <t>2002</t>
        </is>
      </c>
      <c r="O2" t="inlineStr">
        <is>
          <t>eng</t>
        </is>
      </c>
      <c r="P2" t="inlineStr">
        <is>
          <t>mdu</t>
        </is>
      </c>
      <c r="Q2" t="inlineStr">
        <is>
          <t>Wildlife monographs, 0084-0173 ; no. 149</t>
        </is>
      </c>
      <c r="R2" t="inlineStr">
        <is>
          <t xml:space="preserve">QL </t>
        </is>
      </c>
      <c r="S2" t="n">
        <v>1</v>
      </c>
      <c r="T2" t="n">
        <v>1</v>
      </c>
      <c r="U2" t="inlineStr">
        <is>
          <t>2002-12-12</t>
        </is>
      </c>
      <c r="V2" t="inlineStr">
        <is>
          <t>2002-12-12</t>
        </is>
      </c>
      <c r="W2" t="inlineStr">
        <is>
          <t>2002-12-12</t>
        </is>
      </c>
      <c r="X2" t="inlineStr">
        <is>
          <t>2002-12-12</t>
        </is>
      </c>
      <c r="Y2" t="n">
        <v>195</v>
      </c>
      <c r="Z2" t="n">
        <v>157</v>
      </c>
      <c r="AA2" t="n">
        <v>160</v>
      </c>
      <c r="AB2" t="n">
        <v>3</v>
      </c>
      <c r="AC2" t="n">
        <v>3</v>
      </c>
      <c r="AD2" t="n">
        <v>5</v>
      </c>
      <c r="AE2" t="n">
        <v>5</v>
      </c>
      <c r="AF2" t="n">
        <v>3</v>
      </c>
      <c r="AG2" t="n">
        <v>3</v>
      </c>
      <c r="AH2" t="n">
        <v>0</v>
      </c>
      <c r="AI2" t="n">
        <v>0</v>
      </c>
      <c r="AJ2" t="n">
        <v>1</v>
      </c>
      <c r="AK2" t="n">
        <v>1</v>
      </c>
      <c r="AL2" t="n">
        <v>2</v>
      </c>
      <c r="AM2" t="n">
        <v>2</v>
      </c>
      <c r="AN2" t="n">
        <v>0</v>
      </c>
      <c r="AO2" t="n">
        <v>0</v>
      </c>
      <c r="AP2" t="inlineStr">
        <is>
          <t>No</t>
        </is>
      </c>
      <c r="AQ2" t="inlineStr">
        <is>
          <t>Yes</t>
        </is>
      </c>
      <c r="AR2">
        <f>HYPERLINK("http://catalog.hathitrust.org/Record/008744840","HathiTrust Record")</f>
        <v/>
      </c>
      <c r="AS2">
        <f>HYPERLINK("https://creighton-primo.hosted.exlibrisgroup.com/primo-explore/search?tab=default_tab&amp;search_scope=EVERYTHING&amp;vid=01CRU&amp;lang=en_US&amp;offset=0&amp;query=any,contains,991003961719702656","Catalog Record")</f>
        <v/>
      </c>
      <c r="AT2">
        <f>HYPERLINK("http://www.worldcat.org/oclc/51206815","WorldCat Record")</f>
        <v/>
      </c>
      <c r="AU2" t="inlineStr">
        <is>
          <t>369560148:eng</t>
        </is>
      </c>
      <c r="AV2" t="inlineStr">
        <is>
          <t>51206815</t>
        </is>
      </c>
      <c r="AW2" t="inlineStr">
        <is>
          <t>991003961719702656</t>
        </is>
      </c>
      <c r="AX2" t="inlineStr">
        <is>
          <t>991003961719702656</t>
        </is>
      </c>
      <c r="AY2" t="inlineStr">
        <is>
          <t>2271464710002656</t>
        </is>
      </c>
      <c r="AZ2" t="inlineStr">
        <is>
          <t>BOOK</t>
        </is>
      </c>
      <c r="BC2" t="inlineStr">
        <is>
          <t>32285004690912</t>
        </is>
      </c>
      <c r="BD2" t="inlineStr">
        <is>
          <t>893423214</t>
        </is>
      </c>
    </row>
    <row r="3">
      <c r="A3" t="inlineStr">
        <is>
          <t>No</t>
        </is>
      </c>
      <c r="B3" t="inlineStr">
        <is>
          <t>QL1 .W54 no. 150</t>
        </is>
      </c>
      <c r="C3" t="inlineStr">
        <is>
          <t>0                      QL 0001000W  54                                                      no. 150</t>
        </is>
      </c>
      <c r="D3" t="inlineStr">
        <is>
          <t>Identification and synthetic modeling of factors affecting American black duck populatiions / by Michael J. Conroy, Mark W. Miller, and James E. Hines.</t>
        </is>
      </c>
      <c r="E3" t="inlineStr">
        <is>
          <t>no. 150*</t>
        </is>
      </c>
      <c r="F3" t="inlineStr">
        <is>
          <t>No</t>
        </is>
      </c>
      <c r="G3" t="inlineStr">
        <is>
          <t>1</t>
        </is>
      </c>
      <c r="H3" t="inlineStr">
        <is>
          <t>No</t>
        </is>
      </c>
      <c r="I3" t="inlineStr">
        <is>
          <t>No</t>
        </is>
      </c>
      <c r="J3" t="inlineStr">
        <is>
          <t>0</t>
        </is>
      </c>
      <c r="L3" t="inlineStr">
        <is>
          <t>Bethesda, MD : Wildlife Society, c2002.</t>
        </is>
      </c>
      <c r="M3" t="inlineStr">
        <is>
          <t>2002</t>
        </is>
      </c>
      <c r="O3" t="inlineStr">
        <is>
          <t>eng</t>
        </is>
      </c>
      <c r="P3" t="inlineStr">
        <is>
          <t>mdu</t>
        </is>
      </c>
      <c r="Q3" t="inlineStr">
        <is>
          <t>Wildlife monographs, 0084-0173 ; no. 150</t>
        </is>
      </c>
      <c r="R3" t="inlineStr">
        <is>
          <t xml:space="preserve">QL </t>
        </is>
      </c>
      <c r="S3" t="n">
        <v>1</v>
      </c>
      <c r="T3" t="n">
        <v>1</v>
      </c>
      <c r="U3" t="inlineStr">
        <is>
          <t>2002-12-12</t>
        </is>
      </c>
      <c r="V3" t="inlineStr">
        <is>
          <t>2002-12-12</t>
        </is>
      </c>
      <c r="W3" t="inlineStr">
        <is>
          <t>2002-12-12</t>
        </is>
      </c>
      <c r="X3" t="inlineStr">
        <is>
          <t>2002-12-12</t>
        </is>
      </c>
      <c r="Y3" t="n">
        <v>186</v>
      </c>
      <c r="Z3" t="n">
        <v>150</v>
      </c>
      <c r="AA3" t="n">
        <v>156</v>
      </c>
      <c r="AB3" t="n">
        <v>3</v>
      </c>
      <c r="AC3" t="n">
        <v>3</v>
      </c>
      <c r="AD3" t="n">
        <v>5</v>
      </c>
      <c r="AE3" t="n">
        <v>5</v>
      </c>
      <c r="AF3" t="n">
        <v>3</v>
      </c>
      <c r="AG3" t="n">
        <v>3</v>
      </c>
      <c r="AH3" t="n">
        <v>0</v>
      </c>
      <c r="AI3" t="n">
        <v>0</v>
      </c>
      <c r="AJ3" t="n">
        <v>1</v>
      </c>
      <c r="AK3" t="n">
        <v>1</v>
      </c>
      <c r="AL3" t="n">
        <v>2</v>
      </c>
      <c r="AM3" t="n">
        <v>2</v>
      </c>
      <c r="AN3" t="n">
        <v>0</v>
      </c>
      <c r="AO3" t="n">
        <v>0</v>
      </c>
      <c r="AP3" t="inlineStr">
        <is>
          <t>No</t>
        </is>
      </c>
      <c r="AQ3" t="inlineStr">
        <is>
          <t>Yes</t>
        </is>
      </c>
      <c r="AR3">
        <f>HYPERLINK("http://catalog.hathitrust.org/Record/008744841","HathiTrust Record")</f>
        <v/>
      </c>
      <c r="AS3">
        <f>HYPERLINK("https://creighton-primo.hosted.exlibrisgroup.com/primo-explore/search?tab=default_tab&amp;search_scope=EVERYTHING&amp;vid=01CRU&amp;lang=en_US&amp;offset=0&amp;query=any,contains,991003961689702656","Catalog Record")</f>
        <v/>
      </c>
      <c r="AT3">
        <f>HYPERLINK("http://www.worldcat.org/oclc/51206863","WorldCat Record")</f>
        <v/>
      </c>
      <c r="AU3" t="inlineStr">
        <is>
          <t>7069479:eng</t>
        </is>
      </c>
      <c r="AV3" t="inlineStr">
        <is>
          <t>51206863</t>
        </is>
      </c>
      <c r="AW3" t="inlineStr">
        <is>
          <t>991003961689702656</t>
        </is>
      </c>
      <c r="AX3" t="inlineStr">
        <is>
          <t>991003961689702656</t>
        </is>
      </c>
      <c r="AY3" t="inlineStr">
        <is>
          <t>2271469730002656</t>
        </is>
      </c>
      <c r="AZ3" t="inlineStr">
        <is>
          <t>BOOK</t>
        </is>
      </c>
      <c r="BC3" t="inlineStr">
        <is>
          <t>32285004690920</t>
        </is>
      </c>
      <c r="BD3" t="inlineStr">
        <is>
          <t>893525474</t>
        </is>
      </c>
    </row>
    <row r="4">
      <c r="A4" t="inlineStr">
        <is>
          <t>No</t>
        </is>
      </c>
      <c r="B4" t="inlineStr">
        <is>
          <t>QL1 .W54 no. 152</t>
        </is>
      </c>
      <c r="C4" t="inlineStr">
        <is>
          <t>0                      QL 0001000W  54                                                      no. 152</t>
        </is>
      </c>
      <c r="D4" t="inlineStr">
        <is>
          <t>Experimental reduction of wolves in the Yukon : ungulate responses and management implications / by Robert D. Hayes ... [et al.].</t>
        </is>
      </c>
      <c r="E4" t="inlineStr">
        <is>
          <t>no. 152*</t>
        </is>
      </c>
      <c r="F4" t="inlineStr">
        <is>
          <t>No</t>
        </is>
      </c>
      <c r="G4" t="inlineStr">
        <is>
          <t>1</t>
        </is>
      </c>
      <c r="H4" t="inlineStr">
        <is>
          <t>No</t>
        </is>
      </c>
      <c r="I4" t="inlineStr">
        <is>
          <t>No</t>
        </is>
      </c>
      <c r="J4" t="inlineStr">
        <is>
          <t>0</t>
        </is>
      </c>
      <c r="L4" t="inlineStr">
        <is>
          <t>[Bethesda, Md.] : Wildlife Society, c2003.</t>
        </is>
      </c>
      <c r="M4" t="inlineStr">
        <is>
          <t>2003</t>
        </is>
      </c>
      <c r="O4" t="inlineStr">
        <is>
          <t>eng</t>
        </is>
      </c>
      <c r="P4" t="inlineStr">
        <is>
          <t>mdu</t>
        </is>
      </c>
      <c r="Q4" t="inlineStr">
        <is>
          <t>Wildlife monographs, 0084-0173 ; no. 152</t>
        </is>
      </c>
      <c r="R4" t="inlineStr">
        <is>
          <t xml:space="preserve">QL </t>
        </is>
      </c>
      <c r="S4" t="n">
        <v>1</v>
      </c>
      <c r="T4" t="n">
        <v>1</v>
      </c>
      <c r="U4" t="inlineStr">
        <is>
          <t>2003-08-28</t>
        </is>
      </c>
      <c r="V4" t="inlineStr">
        <is>
          <t>2003-08-28</t>
        </is>
      </c>
      <c r="W4" t="inlineStr">
        <is>
          <t>2003-08-28</t>
        </is>
      </c>
      <c r="X4" t="inlineStr">
        <is>
          <t>2003-08-28</t>
        </is>
      </c>
      <c r="Y4" t="n">
        <v>189</v>
      </c>
      <c r="Z4" t="n">
        <v>151</v>
      </c>
      <c r="AA4" t="n">
        <v>154</v>
      </c>
      <c r="AB4" t="n">
        <v>2</v>
      </c>
      <c r="AC4" t="n">
        <v>2</v>
      </c>
      <c r="AD4" t="n">
        <v>5</v>
      </c>
      <c r="AE4" t="n">
        <v>5</v>
      </c>
      <c r="AF4" t="n">
        <v>4</v>
      </c>
      <c r="AG4" t="n">
        <v>4</v>
      </c>
      <c r="AH4" t="n">
        <v>0</v>
      </c>
      <c r="AI4" t="n">
        <v>0</v>
      </c>
      <c r="AJ4" t="n">
        <v>1</v>
      </c>
      <c r="AK4" t="n">
        <v>1</v>
      </c>
      <c r="AL4" t="n">
        <v>1</v>
      </c>
      <c r="AM4" t="n">
        <v>1</v>
      </c>
      <c r="AN4" t="n">
        <v>0</v>
      </c>
      <c r="AO4" t="n">
        <v>0</v>
      </c>
      <c r="AP4" t="inlineStr">
        <is>
          <t>No</t>
        </is>
      </c>
      <c r="AQ4" t="inlineStr">
        <is>
          <t>Yes</t>
        </is>
      </c>
      <c r="AR4">
        <f>HYPERLINK("http://catalog.hathitrust.org/Record/003886606","HathiTrust Record")</f>
        <v/>
      </c>
      <c r="AS4">
        <f>HYPERLINK("https://creighton-primo.hosted.exlibrisgroup.com/primo-explore/search?tab=default_tab&amp;search_scope=EVERYTHING&amp;vid=01CRU&amp;lang=en_US&amp;offset=0&amp;query=any,contains,991004110249702656","Catalog Record")</f>
        <v/>
      </c>
      <c r="AT4">
        <f>HYPERLINK("http://www.worldcat.org/oclc/52824830","WorldCat Record")</f>
        <v/>
      </c>
      <c r="AU4" t="inlineStr">
        <is>
          <t>909649042:eng</t>
        </is>
      </c>
      <c r="AV4" t="inlineStr">
        <is>
          <t>52824830</t>
        </is>
      </c>
      <c r="AW4" t="inlineStr">
        <is>
          <t>991004110249702656</t>
        </is>
      </c>
      <c r="AX4" t="inlineStr">
        <is>
          <t>991004110249702656</t>
        </is>
      </c>
      <c r="AY4" t="inlineStr">
        <is>
          <t>2270810270002656</t>
        </is>
      </c>
      <c r="AZ4" t="inlineStr">
        <is>
          <t>BOOK</t>
        </is>
      </c>
      <c r="BC4" t="inlineStr">
        <is>
          <t>32285004757836</t>
        </is>
      </c>
      <c r="BD4" t="inlineStr">
        <is>
          <t>893423394</t>
        </is>
      </c>
    </row>
    <row r="5">
      <c r="A5" t="inlineStr">
        <is>
          <t>No</t>
        </is>
      </c>
      <c r="B5" t="inlineStr">
        <is>
          <t>QL1 .W54 no. 153</t>
        </is>
      </c>
      <c r="C5" t="inlineStr">
        <is>
          <t>0                      QL 0001000W  54                                                      no. 153</t>
        </is>
      </c>
      <c r="D5" t="inlineStr">
        <is>
          <t>Effects of the Exxon Valdez oil spill on river otters : injury and recovery of a sentinel species / by R. Terry Bowyer ... [et al.].</t>
        </is>
      </c>
      <c r="E5" t="inlineStr">
        <is>
          <t>no. 153*</t>
        </is>
      </c>
      <c r="F5" t="inlineStr">
        <is>
          <t>No</t>
        </is>
      </c>
      <c r="G5" t="inlineStr">
        <is>
          <t>1</t>
        </is>
      </c>
      <c r="H5" t="inlineStr">
        <is>
          <t>No</t>
        </is>
      </c>
      <c r="I5" t="inlineStr">
        <is>
          <t>No</t>
        </is>
      </c>
      <c r="J5" t="inlineStr">
        <is>
          <t>0</t>
        </is>
      </c>
      <c r="L5" t="inlineStr">
        <is>
          <t>[Bethesda, Md.] : Wildlife Society, c2003.</t>
        </is>
      </c>
      <c r="M5" t="inlineStr">
        <is>
          <t>2003</t>
        </is>
      </c>
      <c r="O5" t="inlineStr">
        <is>
          <t>eng</t>
        </is>
      </c>
      <c r="P5" t="inlineStr">
        <is>
          <t>mdu</t>
        </is>
      </c>
      <c r="Q5" t="inlineStr">
        <is>
          <t>Wildlife monographs, 0084-0173 ; no. 153</t>
        </is>
      </c>
      <c r="R5" t="inlineStr">
        <is>
          <t xml:space="preserve">QL </t>
        </is>
      </c>
      <c r="S5" t="n">
        <v>1</v>
      </c>
      <c r="T5" t="n">
        <v>1</v>
      </c>
      <c r="U5" t="inlineStr">
        <is>
          <t>2003-08-28</t>
        </is>
      </c>
      <c r="V5" t="inlineStr">
        <is>
          <t>2003-08-28</t>
        </is>
      </c>
      <c r="W5" t="inlineStr">
        <is>
          <t>2003-08-28</t>
        </is>
      </c>
      <c r="X5" t="inlineStr">
        <is>
          <t>2003-08-28</t>
        </is>
      </c>
      <c r="Y5" t="n">
        <v>194</v>
      </c>
      <c r="Z5" t="n">
        <v>155</v>
      </c>
      <c r="AA5" t="n">
        <v>158</v>
      </c>
      <c r="AB5" t="n">
        <v>3</v>
      </c>
      <c r="AC5" t="n">
        <v>3</v>
      </c>
      <c r="AD5" t="n">
        <v>6</v>
      </c>
      <c r="AE5" t="n">
        <v>6</v>
      </c>
      <c r="AF5" t="n">
        <v>4</v>
      </c>
      <c r="AG5" t="n">
        <v>4</v>
      </c>
      <c r="AH5" t="n">
        <v>0</v>
      </c>
      <c r="AI5" t="n">
        <v>0</v>
      </c>
      <c r="AJ5" t="n">
        <v>1</v>
      </c>
      <c r="AK5" t="n">
        <v>1</v>
      </c>
      <c r="AL5" t="n">
        <v>2</v>
      </c>
      <c r="AM5" t="n">
        <v>2</v>
      </c>
      <c r="AN5" t="n">
        <v>0</v>
      </c>
      <c r="AO5" t="n">
        <v>0</v>
      </c>
      <c r="AP5" t="inlineStr">
        <is>
          <t>No</t>
        </is>
      </c>
      <c r="AQ5" t="inlineStr">
        <is>
          <t>Yes</t>
        </is>
      </c>
      <c r="AR5">
        <f>HYPERLINK("http://catalog.hathitrust.org/Record/003886605","HathiTrust Record")</f>
        <v/>
      </c>
      <c r="AS5">
        <f>HYPERLINK("https://creighton-primo.hosted.exlibrisgroup.com/primo-explore/search?tab=default_tab&amp;search_scope=EVERYTHING&amp;vid=01CRU&amp;lang=en_US&amp;offset=0&amp;query=any,contains,991004110189702656","Catalog Record")</f>
        <v/>
      </c>
      <c r="AT5">
        <f>HYPERLINK("http://www.worldcat.org/oclc/52824544","WorldCat Record")</f>
        <v/>
      </c>
      <c r="AU5" t="inlineStr">
        <is>
          <t>909543102:eng</t>
        </is>
      </c>
      <c r="AV5" t="inlineStr">
        <is>
          <t>52824544</t>
        </is>
      </c>
      <c r="AW5" t="inlineStr">
        <is>
          <t>991004110189702656</t>
        </is>
      </c>
      <c r="AX5" t="inlineStr">
        <is>
          <t>991004110189702656</t>
        </is>
      </c>
      <c r="AY5" t="inlineStr">
        <is>
          <t>2270792440002656</t>
        </is>
      </c>
      <c r="AZ5" t="inlineStr">
        <is>
          <t>BOOK</t>
        </is>
      </c>
      <c r="BC5" t="inlineStr">
        <is>
          <t>32285004757844</t>
        </is>
      </c>
      <c r="BD5" t="inlineStr">
        <is>
          <t>893624348</t>
        </is>
      </c>
    </row>
    <row r="6">
      <c r="A6" t="inlineStr">
        <is>
          <t>No</t>
        </is>
      </c>
      <c r="B6" t="inlineStr">
        <is>
          <t>QL1 .W54 no. 154</t>
        </is>
      </c>
      <c r="C6" t="inlineStr">
        <is>
          <t>0                      QL 0001000W  54                                                      no. 154</t>
        </is>
      </c>
      <c r="D6" t="inlineStr">
        <is>
          <t>Spatially explicit influences on northern goshawk nesting habitat in the interior Pacific Northwest / by Michael T. McGrath ... [et al.].</t>
        </is>
      </c>
      <c r="E6" t="inlineStr">
        <is>
          <t>no. 154*</t>
        </is>
      </c>
      <c r="F6" t="inlineStr">
        <is>
          <t>No</t>
        </is>
      </c>
      <c r="G6" t="inlineStr">
        <is>
          <t>1</t>
        </is>
      </c>
      <c r="H6" t="inlineStr">
        <is>
          <t>No</t>
        </is>
      </c>
      <c r="I6" t="inlineStr">
        <is>
          <t>No</t>
        </is>
      </c>
      <c r="J6" t="inlineStr">
        <is>
          <t>0</t>
        </is>
      </c>
      <c r="L6" t="inlineStr">
        <is>
          <t>[Bethesda, Md.] : Wildlife Society, c2003.</t>
        </is>
      </c>
      <c r="M6" t="inlineStr">
        <is>
          <t>2003</t>
        </is>
      </c>
      <c r="O6" t="inlineStr">
        <is>
          <t>eng</t>
        </is>
      </c>
      <c r="P6" t="inlineStr">
        <is>
          <t>mdu</t>
        </is>
      </c>
      <c r="Q6" t="inlineStr">
        <is>
          <t>Wildlife monographs, 0084-0173 ; no. 154</t>
        </is>
      </c>
      <c r="R6" t="inlineStr">
        <is>
          <t xml:space="preserve">QL </t>
        </is>
      </c>
      <c r="S6" t="n">
        <v>1</v>
      </c>
      <c r="T6" t="n">
        <v>1</v>
      </c>
      <c r="U6" t="inlineStr">
        <is>
          <t>2003-11-13</t>
        </is>
      </c>
      <c r="V6" t="inlineStr">
        <is>
          <t>2003-11-13</t>
        </is>
      </c>
      <c r="W6" t="inlineStr">
        <is>
          <t>2003-11-13</t>
        </is>
      </c>
      <c r="X6" t="inlineStr">
        <is>
          <t>2003-11-13</t>
        </is>
      </c>
      <c r="Y6" t="n">
        <v>191</v>
      </c>
      <c r="Z6" t="n">
        <v>154</v>
      </c>
      <c r="AA6" t="n">
        <v>157</v>
      </c>
      <c r="AB6" t="n">
        <v>3</v>
      </c>
      <c r="AC6" t="n">
        <v>3</v>
      </c>
      <c r="AD6" t="n">
        <v>6</v>
      </c>
      <c r="AE6" t="n">
        <v>6</v>
      </c>
      <c r="AF6" t="n">
        <v>4</v>
      </c>
      <c r="AG6" t="n">
        <v>4</v>
      </c>
      <c r="AH6" t="n">
        <v>0</v>
      </c>
      <c r="AI6" t="n">
        <v>0</v>
      </c>
      <c r="AJ6" t="n">
        <v>2</v>
      </c>
      <c r="AK6" t="n">
        <v>2</v>
      </c>
      <c r="AL6" t="n">
        <v>2</v>
      </c>
      <c r="AM6" t="n">
        <v>2</v>
      </c>
      <c r="AN6" t="n">
        <v>0</v>
      </c>
      <c r="AO6" t="n">
        <v>0</v>
      </c>
      <c r="AP6" t="inlineStr">
        <is>
          <t>No</t>
        </is>
      </c>
      <c r="AQ6" t="inlineStr">
        <is>
          <t>Yes</t>
        </is>
      </c>
      <c r="AR6">
        <f>HYPERLINK("http://catalog.hathitrust.org/Record/003874698","HathiTrust Record")</f>
        <v/>
      </c>
      <c r="AS6">
        <f>HYPERLINK("https://creighton-primo.hosted.exlibrisgroup.com/primo-explore/search?tab=default_tab&amp;search_scope=EVERYTHING&amp;vid=01CRU&amp;lang=en_US&amp;offset=0&amp;query=any,contains,991004182189702656","Catalog Record")</f>
        <v/>
      </c>
      <c r="AT6">
        <f>HYPERLINK("http://www.worldcat.org/oclc/53326507","WorldCat Record")</f>
        <v/>
      </c>
      <c r="AU6" t="inlineStr">
        <is>
          <t>11415454:eng</t>
        </is>
      </c>
      <c r="AV6" t="inlineStr">
        <is>
          <t>53326507</t>
        </is>
      </c>
      <c r="AW6" t="inlineStr">
        <is>
          <t>991004182189702656</t>
        </is>
      </c>
      <c r="AX6" t="inlineStr">
        <is>
          <t>991004182189702656</t>
        </is>
      </c>
      <c r="AY6" t="inlineStr">
        <is>
          <t>2269144740002656</t>
        </is>
      </c>
      <c r="AZ6" t="inlineStr">
        <is>
          <t>BOOK</t>
        </is>
      </c>
      <c r="BC6" t="inlineStr">
        <is>
          <t>32285004797519</t>
        </is>
      </c>
      <c r="BD6" t="inlineStr">
        <is>
          <t>893318895</t>
        </is>
      </c>
    </row>
    <row r="7">
      <c r="A7" t="inlineStr">
        <is>
          <t>No</t>
        </is>
      </c>
      <c r="B7" t="inlineStr">
        <is>
          <t>QL1 .W54 no. 156</t>
        </is>
      </c>
      <c r="C7" t="inlineStr">
        <is>
          <t>0                      QL 0001000W  54                                                      no. 156</t>
        </is>
      </c>
      <c r="D7" t="inlineStr">
        <is>
          <t>Survival, movements, and harvest of eastern prairie population Canada geese / by Susan E. Sheaffer ... [et al.].</t>
        </is>
      </c>
      <c r="E7" t="inlineStr">
        <is>
          <t>no. 156*</t>
        </is>
      </c>
      <c r="F7" t="inlineStr">
        <is>
          <t>No</t>
        </is>
      </c>
      <c r="G7" t="inlineStr">
        <is>
          <t>1</t>
        </is>
      </c>
      <c r="H7" t="inlineStr">
        <is>
          <t>No</t>
        </is>
      </c>
      <c r="I7" t="inlineStr">
        <is>
          <t>No</t>
        </is>
      </c>
      <c r="J7" t="inlineStr">
        <is>
          <t>0</t>
        </is>
      </c>
      <c r="L7" t="inlineStr">
        <is>
          <t>[Bethesda, Md.] : Wildlife Society, c2004.</t>
        </is>
      </c>
      <c r="M7" t="inlineStr">
        <is>
          <t>2004</t>
        </is>
      </c>
      <c r="O7" t="inlineStr">
        <is>
          <t>eng</t>
        </is>
      </c>
      <c r="P7" t="inlineStr">
        <is>
          <t>mdu</t>
        </is>
      </c>
      <c r="Q7" t="inlineStr">
        <is>
          <t>Wildlife monographs, 0084-0173 ; no. 156</t>
        </is>
      </c>
      <c r="R7" t="inlineStr">
        <is>
          <t xml:space="preserve">QL </t>
        </is>
      </c>
      <c r="S7" t="n">
        <v>1</v>
      </c>
      <c r="T7" t="n">
        <v>1</v>
      </c>
      <c r="U7" t="inlineStr">
        <is>
          <t>2004-06-23</t>
        </is>
      </c>
      <c r="V7" t="inlineStr">
        <is>
          <t>2004-06-23</t>
        </is>
      </c>
      <c r="W7" t="inlineStr">
        <is>
          <t>2004-06-23</t>
        </is>
      </c>
      <c r="X7" t="inlineStr">
        <is>
          <t>2004-06-23</t>
        </is>
      </c>
      <c r="Y7" t="n">
        <v>181</v>
      </c>
      <c r="Z7" t="n">
        <v>146</v>
      </c>
      <c r="AA7" t="n">
        <v>148</v>
      </c>
      <c r="AB7" t="n">
        <v>3</v>
      </c>
      <c r="AC7" t="n">
        <v>3</v>
      </c>
      <c r="AD7" t="n">
        <v>6</v>
      </c>
      <c r="AE7" t="n">
        <v>6</v>
      </c>
      <c r="AF7" t="n">
        <v>4</v>
      </c>
      <c r="AG7" t="n">
        <v>4</v>
      </c>
      <c r="AH7" t="n">
        <v>0</v>
      </c>
      <c r="AI7" t="n">
        <v>0</v>
      </c>
      <c r="AJ7" t="n">
        <v>2</v>
      </c>
      <c r="AK7" t="n">
        <v>2</v>
      </c>
      <c r="AL7" t="n">
        <v>2</v>
      </c>
      <c r="AM7" t="n">
        <v>2</v>
      </c>
      <c r="AN7" t="n">
        <v>0</v>
      </c>
      <c r="AO7" t="n">
        <v>0</v>
      </c>
      <c r="AP7" t="inlineStr">
        <is>
          <t>No</t>
        </is>
      </c>
      <c r="AQ7" t="inlineStr">
        <is>
          <t>Yes</t>
        </is>
      </c>
      <c r="AR7">
        <f>HYPERLINK("http://catalog.hathitrust.org/Record/005116461","HathiTrust Record")</f>
        <v/>
      </c>
      <c r="AS7">
        <f>HYPERLINK("https://creighton-primo.hosted.exlibrisgroup.com/primo-explore/search?tab=default_tab&amp;search_scope=EVERYTHING&amp;vid=01CRU&amp;lang=en_US&amp;offset=0&amp;query=any,contains,991004314489702656","Catalog Record")</f>
        <v/>
      </c>
      <c r="AT7">
        <f>HYPERLINK("http://www.worldcat.org/oclc/55057627","WorldCat Record")</f>
        <v/>
      </c>
      <c r="AU7" t="inlineStr">
        <is>
          <t>13729261:eng</t>
        </is>
      </c>
      <c r="AV7" t="inlineStr">
        <is>
          <t>55057627</t>
        </is>
      </c>
      <c r="AW7" t="inlineStr">
        <is>
          <t>991004314489702656</t>
        </is>
      </c>
      <c r="AX7" t="inlineStr">
        <is>
          <t>991004314489702656</t>
        </is>
      </c>
      <c r="AY7" t="inlineStr">
        <is>
          <t>2266188890002656</t>
        </is>
      </c>
      <c r="AZ7" t="inlineStr">
        <is>
          <t>BOOK</t>
        </is>
      </c>
      <c r="BC7" t="inlineStr">
        <is>
          <t>32285004920483</t>
        </is>
      </c>
      <c r="BD7" t="inlineStr">
        <is>
          <t>893700085</t>
        </is>
      </c>
    </row>
    <row r="8">
      <c r="A8" t="inlineStr">
        <is>
          <t>No</t>
        </is>
      </c>
      <c r="B8" t="inlineStr">
        <is>
          <t>QL1 .W54 no. 159</t>
        </is>
      </c>
      <c r="C8" t="inlineStr">
        <is>
          <t>0                      QL 0001000W  54                                                      no. 159</t>
        </is>
      </c>
      <c r="D8" t="inlineStr">
        <is>
          <t>Aspects of the thermal ecology of bobwhites in north Texas / by Fred S. Guthery ... [et al.]</t>
        </is>
      </c>
      <c r="E8" t="inlineStr">
        <is>
          <t>no. 159*</t>
        </is>
      </c>
      <c r="F8" t="inlineStr">
        <is>
          <t>No</t>
        </is>
      </c>
      <c r="G8" t="inlineStr">
        <is>
          <t>1</t>
        </is>
      </c>
      <c r="H8" t="inlineStr">
        <is>
          <t>No</t>
        </is>
      </c>
      <c r="I8" t="inlineStr">
        <is>
          <t>No</t>
        </is>
      </c>
      <c r="J8" t="inlineStr">
        <is>
          <t>0</t>
        </is>
      </c>
      <c r="L8" t="inlineStr">
        <is>
          <t>[Washington, DC] : Wildlife Society, c2005.</t>
        </is>
      </c>
      <c r="M8" t="inlineStr">
        <is>
          <t>2005</t>
        </is>
      </c>
      <c r="O8" t="inlineStr">
        <is>
          <t>eng</t>
        </is>
      </c>
      <c r="P8" t="inlineStr">
        <is>
          <t>dcu</t>
        </is>
      </c>
      <c r="Q8" t="inlineStr">
        <is>
          <t>Wildlife monographs ; no. 159</t>
        </is>
      </c>
      <c r="R8" t="inlineStr">
        <is>
          <t xml:space="preserve">QL </t>
        </is>
      </c>
      <c r="S8" t="n">
        <v>1</v>
      </c>
      <c r="T8" t="n">
        <v>1</v>
      </c>
      <c r="U8" t="inlineStr">
        <is>
          <t>2005-08-24</t>
        </is>
      </c>
      <c r="V8" t="inlineStr">
        <is>
          <t>2005-08-24</t>
        </is>
      </c>
      <c r="W8" t="inlineStr">
        <is>
          <t>2005-08-24</t>
        </is>
      </c>
      <c r="X8" t="inlineStr">
        <is>
          <t>2005-08-24</t>
        </is>
      </c>
      <c r="Y8" t="n">
        <v>186</v>
      </c>
      <c r="Z8" t="n">
        <v>145</v>
      </c>
      <c r="AA8" t="n">
        <v>148</v>
      </c>
      <c r="AB8" t="n">
        <v>3</v>
      </c>
      <c r="AC8" t="n">
        <v>3</v>
      </c>
      <c r="AD8" t="n">
        <v>7</v>
      </c>
      <c r="AE8" t="n">
        <v>7</v>
      </c>
      <c r="AF8" t="n">
        <v>4</v>
      </c>
      <c r="AG8" t="n">
        <v>4</v>
      </c>
      <c r="AH8" t="n">
        <v>1</v>
      </c>
      <c r="AI8" t="n">
        <v>1</v>
      </c>
      <c r="AJ8" t="n">
        <v>3</v>
      </c>
      <c r="AK8" t="n">
        <v>3</v>
      </c>
      <c r="AL8" t="n">
        <v>2</v>
      </c>
      <c r="AM8" t="n">
        <v>2</v>
      </c>
      <c r="AN8" t="n">
        <v>0</v>
      </c>
      <c r="AO8" t="n">
        <v>0</v>
      </c>
      <c r="AP8" t="inlineStr">
        <is>
          <t>No</t>
        </is>
      </c>
      <c r="AQ8" t="inlineStr">
        <is>
          <t>Yes</t>
        </is>
      </c>
      <c r="AR8">
        <f>HYPERLINK("http://catalog.hathitrust.org/Record/008744842","HathiTrust Record")</f>
        <v/>
      </c>
      <c r="AS8">
        <f>HYPERLINK("https://creighton-primo.hosted.exlibrisgroup.com/primo-explore/search?tab=default_tab&amp;search_scope=EVERYTHING&amp;vid=01CRU&amp;lang=en_US&amp;offset=0&amp;query=any,contains,991004633379702656","Catalog Record")</f>
        <v/>
      </c>
      <c r="AT8">
        <f>HYPERLINK("http://www.worldcat.org/oclc/61271786","WorldCat Record")</f>
        <v/>
      </c>
      <c r="AU8" t="inlineStr">
        <is>
          <t>6264721:eng</t>
        </is>
      </c>
      <c r="AV8" t="inlineStr">
        <is>
          <t>61271786</t>
        </is>
      </c>
      <c r="AW8" t="inlineStr">
        <is>
          <t>991004633379702656</t>
        </is>
      </c>
      <c r="AX8" t="inlineStr">
        <is>
          <t>991004633379702656</t>
        </is>
      </c>
      <c r="AY8" t="inlineStr">
        <is>
          <t>2268198100002656</t>
        </is>
      </c>
      <c r="AZ8" t="inlineStr">
        <is>
          <t>BOOK</t>
        </is>
      </c>
      <c r="BC8" t="inlineStr">
        <is>
          <t>32285005081657</t>
        </is>
      </c>
      <c r="BD8" t="inlineStr">
        <is>
          <t>893526336</t>
        </is>
      </c>
    </row>
    <row r="9">
      <c r="A9" t="inlineStr">
        <is>
          <t>No</t>
        </is>
      </c>
      <c r="B9" t="inlineStr">
        <is>
          <t>QL1 .W54 no. 160</t>
        </is>
      </c>
      <c r="C9" t="inlineStr">
        <is>
          <t>0                      QL 0001000W  54                                                      no. 160</t>
        </is>
      </c>
      <c r="D9" t="inlineStr">
        <is>
          <t>Cumulative effects of human developments on arctic wildlife / by Chris J. Johnson ... [et. al.].</t>
        </is>
      </c>
      <c r="E9" t="inlineStr">
        <is>
          <t>no. 160*</t>
        </is>
      </c>
      <c r="F9" t="inlineStr">
        <is>
          <t>No</t>
        </is>
      </c>
      <c r="G9" t="inlineStr">
        <is>
          <t>1</t>
        </is>
      </c>
      <c r="H9" t="inlineStr">
        <is>
          <t>No</t>
        </is>
      </c>
      <c r="I9" t="inlineStr">
        <is>
          <t>No</t>
        </is>
      </c>
      <c r="J9" t="inlineStr">
        <is>
          <t>0</t>
        </is>
      </c>
      <c r="L9" t="inlineStr">
        <is>
          <t>[Washington, D.C. ] : Wildlife Society, [2005]</t>
        </is>
      </c>
      <c r="M9" t="inlineStr">
        <is>
          <t>2005</t>
        </is>
      </c>
      <c r="O9" t="inlineStr">
        <is>
          <t>eng</t>
        </is>
      </c>
      <c r="P9" t="inlineStr">
        <is>
          <t>dcu</t>
        </is>
      </c>
      <c r="Q9" t="inlineStr">
        <is>
          <t>Wildlife monographs ; no. 160</t>
        </is>
      </c>
      <c r="R9" t="inlineStr">
        <is>
          <t xml:space="preserve">QL </t>
        </is>
      </c>
      <c r="S9" t="n">
        <v>1</v>
      </c>
      <c r="T9" t="n">
        <v>1</v>
      </c>
      <c r="U9" t="inlineStr">
        <is>
          <t>2005-12-01</t>
        </is>
      </c>
      <c r="V9" t="inlineStr">
        <is>
          <t>2005-12-01</t>
        </is>
      </c>
      <c r="W9" t="inlineStr">
        <is>
          <t>2005-12-01</t>
        </is>
      </c>
      <c r="X9" t="inlineStr">
        <is>
          <t>2005-12-01</t>
        </is>
      </c>
      <c r="Y9" t="n">
        <v>184</v>
      </c>
      <c r="Z9" t="n">
        <v>146</v>
      </c>
      <c r="AA9" t="n">
        <v>149</v>
      </c>
      <c r="AB9" t="n">
        <v>2</v>
      </c>
      <c r="AC9" t="n">
        <v>2</v>
      </c>
      <c r="AD9" t="n">
        <v>7</v>
      </c>
      <c r="AE9" t="n">
        <v>7</v>
      </c>
      <c r="AF9" t="n">
        <v>5</v>
      </c>
      <c r="AG9" t="n">
        <v>5</v>
      </c>
      <c r="AH9" t="n">
        <v>1</v>
      </c>
      <c r="AI9" t="n">
        <v>1</v>
      </c>
      <c r="AJ9" t="n">
        <v>3</v>
      </c>
      <c r="AK9" t="n">
        <v>3</v>
      </c>
      <c r="AL9" t="n">
        <v>1</v>
      </c>
      <c r="AM9" t="n">
        <v>1</v>
      </c>
      <c r="AN9" t="n">
        <v>0</v>
      </c>
      <c r="AO9" t="n">
        <v>0</v>
      </c>
      <c r="AP9" t="inlineStr">
        <is>
          <t>No</t>
        </is>
      </c>
      <c r="AQ9" t="inlineStr">
        <is>
          <t>Yes</t>
        </is>
      </c>
      <c r="AR9">
        <f>HYPERLINK("http://catalog.hathitrust.org/Record/005097741","HathiTrust Record")</f>
        <v/>
      </c>
      <c r="AS9">
        <f>HYPERLINK("https://creighton-primo.hosted.exlibrisgroup.com/primo-explore/search?tab=default_tab&amp;search_scope=EVERYTHING&amp;vid=01CRU&amp;lang=en_US&amp;offset=0&amp;query=any,contains,991004700309702656","Catalog Record")</f>
        <v/>
      </c>
      <c r="AT9">
        <f>HYPERLINK("http://www.worldcat.org/oclc/62311763","WorldCat Record")</f>
        <v/>
      </c>
      <c r="AU9" t="inlineStr">
        <is>
          <t>46690074:eng</t>
        </is>
      </c>
      <c r="AV9" t="inlineStr">
        <is>
          <t>62311763</t>
        </is>
      </c>
      <c r="AW9" t="inlineStr">
        <is>
          <t>991004700309702656</t>
        </is>
      </c>
      <c r="AX9" t="inlineStr">
        <is>
          <t>991004700309702656</t>
        </is>
      </c>
      <c r="AY9" t="inlineStr">
        <is>
          <t>2256067950002656</t>
        </is>
      </c>
      <c r="AZ9" t="inlineStr">
        <is>
          <t>BOOK</t>
        </is>
      </c>
      <c r="BC9" t="inlineStr">
        <is>
          <t>32285005150510</t>
        </is>
      </c>
      <c r="BD9" t="inlineStr">
        <is>
          <t>893229726</t>
        </is>
      </c>
    </row>
    <row r="10">
      <c r="A10" t="inlineStr">
        <is>
          <t>No</t>
        </is>
      </c>
      <c r="B10" t="inlineStr">
        <is>
          <t>QL1 .W54 no. 161</t>
        </is>
      </c>
      <c r="C10" t="inlineStr">
        <is>
          <t>0                      QL 0001000W  54                                                      no. 161</t>
        </is>
      </c>
      <c r="D10" t="inlineStr">
        <is>
          <t>Temporal, spatial, and environmental influences on the demographics of grizzly bears in the greater Yellowstone ecosystem / Charles C. Schwartz ... [et al.]</t>
        </is>
      </c>
      <c r="E10" t="inlineStr">
        <is>
          <t>no. 161*</t>
        </is>
      </c>
      <c r="F10" t="inlineStr">
        <is>
          <t>No</t>
        </is>
      </c>
      <c r="G10" t="inlineStr">
        <is>
          <t>1</t>
        </is>
      </c>
      <c r="H10" t="inlineStr">
        <is>
          <t>No</t>
        </is>
      </c>
      <c r="I10" t="inlineStr">
        <is>
          <t>No</t>
        </is>
      </c>
      <c r="J10" t="inlineStr">
        <is>
          <t>0</t>
        </is>
      </c>
      <c r="L10" t="inlineStr">
        <is>
          <t>[Bethesda, MD? : Wiildlife Society, c2006]</t>
        </is>
      </c>
      <c r="M10" t="inlineStr">
        <is>
          <t>2006</t>
        </is>
      </c>
      <c r="O10" t="inlineStr">
        <is>
          <t>eng</t>
        </is>
      </c>
      <c r="P10" t="inlineStr">
        <is>
          <t>mdu</t>
        </is>
      </c>
      <c r="Q10" t="inlineStr">
        <is>
          <t>Wildlife monographs ; no. 161</t>
        </is>
      </c>
      <c r="R10" t="inlineStr">
        <is>
          <t xml:space="preserve">QL </t>
        </is>
      </c>
      <c r="S10" t="n">
        <v>1</v>
      </c>
      <c r="T10" t="n">
        <v>1</v>
      </c>
      <c r="U10" t="inlineStr">
        <is>
          <t>2006-05-24</t>
        </is>
      </c>
      <c r="V10" t="inlineStr">
        <is>
          <t>2006-05-24</t>
        </is>
      </c>
      <c r="W10" t="inlineStr">
        <is>
          <t>2006-05-24</t>
        </is>
      </c>
      <c r="X10" t="inlineStr">
        <is>
          <t>2006-05-24</t>
        </is>
      </c>
      <c r="Y10" t="n">
        <v>143</v>
      </c>
      <c r="Z10" t="n">
        <v>121</v>
      </c>
      <c r="AA10" t="n">
        <v>123</v>
      </c>
      <c r="AB10" t="n">
        <v>3</v>
      </c>
      <c r="AC10" t="n">
        <v>3</v>
      </c>
      <c r="AD10" t="n">
        <v>6</v>
      </c>
      <c r="AE10" t="n">
        <v>6</v>
      </c>
      <c r="AF10" t="n">
        <v>3</v>
      </c>
      <c r="AG10" t="n">
        <v>3</v>
      </c>
      <c r="AH10" t="n">
        <v>1</v>
      </c>
      <c r="AI10" t="n">
        <v>1</v>
      </c>
      <c r="AJ10" t="n">
        <v>2</v>
      </c>
      <c r="AK10" t="n">
        <v>2</v>
      </c>
      <c r="AL10" t="n">
        <v>2</v>
      </c>
      <c r="AM10" t="n">
        <v>2</v>
      </c>
      <c r="AN10" t="n">
        <v>0</v>
      </c>
      <c r="AO10" t="n">
        <v>0</v>
      </c>
      <c r="AP10" t="inlineStr">
        <is>
          <t>No</t>
        </is>
      </c>
      <c r="AQ10" t="inlineStr">
        <is>
          <t>Yes</t>
        </is>
      </c>
      <c r="AR10">
        <f>HYPERLINK("http://catalog.hathitrust.org/Record/005899193","HathiTrust Record")</f>
        <v/>
      </c>
      <c r="AS10">
        <f>HYPERLINK("https://creighton-primo.hosted.exlibrisgroup.com/primo-explore/search?tab=default_tab&amp;search_scope=EVERYTHING&amp;vid=01CRU&amp;lang=en_US&amp;offset=0&amp;query=any,contains,991004821469702656","Catalog Record")</f>
        <v/>
      </c>
      <c r="AT10">
        <f>HYPERLINK("http://www.worldcat.org/oclc/68904567","WorldCat Record")</f>
        <v/>
      </c>
      <c r="AU10" t="inlineStr">
        <is>
          <t>57814707:eng</t>
        </is>
      </c>
      <c r="AV10" t="inlineStr">
        <is>
          <t>68904567</t>
        </is>
      </c>
      <c r="AW10" t="inlineStr">
        <is>
          <t>991004821469702656</t>
        </is>
      </c>
      <c r="AX10" t="inlineStr">
        <is>
          <t>991004821469702656</t>
        </is>
      </c>
      <c r="AY10" t="inlineStr">
        <is>
          <t>2255407870002656</t>
        </is>
      </c>
      <c r="AZ10" t="inlineStr">
        <is>
          <t>BOOK</t>
        </is>
      </c>
      <c r="BC10" t="inlineStr">
        <is>
          <t>32285005188254</t>
        </is>
      </c>
      <c r="BD10" t="inlineStr">
        <is>
          <t>893889326</t>
        </is>
      </c>
    </row>
    <row r="11">
      <c r="A11" t="inlineStr">
        <is>
          <t>No</t>
        </is>
      </c>
      <c r="B11" t="inlineStr">
        <is>
          <t>QL1 .W54 no. 165</t>
        </is>
      </c>
      <c r="C11" t="inlineStr">
        <is>
          <t>0                      QL 0001000W  54                                                      no. 165</t>
        </is>
      </c>
      <c r="D11" t="inlineStr">
        <is>
          <t>Calf survival of woodland caribou in a multi-predator ecosystem / David D. Gustine ... [et al.]</t>
        </is>
      </c>
      <c r="E11" t="inlineStr">
        <is>
          <t>no. 165*</t>
        </is>
      </c>
      <c r="F11" t="inlineStr">
        <is>
          <t>No</t>
        </is>
      </c>
      <c r="G11" t="inlineStr">
        <is>
          <t>1</t>
        </is>
      </c>
      <c r="H11" t="inlineStr">
        <is>
          <t>No</t>
        </is>
      </c>
      <c r="I11" t="inlineStr">
        <is>
          <t>No</t>
        </is>
      </c>
      <c r="J11" t="inlineStr">
        <is>
          <t>0</t>
        </is>
      </c>
      <c r="L11" t="inlineStr">
        <is>
          <t>[United States : Wildlife Society, c2006]</t>
        </is>
      </c>
      <c r="M11" t="inlineStr">
        <is>
          <t>2006</t>
        </is>
      </c>
      <c r="O11" t="inlineStr">
        <is>
          <t>eng</t>
        </is>
      </c>
      <c r="P11" t="inlineStr">
        <is>
          <t>abc</t>
        </is>
      </c>
      <c r="Q11" t="inlineStr">
        <is>
          <t>Wildlife monographs ; no. 165</t>
        </is>
      </c>
      <c r="R11" t="inlineStr">
        <is>
          <t xml:space="preserve">QL </t>
        </is>
      </c>
      <c r="S11" t="n">
        <v>1</v>
      </c>
      <c r="T11" t="n">
        <v>1</v>
      </c>
      <c r="U11" t="inlineStr">
        <is>
          <t>2006-12-18</t>
        </is>
      </c>
      <c r="V11" t="inlineStr">
        <is>
          <t>2006-12-18</t>
        </is>
      </c>
      <c r="W11" t="inlineStr">
        <is>
          <t>2006-12-18</t>
        </is>
      </c>
      <c r="X11" t="inlineStr">
        <is>
          <t>2006-12-18</t>
        </is>
      </c>
      <c r="Y11" t="n">
        <v>143</v>
      </c>
      <c r="Z11" t="n">
        <v>122</v>
      </c>
      <c r="AA11" t="n">
        <v>124</v>
      </c>
      <c r="AB11" t="n">
        <v>3</v>
      </c>
      <c r="AC11" t="n">
        <v>3</v>
      </c>
      <c r="AD11" t="n">
        <v>5</v>
      </c>
      <c r="AE11" t="n">
        <v>5</v>
      </c>
      <c r="AF11" t="n">
        <v>2</v>
      </c>
      <c r="AG11" t="n">
        <v>2</v>
      </c>
      <c r="AH11" t="n">
        <v>1</v>
      </c>
      <c r="AI11" t="n">
        <v>1</v>
      </c>
      <c r="AJ11" t="n">
        <v>2</v>
      </c>
      <c r="AK11" t="n">
        <v>2</v>
      </c>
      <c r="AL11" t="n">
        <v>2</v>
      </c>
      <c r="AM11" t="n">
        <v>2</v>
      </c>
      <c r="AN11" t="n">
        <v>0</v>
      </c>
      <c r="AO11" t="n">
        <v>0</v>
      </c>
      <c r="AP11" t="inlineStr">
        <is>
          <t>No</t>
        </is>
      </c>
      <c r="AQ11" t="inlineStr">
        <is>
          <t>Yes</t>
        </is>
      </c>
      <c r="AR11">
        <f>HYPERLINK("http://catalog.hathitrust.org/Record/005899182","HathiTrust Record")</f>
        <v/>
      </c>
      <c r="AS11">
        <f>HYPERLINK("https://creighton-primo.hosted.exlibrisgroup.com/primo-explore/search?tab=default_tab&amp;search_scope=EVERYTHING&amp;vid=01CRU&amp;lang=en_US&amp;offset=0&amp;query=any,contains,991005001229702656","Catalog Record")</f>
        <v/>
      </c>
      <c r="AT11">
        <f>HYPERLINK("http://www.worldcat.org/oclc/76951602","WorldCat Record")</f>
        <v/>
      </c>
      <c r="AU11" t="inlineStr">
        <is>
          <t>62697844:eng</t>
        </is>
      </c>
      <c r="AV11" t="inlineStr">
        <is>
          <t>76951602</t>
        </is>
      </c>
      <c r="AW11" t="inlineStr">
        <is>
          <t>991005001229702656</t>
        </is>
      </c>
      <c r="AX11" t="inlineStr">
        <is>
          <t>991005001229702656</t>
        </is>
      </c>
      <c r="AY11" t="inlineStr">
        <is>
          <t>2256653520002656</t>
        </is>
      </c>
      <c r="AZ11" t="inlineStr">
        <is>
          <t>BOOK</t>
        </is>
      </c>
      <c r="BC11" t="inlineStr">
        <is>
          <t>32285005267132</t>
        </is>
      </c>
      <c r="BD11" t="inlineStr">
        <is>
          <t>893326033</t>
        </is>
      </c>
    </row>
    <row r="12">
      <c r="A12" t="inlineStr">
        <is>
          <t>No</t>
        </is>
      </c>
      <c r="B12" t="inlineStr">
        <is>
          <t>QL1 .W54 no. 166</t>
        </is>
      </c>
      <c r="C12" t="inlineStr">
        <is>
          <t>0                      QL 0001000W  54                                                      no. 166</t>
        </is>
      </c>
      <c r="D12" t="inlineStr">
        <is>
          <t>Pathogens, nutritional deficiency, and climate influences on a declining moose population / Dennis L. Murray ... [et al.]</t>
        </is>
      </c>
      <c r="E12" t="inlineStr">
        <is>
          <t>no. 166*</t>
        </is>
      </c>
      <c r="F12" t="inlineStr">
        <is>
          <t>No</t>
        </is>
      </c>
      <c r="G12" t="inlineStr">
        <is>
          <t>1</t>
        </is>
      </c>
      <c r="H12" t="inlineStr">
        <is>
          <t>No</t>
        </is>
      </c>
      <c r="I12" t="inlineStr">
        <is>
          <t>No</t>
        </is>
      </c>
      <c r="J12" t="inlineStr">
        <is>
          <t>0</t>
        </is>
      </c>
      <c r="L12" t="inlineStr">
        <is>
          <t>[Bethesda, MD] : Wiildlife Society, c2006.</t>
        </is>
      </c>
      <c r="M12" t="inlineStr">
        <is>
          <t>2006</t>
        </is>
      </c>
      <c r="O12" t="inlineStr">
        <is>
          <t>eng</t>
        </is>
      </c>
      <c r="P12" t="inlineStr">
        <is>
          <t>mdu</t>
        </is>
      </c>
      <c r="Q12" t="inlineStr">
        <is>
          <t>Wildlife monographs ; no. 166</t>
        </is>
      </c>
      <c r="R12" t="inlineStr">
        <is>
          <t xml:space="preserve">QL </t>
        </is>
      </c>
      <c r="S12" t="n">
        <v>1</v>
      </c>
      <c r="T12" t="n">
        <v>1</v>
      </c>
      <c r="U12" t="inlineStr">
        <is>
          <t>2007-02-13</t>
        </is>
      </c>
      <c r="V12" t="inlineStr">
        <is>
          <t>2007-02-13</t>
        </is>
      </c>
      <c r="W12" t="inlineStr">
        <is>
          <t>2007-02-13</t>
        </is>
      </c>
      <c r="X12" t="inlineStr">
        <is>
          <t>2007-02-13</t>
        </is>
      </c>
      <c r="Y12" t="n">
        <v>145</v>
      </c>
      <c r="Z12" t="n">
        <v>124</v>
      </c>
      <c r="AA12" t="n">
        <v>125</v>
      </c>
      <c r="AB12" t="n">
        <v>2</v>
      </c>
      <c r="AC12" t="n">
        <v>2</v>
      </c>
      <c r="AD12" t="n">
        <v>5</v>
      </c>
      <c r="AE12" t="n">
        <v>5</v>
      </c>
      <c r="AF12" t="n">
        <v>3</v>
      </c>
      <c r="AG12" t="n">
        <v>3</v>
      </c>
      <c r="AH12" t="n">
        <v>1</v>
      </c>
      <c r="AI12" t="n">
        <v>1</v>
      </c>
      <c r="AJ12" t="n">
        <v>2</v>
      </c>
      <c r="AK12" t="n">
        <v>2</v>
      </c>
      <c r="AL12" t="n">
        <v>1</v>
      </c>
      <c r="AM12" t="n">
        <v>1</v>
      </c>
      <c r="AN12" t="n">
        <v>0</v>
      </c>
      <c r="AO12" t="n">
        <v>0</v>
      </c>
      <c r="AP12" t="inlineStr">
        <is>
          <t>No</t>
        </is>
      </c>
      <c r="AQ12" t="inlineStr">
        <is>
          <t>Yes</t>
        </is>
      </c>
      <c r="AR12">
        <f>HYPERLINK("http://catalog.hathitrust.org/Record/005899165","HathiTrust Record")</f>
        <v/>
      </c>
      <c r="AS12">
        <f>HYPERLINK("https://creighton-primo.hosted.exlibrisgroup.com/primo-explore/search?tab=default_tab&amp;search_scope=EVERYTHING&amp;vid=01CRU&amp;lang=en_US&amp;offset=0&amp;query=any,contains,991005039829702656","Catalog Record")</f>
        <v/>
      </c>
      <c r="AT12">
        <f>HYPERLINK("http://www.worldcat.org/oclc/82142126","WorldCat Record")</f>
        <v/>
      </c>
      <c r="AU12" t="inlineStr">
        <is>
          <t>66793149:eng</t>
        </is>
      </c>
      <c r="AV12" t="inlineStr">
        <is>
          <t>82142126</t>
        </is>
      </c>
      <c r="AW12" t="inlineStr">
        <is>
          <t>991005039829702656</t>
        </is>
      </c>
      <c r="AX12" t="inlineStr">
        <is>
          <t>991005039829702656</t>
        </is>
      </c>
      <c r="AY12" t="inlineStr">
        <is>
          <t>2263870670002656</t>
        </is>
      </c>
      <c r="AZ12" t="inlineStr">
        <is>
          <t>BOOK</t>
        </is>
      </c>
      <c r="BC12" t="inlineStr">
        <is>
          <t>32285005276448</t>
        </is>
      </c>
      <c r="BD12" t="inlineStr">
        <is>
          <t>893902018</t>
        </is>
      </c>
    </row>
    <row r="13">
      <c r="A13" t="inlineStr">
        <is>
          <t>No</t>
        </is>
      </c>
      <c r="B13" t="inlineStr">
        <is>
          <t>QL1 .W54 no. 167</t>
        </is>
      </c>
      <c r="C13" t="inlineStr">
        <is>
          <t>0                      QL 0001000W  54                                                      no. 167</t>
        </is>
      </c>
      <c r="D13" t="inlineStr">
        <is>
          <t>Herbivore optimization by North American elk : consequences for theory and management / Kelley M. Stewart ... [et al.]</t>
        </is>
      </c>
      <c r="E13" t="inlineStr">
        <is>
          <t>no. 167*</t>
        </is>
      </c>
      <c r="F13" t="inlineStr">
        <is>
          <t>No</t>
        </is>
      </c>
      <c r="G13" t="inlineStr">
        <is>
          <t>1</t>
        </is>
      </c>
      <c r="H13" t="inlineStr">
        <is>
          <t>No</t>
        </is>
      </c>
      <c r="I13" t="inlineStr">
        <is>
          <t>No</t>
        </is>
      </c>
      <c r="J13" t="inlineStr">
        <is>
          <t>0</t>
        </is>
      </c>
      <c r="L13" t="inlineStr">
        <is>
          <t>[Bethesda, MD] : Wiildlife Society, c2006.</t>
        </is>
      </c>
      <c r="M13" t="inlineStr">
        <is>
          <t>2006</t>
        </is>
      </c>
      <c r="O13" t="inlineStr">
        <is>
          <t>eng</t>
        </is>
      </c>
      <c r="P13" t="inlineStr">
        <is>
          <t>mdu</t>
        </is>
      </c>
      <c r="Q13" t="inlineStr">
        <is>
          <t>Wildlife monographs ; no. 167</t>
        </is>
      </c>
      <c r="R13" t="inlineStr">
        <is>
          <t xml:space="preserve">QL </t>
        </is>
      </c>
      <c r="S13" t="n">
        <v>1</v>
      </c>
      <c r="T13" t="n">
        <v>1</v>
      </c>
      <c r="U13" t="inlineStr">
        <is>
          <t>2007-02-13</t>
        </is>
      </c>
      <c r="V13" t="inlineStr">
        <is>
          <t>2007-02-13</t>
        </is>
      </c>
      <c r="W13" t="inlineStr">
        <is>
          <t>2007-02-13</t>
        </is>
      </c>
      <c r="X13" t="inlineStr">
        <is>
          <t>2007-02-13</t>
        </is>
      </c>
      <c r="Y13" t="n">
        <v>149</v>
      </c>
      <c r="Z13" t="n">
        <v>128</v>
      </c>
      <c r="AA13" t="n">
        <v>129</v>
      </c>
      <c r="AB13" t="n">
        <v>2</v>
      </c>
      <c r="AC13" t="n">
        <v>2</v>
      </c>
      <c r="AD13" t="n">
        <v>4</v>
      </c>
      <c r="AE13" t="n">
        <v>4</v>
      </c>
      <c r="AF13" t="n">
        <v>2</v>
      </c>
      <c r="AG13" t="n">
        <v>2</v>
      </c>
      <c r="AH13" t="n">
        <v>1</v>
      </c>
      <c r="AI13" t="n">
        <v>1</v>
      </c>
      <c r="AJ13" t="n">
        <v>2</v>
      </c>
      <c r="AK13" t="n">
        <v>2</v>
      </c>
      <c r="AL13" t="n">
        <v>1</v>
      </c>
      <c r="AM13" t="n">
        <v>1</v>
      </c>
      <c r="AN13" t="n">
        <v>0</v>
      </c>
      <c r="AO13" t="n">
        <v>0</v>
      </c>
      <c r="AP13" t="inlineStr">
        <is>
          <t>No</t>
        </is>
      </c>
      <c r="AQ13" t="inlineStr">
        <is>
          <t>Yes</t>
        </is>
      </c>
      <c r="AR13">
        <f>HYPERLINK("http://catalog.hathitrust.org/Record/005899180","HathiTrust Record")</f>
        <v/>
      </c>
      <c r="AS13">
        <f>HYPERLINK("https://creighton-primo.hosted.exlibrisgroup.com/primo-explore/search?tab=default_tab&amp;search_scope=EVERYTHING&amp;vid=01CRU&amp;lang=en_US&amp;offset=0&amp;query=any,contains,991005039859702656","Catalog Record")</f>
        <v/>
      </c>
      <c r="AT13">
        <f>HYPERLINK("http://www.worldcat.org/oclc/82142099","WorldCat Record")</f>
        <v/>
      </c>
      <c r="AU13" t="inlineStr">
        <is>
          <t>104012912:eng</t>
        </is>
      </c>
      <c r="AV13" t="inlineStr">
        <is>
          <t>82142099</t>
        </is>
      </c>
      <c r="AW13" t="inlineStr">
        <is>
          <t>991005039859702656</t>
        </is>
      </c>
      <c r="AX13" t="inlineStr">
        <is>
          <t>991005039859702656</t>
        </is>
      </c>
      <c r="AY13" t="inlineStr">
        <is>
          <t>2263954890002656</t>
        </is>
      </c>
      <c r="AZ13" t="inlineStr">
        <is>
          <t>BOOK</t>
        </is>
      </c>
      <c r="BC13" t="inlineStr">
        <is>
          <t>32285005276455</t>
        </is>
      </c>
      <c r="BD13" t="inlineStr">
        <is>
          <t>893418298</t>
        </is>
      </c>
    </row>
    <row r="14">
      <c r="A14" t="inlineStr">
        <is>
          <t>No</t>
        </is>
      </c>
      <c r="B14" t="inlineStr">
        <is>
          <t>QL1 .W54 no. 168</t>
        </is>
      </c>
      <c r="C14" t="inlineStr">
        <is>
          <t>0                      QL 0001000W  54                                                      no. 168</t>
        </is>
      </c>
      <c r="D14" t="inlineStr">
        <is>
          <t>Ruffed grouse population ecology in the Appalachian region / Patrick K. Devers ... [et al.].</t>
        </is>
      </c>
      <c r="E14" t="inlineStr">
        <is>
          <t>no. 168*</t>
        </is>
      </c>
      <c r="F14" t="inlineStr">
        <is>
          <t>No</t>
        </is>
      </c>
      <c r="G14" t="inlineStr">
        <is>
          <t>1</t>
        </is>
      </c>
      <c r="H14" t="inlineStr">
        <is>
          <t>No</t>
        </is>
      </c>
      <c r="I14" t="inlineStr">
        <is>
          <t>No</t>
        </is>
      </c>
      <c r="J14" t="inlineStr">
        <is>
          <t>0</t>
        </is>
      </c>
      <c r="L14" t="inlineStr">
        <is>
          <t>[Bethesda, Md.] : Wildlife Society ; Lawrence, KS : Publishing services provided by Alliance Communications Group, c2007.</t>
        </is>
      </c>
      <c r="M14" t="inlineStr">
        <is>
          <t>2007</t>
        </is>
      </c>
      <c r="O14" t="inlineStr">
        <is>
          <t>eng</t>
        </is>
      </c>
      <c r="P14" t="inlineStr">
        <is>
          <t>mdu</t>
        </is>
      </c>
      <c r="Q14" t="inlineStr">
        <is>
          <t>Wildlife monographs, 0084-0173 ; no. 168</t>
        </is>
      </c>
      <c r="R14" t="inlineStr">
        <is>
          <t xml:space="preserve">QL </t>
        </is>
      </c>
      <c r="S14" t="n">
        <v>1</v>
      </c>
      <c r="T14" t="n">
        <v>1</v>
      </c>
      <c r="U14" t="inlineStr">
        <is>
          <t>2007-06-28</t>
        </is>
      </c>
      <c r="V14" t="inlineStr">
        <is>
          <t>2007-06-28</t>
        </is>
      </c>
      <c r="W14" t="inlineStr">
        <is>
          <t>2007-06-28</t>
        </is>
      </c>
      <c r="X14" t="inlineStr">
        <is>
          <t>2007-06-28</t>
        </is>
      </c>
      <c r="Y14" t="n">
        <v>123</v>
      </c>
      <c r="Z14" t="n">
        <v>100</v>
      </c>
      <c r="AA14" t="n">
        <v>101</v>
      </c>
      <c r="AB14" t="n">
        <v>3</v>
      </c>
      <c r="AC14" t="n">
        <v>3</v>
      </c>
      <c r="AD14" t="n">
        <v>5</v>
      </c>
      <c r="AE14" t="n">
        <v>5</v>
      </c>
      <c r="AF14" t="n">
        <v>2</v>
      </c>
      <c r="AG14" t="n">
        <v>2</v>
      </c>
      <c r="AH14" t="n">
        <v>1</v>
      </c>
      <c r="AI14" t="n">
        <v>1</v>
      </c>
      <c r="AJ14" t="n">
        <v>1</v>
      </c>
      <c r="AK14" t="n">
        <v>1</v>
      </c>
      <c r="AL14" t="n">
        <v>2</v>
      </c>
      <c r="AM14" t="n">
        <v>2</v>
      </c>
      <c r="AN14" t="n">
        <v>0</v>
      </c>
      <c r="AO14" t="n">
        <v>0</v>
      </c>
      <c r="AP14" t="inlineStr">
        <is>
          <t>No</t>
        </is>
      </c>
      <c r="AQ14" t="inlineStr">
        <is>
          <t>Yes</t>
        </is>
      </c>
      <c r="AR14">
        <f>HYPERLINK("http://catalog.hathitrust.org/Record/005899176","HathiTrust Record")</f>
        <v/>
      </c>
      <c r="AS14">
        <f>HYPERLINK("https://creighton-primo.hosted.exlibrisgroup.com/primo-explore/search?tab=default_tab&amp;search_scope=EVERYTHING&amp;vid=01CRU&amp;lang=en_US&amp;offset=0&amp;query=any,contains,991005099439702656","Catalog Record")</f>
        <v/>
      </c>
      <c r="AT14">
        <f>HYPERLINK("http://www.worldcat.org/oclc/144571429","WorldCat Record")</f>
        <v/>
      </c>
      <c r="AU14" t="inlineStr">
        <is>
          <t>103274123:eng</t>
        </is>
      </c>
      <c r="AV14" t="inlineStr">
        <is>
          <t>144571429</t>
        </is>
      </c>
      <c r="AW14" t="inlineStr">
        <is>
          <t>991005099439702656</t>
        </is>
      </c>
      <c r="AX14" t="inlineStr">
        <is>
          <t>991005099439702656</t>
        </is>
      </c>
      <c r="AY14" t="inlineStr">
        <is>
          <t>2271527890002656</t>
        </is>
      </c>
      <c r="AZ14" t="inlineStr">
        <is>
          <t>BOOK</t>
        </is>
      </c>
      <c r="BC14" t="inlineStr">
        <is>
          <t>32285005318448</t>
        </is>
      </c>
      <c r="BD14" t="inlineStr">
        <is>
          <t>893776826</t>
        </is>
      </c>
    </row>
    <row r="15">
      <c r="A15" t="inlineStr">
        <is>
          <t>No</t>
        </is>
      </c>
      <c r="B15" t="inlineStr">
        <is>
          <t>QL1 .W54 no.132</t>
        </is>
      </c>
      <c r="C15" t="inlineStr">
        <is>
          <t>0                      QL 0001000W  54                                                      no.132</t>
        </is>
      </c>
      <c r="D15" t="inlineStr">
        <is>
          <t>Habitat selection and productivity of least terns on the lower Platte River, Nebraska / by Eileen M. Kirsch.</t>
        </is>
      </c>
      <c r="E15" t="inlineStr">
        <is>
          <t>no.132*</t>
        </is>
      </c>
      <c r="F15" t="inlineStr">
        <is>
          <t>No</t>
        </is>
      </c>
      <c r="G15" t="inlineStr">
        <is>
          <t>1</t>
        </is>
      </c>
      <c r="H15" t="inlineStr">
        <is>
          <t>No</t>
        </is>
      </c>
      <c r="I15" t="inlineStr">
        <is>
          <t>No</t>
        </is>
      </c>
      <c r="J15" t="inlineStr">
        <is>
          <t>0</t>
        </is>
      </c>
      <c r="K15" t="inlineStr">
        <is>
          <t>Kirsch, Eileen M.</t>
        </is>
      </c>
      <c r="L15" t="inlineStr">
        <is>
          <t>[Bethesda, MD] : The Wildlife Society, [c1996].</t>
        </is>
      </c>
      <c r="M15" t="inlineStr">
        <is>
          <t>1996</t>
        </is>
      </c>
      <c r="O15" t="inlineStr">
        <is>
          <t>eng</t>
        </is>
      </c>
      <c r="P15" t="inlineStr">
        <is>
          <t>mdu</t>
        </is>
      </c>
      <c r="Q15" t="inlineStr">
        <is>
          <t>Wildlife monographs, 0084-0173 ; no. 132</t>
        </is>
      </c>
      <c r="R15" t="inlineStr">
        <is>
          <t xml:space="preserve">QL </t>
        </is>
      </c>
      <c r="S15" t="n">
        <v>5</v>
      </c>
      <c r="T15" t="n">
        <v>5</v>
      </c>
      <c r="U15" t="inlineStr">
        <is>
          <t>1999-04-01</t>
        </is>
      </c>
      <c r="V15" t="inlineStr">
        <is>
          <t>1999-04-01</t>
        </is>
      </c>
      <c r="W15" t="inlineStr">
        <is>
          <t>1996-02-12</t>
        </is>
      </c>
      <c r="X15" t="inlineStr">
        <is>
          <t>1996-02-12</t>
        </is>
      </c>
      <c r="Y15" t="n">
        <v>174</v>
      </c>
      <c r="Z15" t="n">
        <v>140</v>
      </c>
      <c r="AA15" t="n">
        <v>149</v>
      </c>
      <c r="AB15" t="n">
        <v>3</v>
      </c>
      <c r="AC15" t="n">
        <v>3</v>
      </c>
      <c r="AD15" t="n">
        <v>5</v>
      </c>
      <c r="AE15" t="n">
        <v>5</v>
      </c>
      <c r="AF15" t="n">
        <v>3</v>
      </c>
      <c r="AG15" t="n">
        <v>3</v>
      </c>
      <c r="AH15" t="n">
        <v>0</v>
      </c>
      <c r="AI15" t="n">
        <v>0</v>
      </c>
      <c r="AJ15" t="n">
        <v>1</v>
      </c>
      <c r="AK15" t="n">
        <v>1</v>
      </c>
      <c r="AL15" t="n">
        <v>2</v>
      </c>
      <c r="AM15" t="n">
        <v>2</v>
      </c>
      <c r="AN15" t="n">
        <v>0</v>
      </c>
      <c r="AO15" t="n">
        <v>0</v>
      </c>
      <c r="AP15" t="inlineStr">
        <is>
          <t>No</t>
        </is>
      </c>
      <c r="AQ15" t="inlineStr">
        <is>
          <t>No</t>
        </is>
      </c>
      <c r="AS15">
        <f>HYPERLINK("https://creighton-primo.hosted.exlibrisgroup.com/primo-explore/search?tab=default_tab&amp;search_scope=EVERYTHING&amp;vid=01CRU&amp;lang=en_US&amp;offset=0&amp;query=any,contains,991002608319702656","Catalog Record")</f>
        <v/>
      </c>
      <c r="AT15">
        <f>HYPERLINK("http://www.worldcat.org/oclc/34157563","WorldCat Record")</f>
        <v/>
      </c>
      <c r="AU15" t="inlineStr">
        <is>
          <t>38896394:eng</t>
        </is>
      </c>
      <c r="AV15" t="inlineStr">
        <is>
          <t>34157563</t>
        </is>
      </c>
      <c r="AW15" t="inlineStr">
        <is>
          <t>991002608319702656</t>
        </is>
      </c>
      <c r="AX15" t="inlineStr">
        <is>
          <t>991002608319702656</t>
        </is>
      </c>
      <c r="AY15" t="inlineStr">
        <is>
          <t>2255080500002656</t>
        </is>
      </c>
      <c r="AZ15" t="inlineStr">
        <is>
          <t>BOOK</t>
        </is>
      </c>
      <c r="BC15" t="inlineStr">
        <is>
          <t>32285002129392</t>
        </is>
      </c>
      <c r="BD15" t="inlineStr">
        <is>
          <t>893698000</t>
        </is>
      </c>
    </row>
    <row r="16">
      <c r="A16" t="inlineStr">
        <is>
          <t>No</t>
        </is>
      </c>
      <c r="B16" t="inlineStr">
        <is>
          <t>QL1 .W54 no.138</t>
        </is>
      </c>
      <c r="C16" t="inlineStr">
        <is>
          <t>0                      QL 0001000W  54                                                      no.138</t>
        </is>
      </c>
      <c r="D16" t="inlineStr">
        <is>
          <t>Forage site selection by lesser snow geese during autumn staging on the Arctic National Wildlife Refuge, Alaska / by Jerry W. Hupp and Donna G. Robertson.</t>
        </is>
      </c>
      <c r="E16" t="inlineStr">
        <is>
          <t>no.138*</t>
        </is>
      </c>
      <c r="F16" t="inlineStr">
        <is>
          <t>No</t>
        </is>
      </c>
      <c r="G16" t="inlineStr">
        <is>
          <t>1</t>
        </is>
      </c>
      <c r="H16" t="inlineStr">
        <is>
          <t>No</t>
        </is>
      </c>
      <c r="I16" t="inlineStr">
        <is>
          <t>No</t>
        </is>
      </c>
      <c r="J16" t="inlineStr">
        <is>
          <t>0</t>
        </is>
      </c>
      <c r="K16" t="inlineStr">
        <is>
          <t>Hupp, Jerry W.</t>
        </is>
      </c>
      <c r="L16" t="inlineStr">
        <is>
          <t>Bethesda, MD : Wildlife Society, c1998.</t>
        </is>
      </c>
      <c r="M16" t="inlineStr">
        <is>
          <t>1998</t>
        </is>
      </c>
      <c r="O16" t="inlineStr">
        <is>
          <t>eng</t>
        </is>
      </c>
      <c r="P16" t="inlineStr">
        <is>
          <t>mdu</t>
        </is>
      </c>
      <c r="Q16" t="inlineStr">
        <is>
          <t>Wildlife monographs, 0084-0173 ; no. 138</t>
        </is>
      </c>
      <c r="R16" t="inlineStr">
        <is>
          <t xml:space="preserve">QL </t>
        </is>
      </c>
      <c r="S16" t="n">
        <v>1</v>
      </c>
      <c r="T16" t="n">
        <v>1</v>
      </c>
      <c r="U16" t="inlineStr">
        <is>
          <t>2008-02-22</t>
        </is>
      </c>
      <c r="V16" t="inlineStr">
        <is>
          <t>2008-02-22</t>
        </is>
      </c>
      <c r="W16" t="inlineStr">
        <is>
          <t>1998-08-04</t>
        </is>
      </c>
      <c r="X16" t="inlineStr">
        <is>
          <t>1998-08-04</t>
        </is>
      </c>
      <c r="Y16" t="n">
        <v>192</v>
      </c>
      <c r="Z16" t="n">
        <v>150</v>
      </c>
      <c r="AA16" t="n">
        <v>152</v>
      </c>
      <c r="AB16" t="n">
        <v>3</v>
      </c>
      <c r="AC16" t="n">
        <v>3</v>
      </c>
      <c r="AD16" t="n">
        <v>5</v>
      </c>
      <c r="AE16" t="n">
        <v>5</v>
      </c>
      <c r="AF16" t="n">
        <v>3</v>
      </c>
      <c r="AG16" t="n">
        <v>3</v>
      </c>
      <c r="AH16" t="n">
        <v>0</v>
      </c>
      <c r="AI16" t="n">
        <v>0</v>
      </c>
      <c r="AJ16" t="n">
        <v>1</v>
      </c>
      <c r="AK16" t="n">
        <v>1</v>
      </c>
      <c r="AL16" t="n">
        <v>2</v>
      </c>
      <c r="AM16" t="n">
        <v>2</v>
      </c>
      <c r="AN16" t="n">
        <v>0</v>
      </c>
      <c r="AO16" t="n">
        <v>0</v>
      </c>
      <c r="AP16" t="inlineStr">
        <is>
          <t>No</t>
        </is>
      </c>
      <c r="AQ16" t="inlineStr">
        <is>
          <t>Yes</t>
        </is>
      </c>
      <c r="AR16">
        <f>HYPERLINK("http://catalog.hathitrust.org/Record/003883929","HathiTrust Record")</f>
        <v/>
      </c>
      <c r="AS16">
        <f>HYPERLINK("https://creighton-primo.hosted.exlibrisgroup.com/primo-explore/search?tab=default_tab&amp;search_scope=EVERYTHING&amp;vid=01CRU&amp;lang=en_US&amp;offset=0&amp;query=any,contains,991002958659702656","Catalog Record")</f>
        <v/>
      </c>
      <c r="AT16">
        <f>HYPERLINK("http://www.worldcat.org/oclc/39525295","WorldCat Record")</f>
        <v/>
      </c>
      <c r="AU16" t="inlineStr">
        <is>
          <t>42076874:eng</t>
        </is>
      </c>
      <c r="AV16" t="inlineStr">
        <is>
          <t>39525295</t>
        </is>
      </c>
      <c r="AW16" t="inlineStr">
        <is>
          <t>991002958659702656</t>
        </is>
      </c>
      <c r="AX16" t="inlineStr">
        <is>
          <t>991002958659702656</t>
        </is>
      </c>
      <c r="AY16" t="inlineStr">
        <is>
          <t>2263688950002656</t>
        </is>
      </c>
      <c r="AZ16" t="inlineStr">
        <is>
          <t>BOOK</t>
        </is>
      </c>
      <c r="BC16" t="inlineStr">
        <is>
          <t>32285003448981</t>
        </is>
      </c>
      <c r="BD16" t="inlineStr">
        <is>
          <t>893592012</t>
        </is>
      </c>
    </row>
    <row r="17">
      <c r="A17" t="inlineStr">
        <is>
          <t>No</t>
        </is>
      </c>
      <c r="B17" t="inlineStr">
        <is>
          <t>QL1 .W54 no.139</t>
        </is>
      </c>
      <c r="C17" t="inlineStr">
        <is>
          <t>0                      QL 0001000W  54                                                      no.139</t>
        </is>
      </c>
      <c r="D17" t="inlineStr">
        <is>
          <t>Influence of habitat abundance and fragmentation on northern spotted owls in western Oregon / by Joseph S. Meyer, Larry L. Irwin, and Mark S. Boyce.</t>
        </is>
      </c>
      <c r="E17" t="inlineStr">
        <is>
          <t>no.139*</t>
        </is>
      </c>
      <c r="F17" t="inlineStr">
        <is>
          <t>No</t>
        </is>
      </c>
      <c r="G17" t="inlineStr">
        <is>
          <t>1</t>
        </is>
      </c>
      <c r="H17" t="inlineStr">
        <is>
          <t>No</t>
        </is>
      </c>
      <c r="I17" t="inlineStr">
        <is>
          <t>No</t>
        </is>
      </c>
      <c r="J17" t="inlineStr">
        <is>
          <t>0</t>
        </is>
      </c>
      <c r="K17" t="inlineStr">
        <is>
          <t>Meyer, Joseph S.</t>
        </is>
      </c>
      <c r="L17" t="inlineStr">
        <is>
          <t>Bethesda, MD : Wildlife Society, c1998.</t>
        </is>
      </c>
      <c r="M17" t="inlineStr">
        <is>
          <t>1998</t>
        </is>
      </c>
      <c r="O17" t="inlineStr">
        <is>
          <t>eng</t>
        </is>
      </c>
      <c r="P17" t="inlineStr">
        <is>
          <t>mdu</t>
        </is>
      </c>
      <c r="Q17" t="inlineStr">
        <is>
          <t>Wildlife monographs, 0084-0173 ; no. 139</t>
        </is>
      </c>
      <c r="R17" t="inlineStr">
        <is>
          <t xml:space="preserve">QL </t>
        </is>
      </c>
      <c r="S17" t="n">
        <v>2</v>
      </c>
      <c r="T17" t="n">
        <v>2</v>
      </c>
      <c r="U17" t="inlineStr">
        <is>
          <t>2008-02-23</t>
        </is>
      </c>
      <c r="V17" t="inlineStr">
        <is>
          <t>2008-02-23</t>
        </is>
      </c>
      <c r="W17" t="inlineStr">
        <is>
          <t>1998-08-04</t>
        </is>
      </c>
      <c r="X17" t="inlineStr">
        <is>
          <t>1998-08-04</t>
        </is>
      </c>
      <c r="Y17" t="n">
        <v>195</v>
      </c>
      <c r="Z17" t="n">
        <v>152</v>
      </c>
      <c r="AA17" t="n">
        <v>154</v>
      </c>
      <c r="AB17" t="n">
        <v>3</v>
      </c>
      <c r="AC17" t="n">
        <v>3</v>
      </c>
      <c r="AD17" t="n">
        <v>5</v>
      </c>
      <c r="AE17" t="n">
        <v>5</v>
      </c>
      <c r="AF17" t="n">
        <v>3</v>
      </c>
      <c r="AG17" t="n">
        <v>3</v>
      </c>
      <c r="AH17" t="n">
        <v>0</v>
      </c>
      <c r="AI17" t="n">
        <v>0</v>
      </c>
      <c r="AJ17" t="n">
        <v>1</v>
      </c>
      <c r="AK17" t="n">
        <v>1</v>
      </c>
      <c r="AL17" t="n">
        <v>2</v>
      </c>
      <c r="AM17" t="n">
        <v>2</v>
      </c>
      <c r="AN17" t="n">
        <v>0</v>
      </c>
      <c r="AO17" t="n">
        <v>0</v>
      </c>
      <c r="AP17" t="inlineStr">
        <is>
          <t>No</t>
        </is>
      </c>
      <c r="AQ17" t="inlineStr">
        <is>
          <t>Yes</t>
        </is>
      </c>
      <c r="AR17">
        <f>HYPERLINK("http://catalog.hathitrust.org/Record/003883928","HathiTrust Record")</f>
        <v/>
      </c>
      <c r="AS17">
        <f>HYPERLINK("https://creighton-primo.hosted.exlibrisgroup.com/primo-explore/search?tab=default_tab&amp;search_scope=EVERYTHING&amp;vid=01CRU&amp;lang=en_US&amp;offset=0&amp;query=any,contains,991002958629702656","Catalog Record")</f>
        <v/>
      </c>
      <c r="AT17">
        <f>HYPERLINK("http://www.worldcat.org/oclc/39524941","WorldCat Record")</f>
        <v/>
      </c>
      <c r="AU17" t="inlineStr">
        <is>
          <t>42066563:eng</t>
        </is>
      </c>
      <c r="AV17" t="inlineStr">
        <is>
          <t>39524941</t>
        </is>
      </c>
      <c r="AW17" t="inlineStr">
        <is>
          <t>991002958629702656</t>
        </is>
      </c>
      <c r="AX17" t="inlineStr">
        <is>
          <t>991002958629702656</t>
        </is>
      </c>
      <c r="AY17" t="inlineStr">
        <is>
          <t>2263229370002656</t>
        </is>
      </c>
      <c r="AZ17" t="inlineStr">
        <is>
          <t>BOOK</t>
        </is>
      </c>
      <c r="BC17" t="inlineStr">
        <is>
          <t>32285003448999</t>
        </is>
      </c>
      <c r="BD17" t="inlineStr">
        <is>
          <t>893245859</t>
        </is>
      </c>
    </row>
    <row r="18">
      <c r="A18" t="inlineStr">
        <is>
          <t>No</t>
        </is>
      </c>
      <c r="B18" t="inlineStr">
        <is>
          <t>QL1 .W54 no.141</t>
        </is>
      </c>
      <c r="C18" t="inlineStr">
        <is>
          <t>0                      QL 0001000W  54                                                      no.141</t>
        </is>
      </c>
      <c r="D18" t="inlineStr">
        <is>
          <t>Relations of forest cover and condition of elk : a test of the thermal cover hypothesis in summer and winter / by John G. Cook, ... [et al.].</t>
        </is>
      </c>
      <c r="E18" t="inlineStr">
        <is>
          <t>no.141*</t>
        </is>
      </c>
      <c r="F18" t="inlineStr">
        <is>
          <t>No</t>
        </is>
      </c>
      <c r="G18" t="inlineStr">
        <is>
          <t>1</t>
        </is>
      </c>
      <c r="H18" t="inlineStr">
        <is>
          <t>No</t>
        </is>
      </c>
      <c r="I18" t="inlineStr">
        <is>
          <t>No</t>
        </is>
      </c>
      <c r="J18" t="inlineStr">
        <is>
          <t>0</t>
        </is>
      </c>
      <c r="K18" t="inlineStr">
        <is>
          <t>Cook, John G.</t>
        </is>
      </c>
      <c r="L18" t="inlineStr">
        <is>
          <t>Bethesda, MD : Wildlife Society, c1998.</t>
        </is>
      </c>
      <c r="M18" t="inlineStr">
        <is>
          <t>1998</t>
        </is>
      </c>
      <c r="O18" t="inlineStr">
        <is>
          <t>eng</t>
        </is>
      </c>
      <c r="P18" t="inlineStr">
        <is>
          <t>mdu</t>
        </is>
      </c>
      <c r="Q18" t="inlineStr">
        <is>
          <t>Wildlife monographs, 0084-0173 ; no. 141</t>
        </is>
      </c>
      <c r="R18" t="inlineStr">
        <is>
          <t xml:space="preserve">QL </t>
        </is>
      </c>
      <c r="S18" t="n">
        <v>1</v>
      </c>
      <c r="T18" t="n">
        <v>1</v>
      </c>
      <c r="U18" t="inlineStr">
        <is>
          <t>1999-01-20</t>
        </is>
      </c>
      <c r="V18" t="inlineStr">
        <is>
          <t>1999-01-20</t>
        </is>
      </c>
      <c r="W18" t="inlineStr">
        <is>
          <t>1998-11-09</t>
        </is>
      </c>
      <c r="X18" t="inlineStr">
        <is>
          <t>1998-11-09</t>
        </is>
      </c>
      <c r="Y18" t="n">
        <v>189</v>
      </c>
      <c r="Z18" t="n">
        <v>148</v>
      </c>
      <c r="AA18" t="n">
        <v>150</v>
      </c>
      <c r="AB18" t="n">
        <v>3</v>
      </c>
      <c r="AC18" t="n">
        <v>3</v>
      </c>
      <c r="AD18" t="n">
        <v>5</v>
      </c>
      <c r="AE18" t="n">
        <v>5</v>
      </c>
      <c r="AF18" t="n">
        <v>3</v>
      </c>
      <c r="AG18" t="n">
        <v>3</v>
      </c>
      <c r="AH18" t="n">
        <v>0</v>
      </c>
      <c r="AI18" t="n">
        <v>0</v>
      </c>
      <c r="AJ18" t="n">
        <v>1</v>
      </c>
      <c r="AK18" t="n">
        <v>1</v>
      </c>
      <c r="AL18" t="n">
        <v>2</v>
      </c>
      <c r="AM18" t="n">
        <v>2</v>
      </c>
      <c r="AN18" t="n">
        <v>0</v>
      </c>
      <c r="AO18" t="n">
        <v>0</v>
      </c>
      <c r="AP18" t="inlineStr">
        <is>
          <t>No</t>
        </is>
      </c>
      <c r="AQ18" t="inlineStr">
        <is>
          <t>Yes</t>
        </is>
      </c>
      <c r="AR18">
        <f>HYPERLINK("http://catalog.hathitrust.org/Record/003883935","HathiTrust Record")</f>
        <v/>
      </c>
      <c r="AS18">
        <f>HYPERLINK("https://creighton-primo.hosted.exlibrisgroup.com/primo-explore/search?tab=default_tab&amp;search_scope=EVERYTHING&amp;vid=01CRU&amp;lang=en_US&amp;offset=0&amp;query=any,contains,991002985509702656","Catalog Record")</f>
        <v/>
      </c>
      <c r="AT18">
        <f>HYPERLINK("http://www.worldcat.org/oclc/40214259","WorldCat Record")</f>
        <v/>
      </c>
      <c r="AU18" t="inlineStr">
        <is>
          <t>908276649:eng</t>
        </is>
      </c>
      <c r="AV18" t="inlineStr">
        <is>
          <t>40214259</t>
        </is>
      </c>
      <c r="AW18" t="inlineStr">
        <is>
          <t>991002985509702656</t>
        </is>
      </c>
      <c r="AX18" t="inlineStr">
        <is>
          <t>991002985509702656</t>
        </is>
      </c>
      <c r="AY18" t="inlineStr">
        <is>
          <t>2270767070002656</t>
        </is>
      </c>
      <c r="AZ18" t="inlineStr">
        <is>
          <t>BOOK</t>
        </is>
      </c>
      <c r="BC18" t="inlineStr">
        <is>
          <t>32285003487047</t>
        </is>
      </c>
      <c r="BD18" t="inlineStr">
        <is>
          <t>893245900</t>
        </is>
      </c>
    </row>
    <row r="19">
      <c r="A19" t="inlineStr">
        <is>
          <t>No</t>
        </is>
      </c>
      <c r="B19" t="inlineStr">
        <is>
          <t>QL1 .W54 no.142</t>
        </is>
      </c>
      <c r="C19" t="inlineStr">
        <is>
          <t>0                      QL 0001000W  54                                                      no.142</t>
        </is>
      </c>
      <c r="D19" t="inlineStr">
        <is>
          <t>Ecological scale and forest development : squirrels, dietary fungi, and vascular plants in managed and unmanaged forests / by Andrew B. Carey ... [et al.].</t>
        </is>
      </c>
      <c r="E19" t="inlineStr">
        <is>
          <t>no.142*</t>
        </is>
      </c>
      <c r="F19" t="inlineStr">
        <is>
          <t>No</t>
        </is>
      </c>
      <c r="G19" t="inlineStr">
        <is>
          <t>1</t>
        </is>
      </c>
      <c r="H19" t="inlineStr">
        <is>
          <t>No</t>
        </is>
      </c>
      <c r="I19" t="inlineStr">
        <is>
          <t>No</t>
        </is>
      </c>
      <c r="J19" t="inlineStr">
        <is>
          <t>0</t>
        </is>
      </c>
      <c r="L19" t="inlineStr">
        <is>
          <t>Bethesda, MD : Wildlife Society, c1999.</t>
        </is>
      </c>
      <c r="M19" t="inlineStr">
        <is>
          <t>1999</t>
        </is>
      </c>
      <c r="O19" t="inlineStr">
        <is>
          <t>eng</t>
        </is>
      </c>
      <c r="P19" t="inlineStr">
        <is>
          <t>mdu</t>
        </is>
      </c>
      <c r="Q19" t="inlineStr">
        <is>
          <t>Wildlife monographs, 0084-0173 ; no. 142</t>
        </is>
      </c>
      <c r="R19" t="inlineStr">
        <is>
          <t xml:space="preserve">QL </t>
        </is>
      </c>
      <c r="S19" t="n">
        <v>1</v>
      </c>
      <c r="T19" t="n">
        <v>1</v>
      </c>
      <c r="U19" t="inlineStr">
        <is>
          <t>2000-03-27</t>
        </is>
      </c>
      <c r="V19" t="inlineStr">
        <is>
          <t>2000-03-27</t>
        </is>
      </c>
      <c r="W19" t="inlineStr">
        <is>
          <t>1999-02-10</t>
        </is>
      </c>
      <c r="X19" t="inlineStr">
        <is>
          <t>1999-02-10</t>
        </is>
      </c>
      <c r="Y19" t="n">
        <v>198</v>
      </c>
      <c r="Z19" t="n">
        <v>158</v>
      </c>
      <c r="AA19" t="n">
        <v>161</v>
      </c>
      <c r="AB19" t="n">
        <v>3</v>
      </c>
      <c r="AC19" t="n">
        <v>3</v>
      </c>
      <c r="AD19" t="n">
        <v>5</v>
      </c>
      <c r="AE19" t="n">
        <v>5</v>
      </c>
      <c r="AF19" t="n">
        <v>3</v>
      </c>
      <c r="AG19" t="n">
        <v>3</v>
      </c>
      <c r="AH19" t="n">
        <v>0</v>
      </c>
      <c r="AI19" t="n">
        <v>0</v>
      </c>
      <c r="AJ19" t="n">
        <v>1</v>
      </c>
      <c r="AK19" t="n">
        <v>1</v>
      </c>
      <c r="AL19" t="n">
        <v>2</v>
      </c>
      <c r="AM19" t="n">
        <v>2</v>
      </c>
      <c r="AN19" t="n">
        <v>0</v>
      </c>
      <c r="AO19" t="n">
        <v>0</v>
      </c>
      <c r="AP19" t="inlineStr">
        <is>
          <t>No</t>
        </is>
      </c>
      <c r="AQ19" t="inlineStr">
        <is>
          <t>Yes</t>
        </is>
      </c>
      <c r="AR19">
        <f>HYPERLINK("http://catalog.hathitrust.org/Record/003559792","HathiTrust Record")</f>
        <v/>
      </c>
      <c r="AS19">
        <f>HYPERLINK("https://creighton-primo.hosted.exlibrisgroup.com/primo-explore/search?tab=default_tab&amp;search_scope=EVERYTHING&amp;vid=01CRU&amp;lang=en_US&amp;offset=0&amp;query=any,contains,991003004999702656","Catalog Record")</f>
        <v/>
      </c>
      <c r="AT19">
        <f>HYPERLINK("http://www.worldcat.org/oclc/40718919","WorldCat Record")</f>
        <v/>
      </c>
      <c r="AU19" t="inlineStr">
        <is>
          <t>445578867:eng</t>
        </is>
      </c>
      <c r="AV19" t="inlineStr">
        <is>
          <t>40718919</t>
        </is>
      </c>
      <c r="AW19" t="inlineStr">
        <is>
          <t>991003004999702656</t>
        </is>
      </c>
      <c r="AX19" t="inlineStr">
        <is>
          <t>991003004999702656</t>
        </is>
      </c>
      <c r="AY19" t="inlineStr">
        <is>
          <t>2267273540002656</t>
        </is>
      </c>
      <c r="AZ19" t="inlineStr">
        <is>
          <t>BOOK</t>
        </is>
      </c>
      <c r="BC19" t="inlineStr">
        <is>
          <t>32285003518999</t>
        </is>
      </c>
      <c r="BD19" t="inlineStr">
        <is>
          <t>893233718</t>
        </is>
      </c>
    </row>
    <row r="20">
      <c r="A20" t="inlineStr">
        <is>
          <t>No</t>
        </is>
      </c>
      <c r="B20" t="inlineStr">
        <is>
          <t>QL1 .W54 no.146</t>
        </is>
      </c>
      <c r="C20" t="inlineStr">
        <is>
          <t>0                      QL 0001000W  54                                                      no.146</t>
        </is>
      </c>
      <c r="D20" t="inlineStr">
        <is>
          <t>Bioenergetics and nutrition of Mississippi Valley population Canada geese during winter and migration / by Robert J. Gates ... [et al.]</t>
        </is>
      </c>
      <c r="E20" t="inlineStr">
        <is>
          <t>no.146*</t>
        </is>
      </c>
      <c r="F20" t="inlineStr">
        <is>
          <t>No</t>
        </is>
      </c>
      <c r="G20" t="inlineStr">
        <is>
          <t>1</t>
        </is>
      </c>
      <c r="H20" t="inlineStr">
        <is>
          <t>No</t>
        </is>
      </c>
      <c r="I20" t="inlineStr">
        <is>
          <t>No</t>
        </is>
      </c>
      <c r="J20" t="inlineStr">
        <is>
          <t>0</t>
        </is>
      </c>
      <c r="K20" t="inlineStr">
        <is>
          <t>Gates, Robert J.</t>
        </is>
      </c>
      <c r="L20" t="inlineStr">
        <is>
          <t>[Bethesda, MD] : Wildlife Society, 2001, c2000.</t>
        </is>
      </c>
      <c r="M20" t="inlineStr">
        <is>
          <t>2001</t>
        </is>
      </c>
      <c r="O20" t="inlineStr">
        <is>
          <t>eng</t>
        </is>
      </c>
      <c r="P20" t="inlineStr">
        <is>
          <t>mdu</t>
        </is>
      </c>
      <c r="Q20" t="inlineStr">
        <is>
          <t>Wildlife monographs, 0084-0173 ; no. 146</t>
        </is>
      </c>
      <c r="R20" t="inlineStr">
        <is>
          <t xml:space="preserve">QL </t>
        </is>
      </c>
      <c r="S20" t="n">
        <v>3</v>
      </c>
      <c r="T20" t="n">
        <v>3</v>
      </c>
      <c r="U20" t="inlineStr">
        <is>
          <t>2010-03-01</t>
        </is>
      </c>
      <c r="V20" t="inlineStr">
        <is>
          <t>2010-03-01</t>
        </is>
      </c>
      <c r="W20" t="inlineStr">
        <is>
          <t>2001-03-01</t>
        </is>
      </c>
      <c r="X20" t="inlineStr">
        <is>
          <t>2001-03-01</t>
        </is>
      </c>
      <c r="Y20" t="n">
        <v>186</v>
      </c>
      <c r="Z20" t="n">
        <v>146</v>
      </c>
      <c r="AA20" t="n">
        <v>155</v>
      </c>
      <c r="AB20" t="n">
        <v>3</v>
      </c>
      <c r="AC20" t="n">
        <v>3</v>
      </c>
      <c r="AD20" t="n">
        <v>6</v>
      </c>
      <c r="AE20" t="n">
        <v>6</v>
      </c>
      <c r="AF20" t="n">
        <v>4</v>
      </c>
      <c r="AG20" t="n">
        <v>4</v>
      </c>
      <c r="AH20" t="n">
        <v>0</v>
      </c>
      <c r="AI20" t="n">
        <v>0</v>
      </c>
      <c r="AJ20" t="n">
        <v>2</v>
      </c>
      <c r="AK20" t="n">
        <v>2</v>
      </c>
      <c r="AL20" t="n">
        <v>2</v>
      </c>
      <c r="AM20" t="n">
        <v>2</v>
      </c>
      <c r="AN20" t="n">
        <v>0</v>
      </c>
      <c r="AO20" t="n">
        <v>0</v>
      </c>
      <c r="AP20" t="inlineStr">
        <is>
          <t>No</t>
        </is>
      </c>
      <c r="AQ20" t="inlineStr">
        <is>
          <t>Yes</t>
        </is>
      </c>
      <c r="AR20">
        <f>HYPERLINK("http://catalog.hathitrust.org/Record/003528551","HathiTrust Record")</f>
        <v/>
      </c>
      <c r="AS20">
        <f>HYPERLINK("https://creighton-primo.hosted.exlibrisgroup.com/primo-explore/search?tab=default_tab&amp;search_scope=EVERYTHING&amp;vid=01CRU&amp;lang=en_US&amp;offset=0&amp;query=any,contains,991003498809702656","Catalog Record")</f>
        <v/>
      </c>
      <c r="AT20">
        <f>HYPERLINK("http://www.worldcat.org/oclc/46315736","WorldCat Record")</f>
        <v/>
      </c>
      <c r="AU20" t="inlineStr">
        <is>
          <t>369560678:eng</t>
        </is>
      </c>
      <c r="AV20" t="inlineStr">
        <is>
          <t>46315736</t>
        </is>
      </c>
      <c r="AW20" t="inlineStr">
        <is>
          <t>991003498809702656</t>
        </is>
      </c>
      <c r="AX20" t="inlineStr">
        <is>
          <t>991003498809702656</t>
        </is>
      </c>
      <c r="AY20" t="inlineStr">
        <is>
          <t>2260315150002656</t>
        </is>
      </c>
      <c r="AZ20" t="inlineStr">
        <is>
          <t>BOOK</t>
        </is>
      </c>
      <c r="BC20" t="inlineStr">
        <is>
          <t>32285004298450</t>
        </is>
      </c>
      <c r="BD20" t="inlineStr">
        <is>
          <t>893505641</t>
        </is>
      </c>
    </row>
    <row r="21">
      <c r="A21" t="inlineStr">
        <is>
          <t>No</t>
        </is>
      </c>
      <c r="B21" t="inlineStr">
        <is>
          <t>QL1 .W54 no.147</t>
        </is>
      </c>
      <c r="C21" t="inlineStr">
        <is>
          <t>0                      QL 0001000W  54                                                      no.147</t>
        </is>
      </c>
      <c r="D21" t="inlineStr">
        <is>
          <t>Winter nutritional restriction and simulated body condition of Yellowstone elk and bison before and after the fires of 1988 / Glenn D. Delgiudice, Ron A. Moen, Francis J. Singer, and Michael R. Riggs.</t>
        </is>
      </c>
      <c r="E21" t="inlineStr">
        <is>
          <t>no.147*</t>
        </is>
      </c>
      <c r="F21" t="inlineStr">
        <is>
          <t>No</t>
        </is>
      </c>
      <c r="G21" t="inlineStr">
        <is>
          <t>1</t>
        </is>
      </c>
      <c r="H21" t="inlineStr">
        <is>
          <t>No</t>
        </is>
      </c>
      <c r="I21" t="inlineStr">
        <is>
          <t>No</t>
        </is>
      </c>
      <c r="J21" t="inlineStr">
        <is>
          <t>0</t>
        </is>
      </c>
      <c r="K21" t="inlineStr">
        <is>
          <t>DelGiudice, Glenn D. (Glenn David)</t>
        </is>
      </c>
      <c r="L21" t="inlineStr">
        <is>
          <t>Bethesda, MD : Wildlife Society, c2001.</t>
        </is>
      </c>
      <c r="M21" t="inlineStr">
        <is>
          <t>2001</t>
        </is>
      </c>
      <c r="O21" t="inlineStr">
        <is>
          <t>eng</t>
        </is>
      </c>
      <c r="P21" t="inlineStr">
        <is>
          <t>mdu</t>
        </is>
      </c>
      <c r="Q21" t="inlineStr">
        <is>
          <t>Wildlife monographs, 0084-0173 ; no. 147</t>
        </is>
      </c>
      <c r="R21" t="inlineStr">
        <is>
          <t xml:space="preserve">QL </t>
        </is>
      </c>
      <c r="S21" t="n">
        <v>1</v>
      </c>
      <c r="T21" t="n">
        <v>1</v>
      </c>
      <c r="U21" t="inlineStr">
        <is>
          <t>2001-11-06</t>
        </is>
      </c>
      <c r="V21" t="inlineStr">
        <is>
          <t>2001-11-06</t>
        </is>
      </c>
      <c r="W21" t="inlineStr">
        <is>
          <t>2001-11-05</t>
        </is>
      </c>
      <c r="X21" t="inlineStr">
        <is>
          <t>2001-11-05</t>
        </is>
      </c>
      <c r="Y21" t="n">
        <v>194</v>
      </c>
      <c r="Z21" t="n">
        <v>155</v>
      </c>
      <c r="AA21" t="n">
        <v>157</v>
      </c>
      <c r="AB21" t="n">
        <v>3</v>
      </c>
      <c r="AC21" t="n">
        <v>3</v>
      </c>
      <c r="AD21" t="n">
        <v>6</v>
      </c>
      <c r="AE21" t="n">
        <v>6</v>
      </c>
      <c r="AF21" t="n">
        <v>4</v>
      </c>
      <c r="AG21" t="n">
        <v>4</v>
      </c>
      <c r="AH21" t="n">
        <v>0</v>
      </c>
      <c r="AI21" t="n">
        <v>0</v>
      </c>
      <c r="AJ21" t="n">
        <v>2</v>
      </c>
      <c r="AK21" t="n">
        <v>2</v>
      </c>
      <c r="AL21" t="n">
        <v>2</v>
      </c>
      <c r="AM21" t="n">
        <v>2</v>
      </c>
      <c r="AN21" t="n">
        <v>0</v>
      </c>
      <c r="AO21" t="n">
        <v>0</v>
      </c>
      <c r="AP21" t="inlineStr">
        <is>
          <t>No</t>
        </is>
      </c>
      <c r="AQ21" t="inlineStr">
        <is>
          <t>Yes</t>
        </is>
      </c>
      <c r="AR21">
        <f>HYPERLINK("http://catalog.hathitrust.org/Record/003573914","HathiTrust Record")</f>
        <v/>
      </c>
      <c r="AS21">
        <f>HYPERLINK("https://creighton-primo.hosted.exlibrisgroup.com/primo-explore/search?tab=default_tab&amp;search_scope=EVERYTHING&amp;vid=01CRU&amp;lang=en_US&amp;offset=0&amp;query=any,contains,991003669919702656","Catalog Record")</f>
        <v/>
      </c>
      <c r="AT21">
        <f>HYPERLINK("http://www.worldcat.org/oclc/48261463","WorldCat Record")</f>
        <v/>
      </c>
      <c r="AU21" t="inlineStr">
        <is>
          <t>37112889:eng</t>
        </is>
      </c>
      <c r="AV21" t="inlineStr">
        <is>
          <t>48261463</t>
        </is>
      </c>
      <c r="AW21" t="inlineStr">
        <is>
          <t>991003669919702656</t>
        </is>
      </c>
      <c r="AX21" t="inlineStr">
        <is>
          <t>991003669919702656</t>
        </is>
      </c>
      <c r="AY21" t="inlineStr">
        <is>
          <t>2259385080002656</t>
        </is>
      </c>
      <c r="AZ21" t="inlineStr">
        <is>
          <t>BOOK</t>
        </is>
      </c>
      <c r="BC21" t="inlineStr">
        <is>
          <t>32285004417977</t>
        </is>
      </c>
      <c r="BD21" t="inlineStr">
        <is>
          <t>893324330</t>
        </is>
      </c>
    </row>
    <row r="22">
      <c r="A22" t="inlineStr">
        <is>
          <t>No</t>
        </is>
      </c>
      <c r="B22" t="inlineStr">
        <is>
          <t>QL1 .W54 no.148</t>
        </is>
      </c>
      <c r="C22" t="inlineStr">
        <is>
          <t>0                      QL 0001000W  54                                                      no.148</t>
        </is>
      </c>
      <c r="D22" t="inlineStr">
        <is>
          <t>Spatial ecology of Iberian lynx and abundance of European rabbits in southwestern Spain / Francisco Palomares, Miguel Delibes, Eloy Revilla, Javier Calzada, and Jose María Fedriani.</t>
        </is>
      </c>
      <c r="E22" t="inlineStr">
        <is>
          <t>no.148*</t>
        </is>
      </c>
      <c r="F22" t="inlineStr">
        <is>
          <t>No</t>
        </is>
      </c>
      <c r="G22" t="inlineStr">
        <is>
          <t>1</t>
        </is>
      </c>
      <c r="H22" t="inlineStr">
        <is>
          <t>No</t>
        </is>
      </c>
      <c r="I22" t="inlineStr">
        <is>
          <t>No</t>
        </is>
      </c>
      <c r="J22" t="inlineStr">
        <is>
          <t>0</t>
        </is>
      </c>
      <c r="K22" t="inlineStr">
        <is>
          <t>Palomares, Francisco.</t>
        </is>
      </c>
      <c r="L22" t="inlineStr">
        <is>
          <t>Bethesda, MD : Wildlife Society, c2001.</t>
        </is>
      </c>
      <c r="M22" t="inlineStr">
        <is>
          <t>2001</t>
        </is>
      </c>
      <c r="O22" t="inlineStr">
        <is>
          <t>eng</t>
        </is>
      </c>
      <c r="P22" t="inlineStr">
        <is>
          <t>mdu</t>
        </is>
      </c>
      <c r="Q22" t="inlineStr">
        <is>
          <t>Wildlife monographs, 0084-0173 ; no. 148</t>
        </is>
      </c>
      <c r="R22" t="inlineStr">
        <is>
          <t xml:space="preserve">QL </t>
        </is>
      </c>
      <c r="S22" t="n">
        <v>1</v>
      </c>
      <c r="T22" t="n">
        <v>1</v>
      </c>
      <c r="U22" t="inlineStr">
        <is>
          <t>2001-11-06</t>
        </is>
      </c>
      <c r="V22" t="inlineStr">
        <is>
          <t>2001-11-06</t>
        </is>
      </c>
      <c r="W22" t="inlineStr">
        <is>
          <t>2001-11-05</t>
        </is>
      </c>
      <c r="X22" t="inlineStr">
        <is>
          <t>2001-11-05</t>
        </is>
      </c>
      <c r="Y22" t="n">
        <v>188</v>
      </c>
      <c r="Z22" t="n">
        <v>148</v>
      </c>
      <c r="AA22" t="n">
        <v>150</v>
      </c>
      <c r="AB22" t="n">
        <v>3</v>
      </c>
      <c r="AC22" t="n">
        <v>3</v>
      </c>
      <c r="AD22" t="n">
        <v>6</v>
      </c>
      <c r="AE22" t="n">
        <v>6</v>
      </c>
      <c r="AF22" t="n">
        <v>4</v>
      </c>
      <c r="AG22" t="n">
        <v>4</v>
      </c>
      <c r="AH22" t="n">
        <v>0</v>
      </c>
      <c r="AI22" t="n">
        <v>0</v>
      </c>
      <c r="AJ22" t="n">
        <v>2</v>
      </c>
      <c r="AK22" t="n">
        <v>2</v>
      </c>
      <c r="AL22" t="n">
        <v>2</v>
      </c>
      <c r="AM22" t="n">
        <v>2</v>
      </c>
      <c r="AN22" t="n">
        <v>0</v>
      </c>
      <c r="AO22" t="n">
        <v>0</v>
      </c>
      <c r="AP22" t="inlineStr">
        <is>
          <t>No</t>
        </is>
      </c>
      <c r="AQ22" t="inlineStr">
        <is>
          <t>Yes</t>
        </is>
      </c>
      <c r="AR22">
        <f>HYPERLINK("http://catalog.hathitrust.org/Record/003573913","HathiTrust Record")</f>
        <v/>
      </c>
      <c r="AS22">
        <f>HYPERLINK("https://creighton-primo.hosted.exlibrisgroup.com/primo-explore/search?tab=default_tab&amp;search_scope=EVERYTHING&amp;vid=01CRU&amp;lang=en_US&amp;offset=0&amp;query=any,contains,991003669969702656","Catalog Record")</f>
        <v/>
      </c>
      <c r="AT22">
        <f>HYPERLINK("http://www.worldcat.org/oclc/48261215","WorldCat Record")</f>
        <v/>
      </c>
      <c r="AU22" t="inlineStr">
        <is>
          <t>37107104:eng</t>
        </is>
      </c>
      <c r="AV22" t="inlineStr">
        <is>
          <t>48261215</t>
        </is>
      </c>
      <c r="AW22" t="inlineStr">
        <is>
          <t>991003669969702656</t>
        </is>
      </c>
      <c r="AX22" t="inlineStr">
        <is>
          <t>991003669969702656</t>
        </is>
      </c>
      <c r="AY22" t="inlineStr">
        <is>
          <t>2259506300002656</t>
        </is>
      </c>
      <c r="AZ22" t="inlineStr">
        <is>
          <t>BOOK</t>
        </is>
      </c>
      <c r="BC22" t="inlineStr">
        <is>
          <t>32285004417985</t>
        </is>
      </c>
      <c r="BD22" t="inlineStr">
        <is>
          <t>893228301</t>
        </is>
      </c>
    </row>
    <row r="23">
      <c r="A23" t="inlineStr">
        <is>
          <t>No</t>
        </is>
      </c>
      <c r="B23" t="inlineStr">
        <is>
          <t>QL1 .W54 no.157</t>
        </is>
      </c>
      <c r="C23" t="inlineStr">
        <is>
          <t>0                      QL 0001000W  54                                                      no.157</t>
        </is>
      </c>
      <c r="D23" t="inlineStr">
        <is>
          <t>Effects of military operations on behavior and hearing of endangered Sonoran pronghorn / by Paul R. Krausman ... [et al.].</t>
        </is>
      </c>
      <c r="E23" t="inlineStr">
        <is>
          <t>no.157*</t>
        </is>
      </c>
      <c r="F23" t="inlineStr">
        <is>
          <t>No</t>
        </is>
      </c>
      <c r="G23" t="inlineStr">
        <is>
          <t>1</t>
        </is>
      </c>
      <c r="H23" t="inlineStr">
        <is>
          <t>No</t>
        </is>
      </c>
      <c r="I23" t="inlineStr">
        <is>
          <t>No</t>
        </is>
      </c>
      <c r="J23" t="inlineStr">
        <is>
          <t>0</t>
        </is>
      </c>
      <c r="L23" t="inlineStr">
        <is>
          <t>[Bethesda, Md.] : Wildlife Society, c2004.</t>
        </is>
      </c>
      <c r="M23" t="inlineStr">
        <is>
          <t>2004</t>
        </is>
      </c>
      <c r="O23" t="inlineStr">
        <is>
          <t>eng</t>
        </is>
      </c>
      <c r="P23" t="inlineStr">
        <is>
          <t>mdu</t>
        </is>
      </c>
      <c r="Q23" t="inlineStr">
        <is>
          <t>Wildlife monographs ; no. 157</t>
        </is>
      </c>
      <c r="R23" t="inlineStr">
        <is>
          <t xml:space="preserve">QL </t>
        </is>
      </c>
      <c r="S23" t="n">
        <v>1</v>
      </c>
      <c r="T23" t="n">
        <v>1</v>
      </c>
      <c r="U23" t="inlineStr">
        <is>
          <t>2004-08-17</t>
        </is>
      </c>
      <c r="V23" t="inlineStr">
        <is>
          <t>2004-08-17</t>
        </is>
      </c>
      <c r="W23" t="inlineStr">
        <is>
          <t>2004-08-17</t>
        </is>
      </c>
      <c r="X23" t="inlineStr">
        <is>
          <t>2004-08-17</t>
        </is>
      </c>
      <c r="Y23" t="n">
        <v>177</v>
      </c>
      <c r="Z23" t="n">
        <v>145</v>
      </c>
      <c r="AA23" t="n">
        <v>148</v>
      </c>
      <c r="AB23" t="n">
        <v>3</v>
      </c>
      <c r="AC23" t="n">
        <v>3</v>
      </c>
      <c r="AD23" t="n">
        <v>6</v>
      </c>
      <c r="AE23" t="n">
        <v>6</v>
      </c>
      <c r="AF23" t="n">
        <v>4</v>
      </c>
      <c r="AG23" t="n">
        <v>4</v>
      </c>
      <c r="AH23" t="n">
        <v>0</v>
      </c>
      <c r="AI23" t="n">
        <v>0</v>
      </c>
      <c r="AJ23" t="n">
        <v>2</v>
      </c>
      <c r="AK23" t="n">
        <v>2</v>
      </c>
      <c r="AL23" t="n">
        <v>2</v>
      </c>
      <c r="AM23" t="n">
        <v>2</v>
      </c>
      <c r="AN23" t="n">
        <v>0</v>
      </c>
      <c r="AO23" t="n">
        <v>0</v>
      </c>
      <c r="AP23" t="inlineStr">
        <is>
          <t>No</t>
        </is>
      </c>
      <c r="AQ23" t="inlineStr">
        <is>
          <t>Yes</t>
        </is>
      </c>
      <c r="AR23">
        <f>HYPERLINK("http://catalog.hathitrust.org/Record/004734500","HathiTrust Record")</f>
        <v/>
      </c>
      <c r="AS23">
        <f>HYPERLINK("https://creighton-primo.hosted.exlibrisgroup.com/primo-explore/search?tab=default_tab&amp;search_scope=EVERYTHING&amp;vid=01CRU&amp;lang=en_US&amp;offset=0&amp;query=any,contains,991004352009702656","Catalog Record")</f>
        <v/>
      </c>
      <c r="AT23">
        <f>HYPERLINK("http://www.worldcat.org/oclc/56081725","WorldCat Record")</f>
        <v/>
      </c>
      <c r="AU23" t="inlineStr">
        <is>
          <t>16305713:eng</t>
        </is>
      </c>
      <c r="AV23" t="inlineStr">
        <is>
          <t>56081725</t>
        </is>
      </c>
      <c r="AW23" t="inlineStr">
        <is>
          <t>991004352009702656</t>
        </is>
      </c>
      <c r="AX23" t="inlineStr">
        <is>
          <t>991004352009702656</t>
        </is>
      </c>
      <c r="AY23" t="inlineStr">
        <is>
          <t>2258363120002656</t>
        </is>
      </c>
      <c r="AZ23" t="inlineStr">
        <is>
          <t>BOOK</t>
        </is>
      </c>
      <c r="BC23" t="inlineStr">
        <is>
          <t>32285004982426</t>
        </is>
      </c>
      <c r="BD23" t="inlineStr">
        <is>
          <t>893429955</t>
        </is>
      </c>
    </row>
    <row r="24">
      <c r="A24" t="inlineStr">
        <is>
          <t>No</t>
        </is>
      </c>
      <c r="B24" t="inlineStr">
        <is>
          <t>QL1 .W54 no.162</t>
        </is>
      </c>
      <c r="C24" t="inlineStr">
        <is>
          <t>0                      QL 0001000W  54                                                      no.162</t>
        </is>
      </c>
      <c r="D24" t="inlineStr">
        <is>
          <t>Population dynamics of Greater Scaup Breeding on the Yukon-Kuskokwim Delta, Alaska / Paul L. Flint ... [et al.]</t>
        </is>
      </c>
      <c r="E24" t="inlineStr">
        <is>
          <t>no.162*</t>
        </is>
      </c>
      <c r="F24" t="inlineStr">
        <is>
          <t>No</t>
        </is>
      </c>
      <c r="G24" t="inlineStr">
        <is>
          <t>1</t>
        </is>
      </c>
      <c r="H24" t="inlineStr">
        <is>
          <t>No</t>
        </is>
      </c>
      <c r="I24" t="inlineStr">
        <is>
          <t>No</t>
        </is>
      </c>
      <c r="J24" t="inlineStr">
        <is>
          <t>0</t>
        </is>
      </c>
      <c r="L24" t="inlineStr">
        <is>
          <t>[Bethesda, MD?] Wildlife Society, c2006.</t>
        </is>
      </c>
      <c r="M24" t="inlineStr">
        <is>
          <t>2006</t>
        </is>
      </c>
      <c r="O24" t="inlineStr">
        <is>
          <t>eng</t>
        </is>
      </c>
      <c r="P24" t="inlineStr">
        <is>
          <t>mdu</t>
        </is>
      </c>
      <c r="Q24" t="inlineStr">
        <is>
          <t>Wildlife monographs ; no. 162</t>
        </is>
      </c>
      <c r="R24" t="inlineStr">
        <is>
          <t xml:space="preserve">QL </t>
        </is>
      </c>
      <c r="S24" t="n">
        <v>1</v>
      </c>
      <c r="T24" t="n">
        <v>1</v>
      </c>
      <c r="U24" t="inlineStr">
        <is>
          <t>2006-08-01</t>
        </is>
      </c>
      <c r="V24" t="inlineStr">
        <is>
          <t>2006-08-01</t>
        </is>
      </c>
      <c r="W24" t="inlineStr">
        <is>
          <t>2006-08-01</t>
        </is>
      </c>
      <c r="X24" t="inlineStr">
        <is>
          <t>2006-08-01</t>
        </is>
      </c>
      <c r="Y24" t="n">
        <v>148</v>
      </c>
      <c r="Z24" t="n">
        <v>120</v>
      </c>
      <c r="AA24" t="n">
        <v>122</v>
      </c>
      <c r="AB24" t="n">
        <v>3</v>
      </c>
      <c r="AC24" t="n">
        <v>3</v>
      </c>
      <c r="AD24" t="n">
        <v>6</v>
      </c>
      <c r="AE24" t="n">
        <v>6</v>
      </c>
      <c r="AF24" t="n">
        <v>3</v>
      </c>
      <c r="AG24" t="n">
        <v>3</v>
      </c>
      <c r="AH24" t="n">
        <v>1</v>
      </c>
      <c r="AI24" t="n">
        <v>1</v>
      </c>
      <c r="AJ24" t="n">
        <v>2</v>
      </c>
      <c r="AK24" t="n">
        <v>2</v>
      </c>
      <c r="AL24" t="n">
        <v>2</v>
      </c>
      <c r="AM24" t="n">
        <v>2</v>
      </c>
      <c r="AN24" t="n">
        <v>0</v>
      </c>
      <c r="AO24" t="n">
        <v>0</v>
      </c>
      <c r="AP24" t="inlineStr">
        <is>
          <t>No</t>
        </is>
      </c>
      <c r="AQ24" t="inlineStr">
        <is>
          <t>Yes</t>
        </is>
      </c>
      <c r="AR24">
        <f>HYPERLINK("http://catalog.hathitrust.org/Record/005899188","HathiTrust Record")</f>
        <v/>
      </c>
      <c r="AS24">
        <f>HYPERLINK("https://creighton-primo.hosted.exlibrisgroup.com/primo-explore/search?tab=default_tab&amp;search_scope=EVERYTHING&amp;vid=01CRU&amp;lang=en_US&amp;offset=0&amp;query=any,contains,991004897279702656","Catalog Record")</f>
        <v/>
      </c>
      <c r="AT24">
        <f>HYPERLINK("http://www.worldcat.org/oclc/70630681","WorldCat Record")</f>
        <v/>
      </c>
      <c r="AU24" t="inlineStr">
        <is>
          <t>481010481:eng</t>
        </is>
      </c>
      <c r="AV24" t="inlineStr">
        <is>
          <t>70630681</t>
        </is>
      </c>
      <c r="AW24" t="inlineStr">
        <is>
          <t>991004897279702656</t>
        </is>
      </c>
      <c r="AX24" t="inlineStr">
        <is>
          <t>991004897279702656</t>
        </is>
      </c>
      <c r="AY24" t="inlineStr">
        <is>
          <t>2259359510002656</t>
        </is>
      </c>
      <c r="AZ24" t="inlineStr">
        <is>
          <t>BOOK</t>
        </is>
      </c>
      <c r="BC24" t="inlineStr">
        <is>
          <t>32285005199236</t>
        </is>
      </c>
      <c r="BD24" t="inlineStr">
        <is>
          <t>893694469</t>
        </is>
      </c>
    </row>
    <row r="25">
      <c r="A25" t="inlineStr">
        <is>
          <t>No</t>
        </is>
      </c>
      <c r="B25" t="inlineStr">
        <is>
          <t>QL1 .W54 no.163</t>
        </is>
      </c>
      <c r="C25" t="inlineStr">
        <is>
          <t>0                      QL 0001000W  54                                                      no.163</t>
        </is>
      </c>
      <c r="D25" t="inlineStr">
        <is>
          <t>Status and trends in demography of northern spotted owls, 1985-2003 / Robert G. Anthony ... [et al.]</t>
        </is>
      </c>
      <c r="E25" t="inlineStr">
        <is>
          <t>no.163*</t>
        </is>
      </c>
      <c r="F25" t="inlineStr">
        <is>
          <t>No</t>
        </is>
      </c>
      <c r="G25" t="inlineStr">
        <is>
          <t>1</t>
        </is>
      </c>
      <c r="H25" t="inlineStr">
        <is>
          <t>No</t>
        </is>
      </c>
      <c r="I25" t="inlineStr">
        <is>
          <t>No</t>
        </is>
      </c>
      <c r="J25" t="inlineStr">
        <is>
          <t>0</t>
        </is>
      </c>
      <c r="L25" t="inlineStr">
        <is>
          <t>[Bethesda, MD? : Wiildlife Society, c2006]</t>
        </is>
      </c>
      <c r="M25" t="inlineStr">
        <is>
          <t>2006</t>
        </is>
      </c>
      <c r="O25" t="inlineStr">
        <is>
          <t>eng</t>
        </is>
      </c>
      <c r="P25" t="inlineStr">
        <is>
          <t>mdu</t>
        </is>
      </c>
      <c r="Q25" t="inlineStr">
        <is>
          <t>Wildlife monographs ; no. 163</t>
        </is>
      </c>
      <c r="R25" t="inlineStr">
        <is>
          <t xml:space="preserve">QL </t>
        </is>
      </c>
      <c r="S25" t="n">
        <v>2</v>
      </c>
      <c r="T25" t="n">
        <v>2</v>
      </c>
      <c r="U25" t="inlineStr">
        <is>
          <t>2008-02-23</t>
        </is>
      </c>
      <c r="V25" t="inlineStr">
        <is>
          <t>2008-02-23</t>
        </is>
      </c>
      <c r="W25" t="inlineStr">
        <is>
          <t>2006-10-03</t>
        </is>
      </c>
      <c r="X25" t="inlineStr">
        <is>
          <t>2006-10-03</t>
        </is>
      </c>
      <c r="Y25" t="n">
        <v>155</v>
      </c>
      <c r="Z25" t="n">
        <v>129</v>
      </c>
      <c r="AA25" t="n">
        <v>131</v>
      </c>
      <c r="AB25" t="n">
        <v>3</v>
      </c>
      <c r="AC25" t="n">
        <v>3</v>
      </c>
      <c r="AD25" t="n">
        <v>7</v>
      </c>
      <c r="AE25" t="n">
        <v>7</v>
      </c>
      <c r="AF25" t="n">
        <v>4</v>
      </c>
      <c r="AG25" t="n">
        <v>4</v>
      </c>
      <c r="AH25" t="n">
        <v>1</v>
      </c>
      <c r="AI25" t="n">
        <v>1</v>
      </c>
      <c r="AJ25" t="n">
        <v>2</v>
      </c>
      <c r="AK25" t="n">
        <v>2</v>
      </c>
      <c r="AL25" t="n">
        <v>2</v>
      </c>
      <c r="AM25" t="n">
        <v>2</v>
      </c>
      <c r="AN25" t="n">
        <v>0</v>
      </c>
      <c r="AO25" t="n">
        <v>0</v>
      </c>
      <c r="AP25" t="inlineStr">
        <is>
          <t>No</t>
        </is>
      </c>
      <c r="AQ25" t="inlineStr">
        <is>
          <t>Yes</t>
        </is>
      </c>
      <c r="AR25">
        <f>HYPERLINK("http://catalog.hathitrust.org/Record/005899185","HathiTrust Record")</f>
        <v/>
      </c>
      <c r="AS25">
        <f>HYPERLINK("https://creighton-primo.hosted.exlibrisgroup.com/primo-explore/search?tab=default_tab&amp;search_scope=EVERYTHING&amp;vid=01CRU&amp;lang=en_US&amp;offset=0&amp;query=any,contains,991004941989702656","Catalog Record")</f>
        <v/>
      </c>
      <c r="AT25">
        <f>HYPERLINK("http://www.worldcat.org/oclc/71361123","WorldCat Record")</f>
        <v/>
      </c>
      <c r="AU25" t="inlineStr">
        <is>
          <t>58302716:eng</t>
        </is>
      </c>
      <c r="AV25" t="inlineStr">
        <is>
          <t>71361123</t>
        </is>
      </c>
      <c r="AW25" t="inlineStr">
        <is>
          <t>991004941989702656</t>
        </is>
      </c>
      <c r="AX25" t="inlineStr">
        <is>
          <t>991004941989702656</t>
        </is>
      </c>
      <c r="AY25" t="inlineStr">
        <is>
          <t>2270849480002656</t>
        </is>
      </c>
      <c r="AZ25" t="inlineStr">
        <is>
          <t>BOOK</t>
        </is>
      </c>
      <c r="BC25" t="inlineStr">
        <is>
          <t>32285005226203</t>
        </is>
      </c>
      <c r="BD25" t="inlineStr">
        <is>
          <t>893895657</t>
        </is>
      </c>
    </row>
    <row r="26">
      <c r="A26" t="inlineStr">
        <is>
          <t>No</t>
        </is>
      </c>
      <c r="B26" t="inlineStr">
        <is>
          <t>QL1 .W54 no.164</t>
        </is>
      </c>
      <c r="C26" t="inlineStr">
        <is>
          <t>0                      QL 0001000W  54                                                      no.164</t>
        </is>
      </c>
      <c r="D26" t="inlineStr">
        <is>
          <t>Evaluation of factors potentially influencing a desert bighorn sheep population / Ted McKinney, Thorry W. Smith, James C. deVos Jr.</t>
        </is>
      </c>
      <c r="E26" t="inlineStr">
        <is>
          <t>no.164*</t>
        </is>
      </c>
      <c r="F26" t="inlineStr">
        <is>
          <t>No</t>
        </is>
      </c>
      <c r="G26" t="inlineStr">
        <is>
          <t>1</t>
        </is>
      </c>
      <c r="H26" t="inlineStr">
        <is>
          <t>No</t>
        </is>
      </c>
      <c r="I26" t="inlineStr">
        <is>
          <t>No</t>
        </is>
      </c>
      <c r="J26" t="inlineStr">
        <is>
          <t>0</t>
        </is>
      </c>
      <c r="K26" t="inlineStr">
        <is>
          <t>McKinney, Ted D.</t>
        </is>
      </c>
      <c r="L26" t="inlineStr">
        <is>
          <t>[Bethesda, MD? : Wiildlife Society, c2006]</t>
        </is>
      </c>
      <c r="M26" t="inlineStr">
        <is>
          <t>2006</t>
        </is>
      </c>
      <c r="O26" t="inlineStr">
        <is>
          <t>eng</t>
        </is>
      </c>
      <c r="P26" t="inlineStr">
        <is>
          <t>mdu</t>
        </is>
      </c>
      <c r="Q26" t="inlineStr">
        <is>
          <t>Wildlife monographs ; no. 164</t>
        </is>
      </c>
      <c r="R26" t="inlineStr">
        <is>
          <t xml:space="preserve">QL </t>
        </is>
      </c>
      <c r="S26" t="n">
        <v>2</v>
      </c>
      <c r="T26" t="n">
        <v>2</v>
      </c>
      <c r="U26" t="inlineStr">
        <is>
          <t>2006-10-03</t>
        </is>
      </c>
      <c r="V26" t="inlineStr">
        <is>
          <t>2006-10-03</t>
        </is>
      </c>
      <c r="W26" t="inlineStr">
        <is>
          <t>2006-10-03</t>
        </is>
      </c>
      <c r="X26" t="inlineStr">
        <is>
          <t>2006-10-03</t>
        </is>
      </c>
      <c r="Y26" t="n">
        <v>151</v>
      </c>
      <c r="Z26" t="n">
        <v>127</v>
      </c>
      <c r="AA26" t="n">
        <v>129</v>
      </c>
      <c r="AB26" t="n">
        <v>3</v>
      </c>
      <c r="AC26" t="n">
        <v>3</v>
      </c>
      <c r="AD26" t="n">
        <v>6</v>
      </c>
      <c r="AE26" t="n">
        <v>6</v>
      </c>
      <c r="AF26" t="n">
        <v>3</v>
      </c>
      <c r="AG26" t="n">
        <v>3</v>
      </c>
      <c r="AH26" t="n">
        <v>1</v>
      </c>
      <c r="AI26" t="n">
        <v>1</v>
      </c>
      <c r="AJ26" t="n">
        <v>2</v>
      </c>
      <c r="AK26" t="n">
        <v>2</v>
      </c>
      <c r="AL26" t="n">
        <v>2</v>
      </c>
      <c r="AM26" t="n">
        <v>2</v>
      </c>
      <c r="AN26" t="n">
        <v>0</v>
      </c>
      <c r="AO26" t="n">
        <v>0</v>
      </c>
      <c r="AP26" t="inlineStr">
        <is>
          <t>No</t>
        </is>
      </c>
      <c r="AQ26" t="inlineStr">
        <is>
          <t>Yes</t>
        </is>
      </c>
      <c r="AR26">
        <f>HYPERLINK("http://catalog.hathitrust.org/Record/005899183","HathiTrust Record")</f>
        <v/>
      </c>
      <c r="AS26">
        <f>HYPERLINK("https://creighton-primo.hosted.exlibrisgroup.com/primo-explore/search?tab=default_tab&amp;search_scope=EVERYTHING&amp;vid=01CRU&amp;lang=en_US&amp;offset=0&amp;query=any,contains,991004942019702656","Catalog Record")</f>
        <v/>
      </c>
      <c r="AT26">
        <f>HYPERLINK("http://www.worldcat.org/oclc/71361148","WorldCat Record")</f>
        <v/>
      </c>
      <c r="AU26" t="inlineStr">
        <is>
          <t>140769122:eng</t>
        </is>
      </c>
      <c r="AV26" t="inlineStr">
        <is>
          <t>71361148</t>
        </is>
      </c>
      <c r="AW26" t="inlineStr">
        <is>
          <t>991004942019702656</t>
        </is>
      </c>
      <c r="AX26" t="inlineStr">
        <is>
          <t>991004942019702656</t>
        </is>
      </c>
      <c r="AY26" t="inlineStr">
        <is>
          <t>2270846100002656</t>
        </is>
      </c>
      <c r="AZ26" t="inlineStr">
        <is>
          <t>BOOK</t>
        </is>
      </c>
      <c r="BC26" t="inlineStr">
        <is>
          <t>32285005226211</t>
        </is>
      </c>
      <c r="BD26" t="inlineStr">
        <is>
          <t>893236082</t>
        </is>
      </c>
    </row>
    <row r="27">
      <c r="A27" t="inlineStr">
        <is>
          <t>No</t>
        </is>
      </c>
      <c r="B27" t="inlineStr">
        <is>
          <t>QL1 .Z733 no. 22</t>
        </is>
      </c>
      <c r="C27" t="inlineStr">
        <is>
          <t>0                      QL 0001000Z  733                                                     no. 22</t>
        </is>
      </c>
      <c r="D27" t="inlineStr">
        <is>
          <t>Studies in the structure, physiology and ecology of molluscs : the proceedings of a symposium held at the Zoological Society of London on 8 and 9 March, 1967 / edited by Vera Fretter.</t>
        </is>
      </c>
      <c r="E27" t="inlineStr">
        <is>
          <t>no. 22*</t>
        </is>
      </c>
      <c r="F27" t="inlineStr">
        <is>
          <t>No</t>
        </is>
      </c>
      <c r="G27" t="inlineStr">
        <is>
          <t>1</t>
        </is>
      </c>
      <c r="H27" t="inlineStr">
        <is>
          <t>No</t>
        </is>
      </c>
      <c r="I27" t="inlineStr">
        <is>
          <t>No</t>
        </is>
      </c>
      <c r="J27" t="inlineStr">
        <is>
          <t>0</t>
        </is>
      </c>
      <c r="L27" t="inlineStr">
        <is>
          <t>London ; New York : published for the Zoological Study of London by Academic P., 1968.</t>
        </is>
      </c>
      <c r="M27" t="inlineStr">
        <is>
          <t>1968</t>
        </is>
      </c>
      <c r="O27" t="inlineStr">
        <is>
          <t>eng</t>
        </is>
      </c>
      <c r="P27" t="inlineStr">
        <is>
          <t>enk</t>
        </is>
      </c>
      <c r="Q27" t="inlineStr">
        <is>
          <t>Symposia of the Zoological Society of London ; no. 22</t>
        </is>
      </c>
      <c r="R27" t="inlineStr">
        <is>
          <t xml:space="preserve">QL </t>
        </is>
      </c>
      <c r="S27" t="n">
        <v>1</v>
      </c>
      <c r="T27" t="n">
        <v>1</v>
      </c>
      <c r="U27" t="inlineStr">
        <is>
          <t>2006-02-17</t>
        </is>
      </c>
      <c r="V27" t="inlineStr">
        <is>
          <t>2006-02-17</t>
        </is>
      </c>
      <c r="W27" t="inlineStr">
        <is>
          <t>2000-06-15</t>
        </is>
      </c>
      <c r="X27" t="inlineStr">
        <is>
          <t>2000-06-15</t>
        </is>
      </c>
      <c r="Y27" t="n">
        <v>457</v>
      </c>
      <c r="Z27" t="n">
        <v>349</v>
      </c>
      <c r="AA27" t="n">
        <v>353</v>
      </c>
      <c r="AB27" t="n">
        <v>1</v>
      </c>
      <c r="AC27" t="n">
        <v>1</v>
      </c>
      <c r="AD27" t="n">
        <v>15</v>
      </c>
      <c r="AE27" t="n">
        <v>16</v>
      </c>
      <c r="AF27" t="n">
        <v>6</v>
      </c>
      <c r="AG27" t="n">
        <v>6</v>
      </c>
      <c r="AH27" t="n">
        <v>5</v>
      </c>
      <c r="AI27" t="n">
        <v>6</v>
      </c>
      <c r="AJ27" t="n">
        <v>8</v>
      </c>
      <c r="AK27" t="n">
        <v>9</v>
      </c>
      <c r="AL27" t="n">
        <v>0</v>
      </c>
      <c r="AM27" t="n">
        <v>0</v>
      </c>
      <c r="AN27" t="n">
        <v>0</v>
      </c>
      <c r="AO27" t="n">
        <v>0</v>
      </c>
      <c r="AP27" t="inlineStr">
        <is>
          <t>No</t>
        </is>
      </c>
      <c r="AQ27" t="inlineStr">
        <is>
          <t>Yes</t>
        </is>
      </c>
      <c r="AR27">
        <f>HYPERLINK("http://catalog.hathitrust.org/Record/001692266","HathiTrust Record")</f>
        <v/>
      </c>
      <c r="AS27">
        <f>HYPERLINK("https://creighton-primo.hosted.exlibrisgroup.com/primo-explore/search?tab=default_tab&amp;search_scope=EVERYTHING&amp;vid=01CRU&amp;lang=en_US&amp;offset=0&amp;query=any,contains,991003089599702656","Catalog Record")</f>
        <v/>
      </c>
      <c r="AT27">
        <f>HYPERLINK("http://www.worldcat.org/oclc/564510","WorldCat Record")</f>
        <v/>
      </c>
      <c r="AU27" t="inlineStr">
        <is>
          <t>793129778:eng</t>
        </is>
      </c>
      <c r="AV27" t="inlineStr">
        <is>
          <t>564510</t>
        </is>
      </c>
      <c r="AW27" t="inlineStr">
        <is>
          <t>991003089599702656</t>
        </is>
      </c>
      <c r="AX27" t="inlineStr">
        <is>
          <t>991003089599702656</t>
        </is>
      </c>
      <c r="AY27" t="inlineStr">
        <is>
          <t>2256964030002656</t>
        </is>
      </c>
      <c r="AZ27" t="inlineStr">
        <is>
          <t>BOOK</t>
        </is>
      </c>
      <c r="BC27" t="inlineStr">
        <is>
          <t>32285001967735</t>
        </is>
      </c>
      <c r="BD27" t="inlineStr">
        <is>
          <t>893258062</t>
        </is>
      </c>
    </row>
    <row r="28">
      <c r="A28" t="inlineStr">
        <is>
          <t>No</t>
        </is>
      </c>
      <c r="B28" t="inlineStr">
        <is>
          <t>QL1 .Z733 no. 34</t>
        </is>
      </c>
      <c r="C28" t="inlineStr">
        <is>
          <t>0                      QL 0001000Z  733                                                     no. 34</t>
        </is>
      </c>
      <c r="D28" t="inlineStr">
        <is>
          <t>The Biology of hystricomorph rodents : the proceedings of a symposium held at the Zoological Society of London on 7 and 8 June, 1973 / edited by I. W. Rowlands and Barbara J. Weir.</t>
        </is>
      </c>
      <c r="E28" t="inlineStr">
        <is>
          <t>no. 34*</t>
        </is>
      </c>
      <c r="F28" t="inlineStr">
        <is>
          <t>No</t>
        </is>
      </c>
      <c r="G28" t="inlineStr">
        <is>
          <t>1</t>
        </is>
      </c>
      <c r="H28" t="inlineStr">
        <is>
          <t>No</t>
        </is>
      </c>
      <c r="I28" t="inlineStr">
        <is>
          <t>No</t>
        </is>
      </c>
      <c r="J28" t="inlineStr">
        <is>
          <t>0</t>
        </is>
      </c>
      <c r="L28" t="inlineStr">
        <is>
          <t>London : Published for the Zoological Society of London by Academic Press, 1974.</t>
        </is>
      </c>
      <c r="M28" t="inlineStr">
        <is>
          <t>1974</t>
        </is>
      </c>
      <c r="O28" t="inlineStr">
        <is>
          <t>eng</t>
        </is>
      </c>
      <c r="P28" t="inlineStr">
        <is>
          <t>enk</t>
        </is>
      </c>
      <c r="Q28" t="inlineStr">
        <is>
          <t>Symposia of the Zoological Society of London ; no. 34</t>
        </is>
      </c>
      <c r="R28" t="inlineStr">
        <is>
          <t xml:space="preserve">QL </t>
        </is>
      </c>
      <c r="S28" t="n">
        <v>0</v>
      </c>
      <c r="T28" t="n">
        <v>0</v>
      </c>
      <c r="U28" t="inlineStr">
        <is>
          <t>2009-03-18</t>
        </is>
      </c>
      <c r="V28" t="inlineStr">
        <is>
          <t>2009-03-18</t>
        </is>
      </c>
      <c r="W28" t="inlineStr">
        <is>
          <t>2001-04-24</t>
        </is>
      </c>
      <c r="X28" t="inlineStr">
        <is>
          <t>2001-04-24</t>
        </is>
      </c>
      <c r="Y28" t="n">
        <v>267</v>
      </c>
      <c r="Z28" t="n">
        <v>180</v>
      </c>
      <c r="AA28" t="n">
        <v>240</v>
      </c>
      <c r="AB28" t="n">
        <v>1</v>
      </c>
      <c r="AC28" t="n">
        <v>1</v>
      </c>
      <c r="AD28" t="n">
        <v>6</v>
      </c>
      <c r="AE28" t="n">
        <v>6</v>
      </c>
      <c r="AF28" t="n">
        <v>1</v>
      </c>
      <c r="AG28" t="n">
        <v>1</v>
      </c>
      <c r="AH28" t="n">
        <v>3</v>
      </c>
      <c r="AI28" t="n">
        <v>3</v>
      </c>
      <c r="AJ28" t="n">
        <v>5</v>
      </c>
      <c r="AK28" t="n">
        <v>5</v>
      </c>
      <c r="AL28" t="n">
        <v>0</v>
      </c>
      <c r="AM28" t="n">
        <v>0</v>
      </c>
      <c r="AN28" t="n">
        <v>0</v>
      </c>
      <c r="AO28" t="n">
        <v>0</v>
      </c>
      <c r="AP28" t="inlineStr">
        <is>
          <t>No</t>
        </is>
      </c>
      <c r="AQ28" t="inlineStr">
        <is>
          <t>Yes</t>
        </is>
      </c>
      <c r="AR28">
        <f>HYPERLINK("http://catalog.hathitrust.org/Record/001692273","HathiTrust Record")</f>
        <v/>
      </c>
      <c r="AS28">
        <f>HYPERLINK("https://creighton-primo.hosted.exlibrisgroup.com/primo-explore/search?tab=default_tab&amp;search_scope=EVERYTHING&amp;vid=01CRU&amp;lang=en_US&amp;offset=0&amp;query=any,contains,991005257279702656","Catalog Record")</f>
        <v/>
      </c>
      <c r="AT28">
        <f>HYPERLINK("http://www.worldcat.org/oclc/3255688","WorldCat Record")</f>
        <v/>
      </c>
      <c r="AU28" t="inlineStr">
        <is>
          <t>795126889:eng</t>
        </is>
      </c>
      <c r="AV28" t="inlineStr">
        <is>
          <t>3255688</t>
        </is>
      </c>
      <c r="AW28" t="inlineStr">
        <is>
          <t>991005257279702656</t>
        </is>
      </c>
      <c r="AX28" t="inlineStr">
        <is>
          <t>991005257279702656</t>
        </is>
      </c>
      <c r="AY28" t="inlineStr">
        <is>
          <t>2272344630002656</t>
        </is>
      </c>
      <c r="AZ28" t="inlineStr">
        <is>
          <t>BOOK</t>
        </is>
      </c>
      <c r="BB28" t="inlineStr">
        <is>
          <t>9780126133349</t>
        </is>
      </c>
      <c r="BC28" t="inlineStr">
        <is>
          <t>32285001967818</t>
        </is>
      </c>
      <c r="BD28" t="inlineStr">
        <is>
          <t>893713749</t>
        </is>
      </c>
    </row>
    <row r="29">
      <c r="A29" t="inlineStr">
        <is>
          <t>No</t>
        </is>
      </c>
      <c r="B29" t="inlineStr">
        <is>
          <t>QL1 .Z733 no. 43</t>
        </is>
      </c>
      <c r="C29" t="inlineStr">
        <is>
          <t>0                      QL 0001000Z  733                                                     no. 43</t>
        </is>
      </c>
      <c r="D29" t="inlineStr">
        <is>
          <t>Artificial breeding of non-domestic animals : (the proceedings of a symposium held at the Zoological Society of London on 7 and 8 September 1977) / edited by P. F. Watson.</t>
        </is>
      </c>
      <c r="E29" t="inlineStr">
        <is>
          <t>no. 43*</t>
        </is>
      </c>
      <c r="F29" t="inlineStr">
        <is>
          <t>No</t>
        </is>
      </c>
      <c r="G29" t="inlineStr">
        <is>
          <t>1</t>
        </is>
      </c>
      <c r="H29" t="inlineStr">
        <is>
          <t>No</t>
        </is>
      </c>
      <c r="I29" t="inlineStr">
        <is>
          <t>No</t>
        </is>
      </c>
      <c r="J29" t="inlineStr">
        <is>
          <t>0</t>
        </is>
      </c>
      <c r="L29" t="inlineStr">
        <is>
          <t>London ; New York : Academic Press for the Zoological Society of London, 1978.</t>
        </is>
      </c>
      <c r="M29" t="inlineStr">
        <is>
          <t>1978</t>
        </is>
      </c>
      <c r="O29" t="inlineStr">
        <is>
          <t>eng</t>
        </is>
      </c>
      <c r="P29" t="inlineStr">
        <is>
          <t>enk</t>
        </is>
      </c>
      <c r="Q29" t="inlineStr">
        <is>
          <t>Symposia of the Zoological Society of London ; no. 43</t>
        </is>
      </c>
      <c r="R29" t="inlineStr">
        <is>
          <t xml:space="preserve">QL </t>
        </is>
      </c>
      <c r="S29" t="n">
        <v>1</v>
      </c>
      <c r="T29" t="n">
        <v>1</v>
      </c>
      <c r="U29" t="inlineStr">
        <is>
          <t>1992-10-14</t>
        </is>
      </c>
      <c r="V29" t="inlineStr">
        <is>
          <t>1992-10-14</t>
        </is>
      </c>
      <c r="W29" t="inlineStr">
        <is>
          <t>1992-10-14</t>
        </is>
      </c>
      <c r="X29" t="inlineStr">
        <is>
          <t>1992-10-14</t>
        </is>
      </c>
      <c r="Y29" t="n">
        <v>298</v>
      </c>
      <c r="Z29" t="n">
        <v>202</v>
      </c>
      <c r="AA29" t="n">
        <v>216</v>
      </c>
      <c r="AB29" t="n">
        <v>1</v>
      </c>
      <c r="AC29" t="n">
        <v>1</v>
      </c>
      <c r="AD29" t="n">
        <v>4</v>
      </c>
      <c r="AE29" t="n">
        <v>5</v>
      </c>
      <c r="AF29" t="n">
        <v>0</v>
      </c>
      <c r="AG29" t="n">
        <v>0</v>
      </c>
      <c r="AH29" t="n">
        <v>3</v>
      </c>
      <c r="AI29" t="n">
        <v>4</v>
      </c>
      <c r="AJ29" t="n">
        <v>2</v>
      </c>
      <c r="AK29" t="n">
        <v>3</v>
      </c>
      <c r="AL29" t="n">
        <v>0</v>
      </c>
      <c r="AM29" t="n">
        <v>0</v>
      </c>
      <c r="AN29" t="n">
        <v>0</v>
      </c>
      <c r="AO29" t="n">
        <v>0</v>
      </c>
      <c r="AP29" t="inlineStr">
        <is>
          <t>No</t>
        </is>
      </c>
      <c r="AQ29" t="inlineStr">
        <is>
          <t>Yes</t>
        </is>
      </c>
      <c r="AR29">
        <f>HYPERLINK("http://catalog.hathitrust.org/Record/007474847","HathiTrust Record")</f>
        <v/>
      </c>
      <c r="AS29">
        <f>HYPERLINK("https://creighton-primo.hosted.exlibrisgroup.com/primo-explore/search?tab=default_tab&amp;search_scope=EVERYTHING&amp;vid=01CRU&amp;lang=en_US&amp;offset=0&amp;query=any,contains,991004857969702656","Catalog Record")</f>
        <v/>
      </c>
      <c r="AT29">
        <f>HYPERLINK("http://www.worldcat.org/oclc/5676848","WorldCat Record")</f>
        <v/>
      </c>
      <c r="AU29" t="inlineStr">
        <is>
          <t>803225749:eng</t>
        </is>
      </c>
      <c r="AV29" t="inlineStr">
        <is>
          <t>5676848</t>
        </is>
      </c>
      <c r="AW29" t="inlineStr">
        <is>
          <t>991004857969702656</t>
        </is>
      </c>
      <c r="AX29" t="inlineStr">
        <is>
          <t>991004857969702656</t>
        </is>
      </c>
      <c r="AY29" t="inlineStr">
        <is>
          <t>2260075310002656</t>
        </is>
      </c>
      <c r="AZ29" t="inlineStr">
        <is>
          <t>BOOK</t>
        </is>
      </c>
      <c r="BB29" t="inlineStr">
        <is>
          <t>9780126133431</t>
        </is>
      </c>
      <c r="BC29" t="inlineStr">
        <is>
          <t>32285001348449</t>
        </is>
      </c>
      <c r="BD29" t="inlineStr">
        <is>
          <t>893883040</t>
        </is>
      </c>
    </row>
    <row r="30">
      <c r="A30" t="inlineStr">
        <is>
          <t>No</t>
        </is>
      </c>
      <c r="B30" t="inlineStr">
        <is>
          <t>QL1 .Z733 no.15</t>
        </is>
      </c>
      <c r="C30" t="inlineStr">
        <is>
          <t>0                      QL 0001000Z  733                                                     no.15</t>
        </is>
      </c>
      <c r="D30" t="inlineStr">
        <is>
          <t>Comparative biology of reproduction in mammals : the proceedings of an international symposium / edited by I. W. Rowlands.</t>
        </is>
      </c>
      <c r="E30" t="inlineStr">
        <is>
          <t>no.15*</t>
        </is>
      </c>
      <c r="F30" t="inlineStr">
        <is>
          <t>No</t>
        </is>
      </c>
      <c r="G30" t="inlineStr">
        <is>
          <t>1</t>
        </is>
      </c>
      <c r="H30" t="inlineStr">
        <is>
          <t>No</t>
        </is>
      </c>
      <c r="I30" t="inlineStr">
        <is>
          <t>No</t>
        </is>
      </c>
      <c r="J30" t="inlineStr">
        <is>
          <t>0</t>
        </is>
      </c>
      <c r="K30" t="inlineStr">
        <is>
          <t>Rowlands, I. W.</t>
        </is>
      </c>
      <c r="L30" t="inlineStr">
        <is>
          <t>[London] : Published for the Zoological Society of London by Academic Press, 1966.</t>
        </is>
      </c>
      <c r="M30" t="inlineStr">
        <is>
          <t>1966</t>
        </is>
      </c>
      <c r="O30" t="inlineStr">
        <is>
          <t>eng</t>
        </is>
      </c>
      <c r="P30" t="inlineStr">
        <is>
          <t>enk</t>
        </is>
      </c>
      <c r="Q30" t="inlineStr">
        <is>
          <t>Symposia of the Zoological Society of London ; no. 15</t>
        </is>
      </c>
      <c r="R30" t="inlineStr">
        <is>
          <t xml:space="preserve">QL </t>
        </is>
      </c>
      <c r="S30" t="n">
        <v>2</v>
      </c>
      <c r="T30" t="n">
        <v>2</v>
      </c>
      <c r="U30" t="inlineStr">
        <is>
          <t>2004-02-21</t>
        </is>
      </c>
      <c r="V30" t="inlineStr">
        <is>
          <t>2004-02-21</t>
        </is>
      </c>
      <c r="W30" t="inlineStr">
        <is>
          <t>2000-06-15</t>
        </is>
      </c>
      <c r="X30" t="inlineStr">
        <is>
          <t>2000-06-15</t>
        </is>
      </c>
      <c r="Y30" t="n">
        <v>417</v>
      </c>
      <c r="Z30" t="n">
        <v>330</v>
      </c>
      <c r="AA30" t="n">
        <v>331</v>
      </c>
      <c r="AB30" t="n">
        <v>3</v>
      </c>
      <c r="AC30" t="n">
        <v>3</v>
      </c>
      <c r="AD30" t="n">
        <v>14</v>
      </c>
      <c r="AE30" t="n">
        <v>14</v>
      </c>
      <c r="AF30" t="n">
        <v>5</v>
      </c>
      <c r="AG30" t="n">
        <v>5</v>
      </c>
      <c r="AH30" t="n">
        <v>3</v>
      </c>
      <c r="AI30" t="n">
        <v>3</v>
      </c>
      <c r="AJ30" t="n">
        <v>8</v>
      </c>
      <c r="AK30" t="n">
        <v>8</v>
      </c>
      <c r="AL30" t="n">
        <v>2</v>
      </c>
      <c r="AM30" t="n">
        <v>2</v>
      </c>
      <c r="AN30" t="n">
        <v>0</v>
      </c>
      <c r="AO30" t="n">
        <v>0</v>
      </c>
      <c r="AP30" t="inlineStr">
        <is>
          <t>No</t>
        </is>
      </c>
      <c r="AQ30" t="inlineStr">
        <is>
          <t>Yes</t>
        </is>
      </c>
      <c r="AR30">
        <f>HYPERLINK("http://catalog.hathitrust.org/Record/001554245","HathiTrust Record")</f>
        <v/>
      </c>
      <c r="AS30">
        <f>HYPERLINK("https://creighton-primo.hosted.exlibrisgroup.com/primo-explore/search?tab=default_tab&amp;search_scope=EVERYTHING&amp;vid=01CRU&amp;lang=en_US&amp;offset=0&amp;query=any,contains,991003091099702656","Catalog Record")</f>
        <v/>
      </c>
      <c r="AT30">
        <f>HYPERLINK("http://www.worldcat.org/oclc/711507","WorldCat Record")</f>
        <v/>
      </c>
      <c r="AU30" t="inlineStr">
        <is>
          <t>8911539922:eng</t>
        </is>
      </c>
      <c r="AV30" t="inlineStr">
        <is>
          <t>711507</t>
        </is>
      </c>
      <c r="AW30" t="inlineStr">
        <is>
          <t>991003091099702656</t>
        </is>
      </c>
      <c r="AX30" t="inlineStr">
        <is>
          <t>991003091099702656</t>
        </is>
      </c>
      <c r="AY30" t="inlineStr">
        <is>
          <t>2261903050002656</t>
        </is>
      </c>
      <c r="AZ30" t="inlineStr">
        <is>
          <t>BOOK</t>
        </is>
      </c>
      <c r="BC30" t="inlineStr">
        <is>
          <t>32285001967685</t>
        </is>
      </c>
      <c r="BD30" t="inlineStr">
        <is>
          <t>893686185</t>
        </is>
      </c>
    </row>
    <row r="31">
      <c r="A31" t="inlineStr">
        <is>
          <t>No</t>
        </is>
      </c>
      <c r="B31" t="inlineStr">
        <is>
          <t>QL1 .Z733 no.18</t>
        </is>
      </c>
      <c r="C31" t="inlineStr">
        <is>
          <t>0                      QL 0001000Z  733                                                     no.18</t>
        </is>
      </c>
      <c r="D31" t="inlineStr">
        <is>
          <t>Play, exploration and territory in mammals : the proceedings of a symposium held at the Zoological Society of London on 19 and 20 November 1965 / edited by P. A. Jewell and Caroline Loizos.</t>
        </is>
      </c>
      <c r="E31" t="inlineStr">
        <is>
          <t>no.18*</t>
        </is>
      </c>
      <c r="F31" t="inlineStr">
        <is>
          <t>No</t>
        </is>
      </c>
      <c r="G31" t="inlineStr">
        <is>
          <t>1</t>
        </is>
      </c>
      <c r="H31" t="inlineStr">
        <is>
          <t>No</t>
        </is>
      </c>
      <c r="I31" t="inlineStr">
        <is>
          <t>No</t>
        </is>
      </c>
      <c r="J31" t="inlineStr">
        <is>
          <t>0</t>
        </is>
      </c>
      <c r="L31" t="inlineStr">
        <is>
          <t>New York] : Published for the Zoological Society of London by Academic Press, 1966.</t>
        </is>
      </c>
      <c r="M31" t="inlineStr">
        <is>
          <t>1966</t>
        </is>
      </c>
      <c r="N31" t="inlineStr">
        <is>
          <t>[U.S. ed.</t>
        </is>
      </c>
      <c r="O31" t="inlineStr">
        <is>
          <t>eng</t>
        </is>
      </c>
      <c r="P31" t="inlineStr">
        <is>
          <t>nyu</t>
        </is>
      </c>
      <c r="Q31" t="inlineStr">
        <is>
          <t>Symposia of the Zoological Society of London ; no. 18</t>
        </is>
      </c>
      <c r="R31" t="inlineStr">
        <is>
          <t xml:space="preserve">QL </t>
        </is>
      </c>
      <c r="S31" t="n">
        <v>1</v>
      </c>
      <c r="T31" t="n">
        <v>1</v>
      </c>
      <c r="U31" t="inlineStr">
        <is>
          <t>2007-02-23</t>
        </is>
      </c>
      <c r="V31" t="inlineStr">
        <is>
          <t>2007-02-23</t>
        </is>
      </c>
      <c r="W31" t="inlineStr">
        <is>
          <t>2000-06-15</t>
        </is>
      </c>
      <c r="X31" t="inlineStr">
        <is>
          <t>2000-06-15</t>
        </is>
      </c>
      <c r="Y31" t="n">
        <v>503</v>
      </c>
      <c r="Z31" t="n">
        <v>412</v>
      </c>
      <c r="AA31" t="n">
        <v>419</v>
      </c>
      <c r="AB31" t="n">
        <v>3</v>
      </c>
      <c r="AC31" t="n">
        <v>3</v>
      </c>
      <c r="AD31" t="n">
        <v>17</v>
      </c>
      <c r="AE31" t="n">
        <v>17</v>
      </c>
      <c r="AF31" t="n">
        <v>3</v>
      </c>
      <c r="AG31" t="n">
        <v>3</v>
      </c>
      <c r="AH31" t="n">
        <v>3</v>
      </c>
      <c r="AI31" t="n">
        <v>3</v>
      </c>
      <c r="AJ31" t="n">
        <v>11</v>
      </c>
      <c r="AK31" t="n">
        <v>11</v>
      </c>
      <c r="AL31" t="n">
        <v>2</v>
      </c>
      <c r="AM31" t="n">
        <v>2</v>
      </c>
      <c r="AN31" t="n">
        <v>0</v>
      </c>
      <c r="AO31" t="n">
        <v>0</v>
      </c>
      <c r="AP31" t="inlineStr">
        <is>
          <t>No</t>
        </is>
      </c>
      <c r="AQ31" t="inlineStr">
        <is>
          <t>No</t>
        </is>
      </c>
      <c r="AS31">
        <f>HYPERLINK("https://creighton-primo.hosted.exlibrisgroup.com/primo-explore/search?tab=default_tab&amp;search_scope=EVERYTHING&amp;vid=01CRU&amp;lang=en_US&amp;offset=0&amp;query=any,contains,991003087999702656","Catalog Record")</f>
        <v/>
      </c>
      <c r="AT31">
        <f>HYPERLINK("http://www.worldcat.org/oclc/467124","WorldCat Record")</f>
        <v/>
      </c>
      <c r="AU31" t="inlineStr">
        <is>
          <t>808167343:eng</t>
        </is>
      </c>
      <c r="AV31" t="inlineStr">
        <is>
          <t>467124</t>
        </is>
      </c>
      <c r="AW31" t="inlineStr">
        <is>
          <t>991003087999702656</t>
        </is>
      </c>
      <c r="AX31" t="inlineStr">
        <is>
          <t>991003087999702656</t>
        </is>
      </c>
      <c r="AY31" t="inlineStr">
        <is>
          <t>2263500840002656</t>
        </is>
      </c>
      <c r="AZ31" t="inlineStr">
        <is>
          <t>BOOK</t>
        </is>
      </c>
      <c r="BC31" t="inlineStr">
        <is>
          <t>32285001967701</t>
        </is>
      </c>
      <c r="BD31" t="inlineStr">
        <is>
          <t>893227670</t>
        </is>
      </c>
    </row>
    <row r="32">
      <c r="A32" t="inlineStr">
        <is>
          <t>No</t>
        </is>
      </c>
      <c r="B32" t="inlineStr">
        <is>
          <t>QL1 .Z733 no.20</t>
        </is>
      </c>
      <c r="C32" t="inlineStr">
        <is>
          <t>0                      QL 0001000Z  733                                                     no.20</t>
        </is>
      </c>
      <c r="D32" t="inlineStr">
        <is>
          <t>Echinoderm biology / edited by N. Millott.</t>
        </is>
      </c>
      <c r="E32" t="inlineStr">
        <is>
          <t>no.20*</t>
        </is>
      </c>
      <c r="F32" t="inlineStr">
        <is>
          <t>No</t>
        </is>
      </c>
      <c r="G32" t="inlineStr">
        <is>
          <t>1</t>
        </is>
      </c>
      <c r="H32" t="inlineStr">
        <is>
          <t>No</t>
        </is>
      </c>
      <c r="I32" t="inlineStr">
        <is>
          <t>No</t>
        </is>
      </c>
      <c r="J32" t="inlineStr">
        <is>
          <t>0</t>
        </is>
      </c>
      <c r="L32" t="inlineStr">
        <is>
          <t>[New York] : Published for the Zoological Society of London by Academic Press, 1967.</t>
        </is>
      </c>
      <c r="M32" t="inlineStr">
        <is>
          <t>1967</t>
        </is>
      </c>
      <c r="O32" t="inlineStr">
        <is>
          <t>eng</t>
        </is>
      </c>
      <c r="P32" t="inlineStr">
        <is>
          <t>nyu</t>
        </is>
      </c>
      <c r="Q32" t="inlineStr">
        <is>
          <t>Symposia of the Zoological Society of London ; no. 20</t>
        </is>
      </c>
      <c r="R32" t="inlineStr">
        <is>
          <t xml:space="preserve">QL </t>
        </is>
      </c>
      <c r="S32" t="n">
        <v>2</v>
      </c>
      <c r="T32" t="n">
        <v>2</v>
      </c>
      <c r="U32" t="inlineStr">
        <is>
          <t>2008-02-29</t>
        </is>
      </c>
      <c r="V32" t="inlineStr">
        <is>
          <t>2008-02-29</t>
        </is>
      </c>
      <c r="W32" t="inlineStr">
        <is>
          <t>2000-06-15</t>
        </is>
      </c>
      <c r="X32" t="inlineStr">
        <is>
          <t>2000-06-15</t>
        </is>
      </c>
      <c r="Y32" t="n">
        <v>452</v>
      </c>
      <c r="Z32" t="n">
        <v>370</v>
      </c>
      <c r="AA32" t="n">
        <v>376</v>
      </c>
      <c r="AB32" t="n">
        <v>2</v>
      </c>
      <c r="AC32" t="n">
        <v>2</v>
      </c>
      <c r="AD32" t="n">
        <v>14</v>
      </c>
      <c r="AE32" t="n">
        <v>14</v>
      </c>
      <c r="AF32" t="n">
        <v>5</v>
      </c>
      <c r="AG32" t="n">
        <v>5</v>
      </c>
      <c r="AH32" t="n">
        <v>3</v>
      </c>
      <c r="AI32" t="n">
        <v>3</v>
      </c>
      <c r="AJ32" t="n">
        <v>8</v>
      </c>
      <c r="AK32" t="n">
        <v>8</v>
      </c>
      <c r="AL32" t="n">
        <v>1</v>
      </c>
      <c r="AM32" t="n">
        <v>1</v>
      </c>
      <c r="AN32" t="n">
        <v>0</v>
      </c>
      <c r="AO32" t="n">
        <v>0</v>
      </c>
      <c r="AP32" t="inlineStr">
        <is>
          <t>No</t>
        </is>
      </c>
      <c r="AQ32" t="inlineStr">
        <is>
          <t>No</t>
        </is>
      </c>
      <c r="AS32">
        <f>HYPERLINK("https://creighton-primo.hosted.exlibrisgroup.com/primo-explore/search?tab=default_tab&amp;search_scope=EVERYTHING&amp;vid=01CRU&amp;lang=en_US&amp;offset=0&amp;query=any,contains,991003089509702656","Catalog Record")</f>
        <v/>
      </c>
      <c r="AT32">
        <f>HYPERLINK("http://www.worldcat.org/oclc/557742","WorldCat Record")</f>
        <v/>
      </c>
      <c r="AU32" t="inlineStr">
        <is>
          <t>808137282:eng</t>
        </is>
      </c>
      <c r="AV32" t="inlineStr">
        <is>
          <t>557742</t>
        </is>
      </c>
      <c r="AW32" t="inlineStr">
        <is>
          <t>991003089509702656</t>
        </is>
      </c>
      <c r="AX32" t="inlineStr">
        <is>
          <t>991003089509702656</t>
        </is>
      </c>
      <c r="AY32" t="inlineStr">
        <is>
          <t>2261489600002656</t>
        </is>
      </c>
      <c r="AZ32" t="inlineStr">
        <is>
          <t>BOOK</t>
        </is>
      </c>
      <c r="BC32" t="inlineStr">
        <is>
          <t>32285001967727</t>
        </is>
      </c>
      <c r="BD32" t="inlineStr">
        <is>
          <t>893434642</t>
        </is>
      </c>
    </row>
    <row r="33">
      <c r="A33" t="inlineStr">
        <is>
          <t>No</t>
        </is>
      </c>
      <c r="B33" t="inlineStr">
        <is>
          <t>QL1 .Z733 no.56</t>
        </is>
      </c>
      <c r="C33" t="inlineStr">
        <is>
          <t>0                      QL 0001000Z  733                                                     no.56</t>
        </is>
      </c>
      <c r="D33" t="inlineStr">
        <is>
          <t>Immune mechanisms in invertebrate vectors : the proceedings of a symposium held at the Zoological Society of London on 14th and 15th of November 1985 / edited by A.M. Lackie.</t>
        </is>
      </c>
      <c r="E33" t="inlineStr">
        <is>
          <t>no.56*</t>
        </is>
      </c>
      <c r="F33" t="inlineStr">
        <is>
          <t>No</t>
        </is>
      </c>
      <c r="G33" t="inlineStr">
        <is>
          <t>1</t>
        </is>
      </c>
      <c r="H33" t="inlineStr">
        <is>
          <t>No</t>
        </is>
      </c>
      <c r="I33" t="inlineStr">
        <is>
          <t>No</t>
        </is>
      </c>
      <c r="J33" t="inlineStr">
        <is>
          <t>0</t>
        </is>
      </c>
      <c r="L33" t="inlineStr">
        <is>
          <t>Oxford [Oxfordshire] : Published for the Zoological Society of London by Clarendon Press ; New York : Oxford University Press, 1986.</t>
        </is>
      </c>
      <c r="M33" t="inlineStr">
        <is>
          <t>1986</t>
        </is>
      </c>
      <c r="O33" t="inlineStr">
        <is>
          <t>eng</t>
        </is>
      </c>
      <c r="P33" t="inlineStr">
        <is>
          <t>enk</t>
        </is>
      </c>
      <c r="Q33" t="inlineStr">
        <is>
          <t>Symposia of the Zoological Society of London ; no. 56</t>
        </is>
      </c>
      <c r="R33" t="inlineStr">
        <is>
          <t xml:space="preserve">QL </t>
        </is>
      </c>
      <c r="S33" t="n">
        <v>2</v>
      </c>
      <c r="T33" t="n">
        <v>2</v>
      </c>
      <c r="U33" t="inlineStr">
        <is>
          <t>1997-02-23</t>
        </is>
      </c>
      <c r="V33" t="inlineStr">
        <is>
          <t>1997-02-23</t>
        </is>
      </c>
      <c r="W33" t="inlineStr">
        <is>
          <t>1993-02-12</t>
        </is>
      </c>
      <c r="X33" t="inlineStr">
        <is>
          <t>1993-02-12</t>
        </is>
      </c>
      <c r="Y33" t="n">
        <v>266</v>
      </c>
      <c r="Z33" t="n">
        <v>171</v>
      </c>
      <c r="AA33" t="n">
        <v>173</v>
      </c>
      <c r="AB33" t="n">
        <v>1</v>
      </c>
      <c r="AC33" t="n">
        <v>1</v>
      </c>
      <c r="AD33" t="n">
        <v>4</v>
      </c>
      <c r="AE33" t="n">
        <v>4</v>
      </c>
      <c r="AF33" t="n">
        <v>0</v>
      </c>
      <c r="AG33" t="n">
        <v>0</v>
      </c>
      <c r="AH33" t="n">
        <v>2</v>
      </c>
      <c r="AI33" t="n">
        <v>2</v>
      </c>
      <c r="AJ33" t="n">
        <v>3</v>
      </c>
      <c r="AK33" t="n">
        <v>3</v>
      </c>
      <c r="AL33" t="n">
        <v>0</v>
      </c>
      <c r="AM33" t="n">
        <v>0</v>
      </c>
      <c r="AN33" t="n">
        <v>0</v>
      </c>
      <c r="AO33" t="n">
        <v>0</v>
      </c>
      <c r="AP33" t="inlineStr">
        <is>
          <t>No</t>
        </is>
      </c>
      <c r="AQ33" t="inlineStr">
        <is>
          <t>Yes</t>
        </is>
      </c>
      <c r="AR33">
        <f>HYPERLINK("http://catalog.hathitrust.org/Record/000594421","HathiTrust Record")</f>
        <v/>
      </c>
      <c r="AS33">
        <f>HYPERLINK("https://creighton-primo.hosted.exlibrisgroup.com/primo-explore/search?tab=default_tab&amp;search_scope=EVERYTHING&amp;vid=01CRU&amp;lang=en_US&amp;offset=0&amp;query=any,contains,991000873149702656","Catalog Record")</f>
        <v/>
      </c>
      <c r="AT33">
        <f>HYPERLINK("http://www.worldcat.org/oclc/13794564","WorldCat Record")</f>
        <v/>
      </c>
      <c r="AU33" t="inlineStr">
        <is>
          <t>836656574:eng</t>
        </is>
      </c>
      <c r="AV33" t="inlineStr">
        <is>
          <t>13794564</t>
        </is>
      </c>
      <c r="AW33" t="inlineStr">
        <is>
          <t>991000873149702656</t>
        </is>
      </c>
      <c r="AX33" t="inlineStr">
        <is>
          <t>991000873149702656</t>
        </is>
      </c>
      <c r="AY33" t="inlineStr">
        <is>
          <t>2269723480002656</t>
        </is>
      </c>
      <c r="AZ33" t="inlineStr">
        <is>
          <t>BOOK</t>
        </is>
      </c>
      <c r="BB33" t="inlineStr">
        <is>
          <t>9780198540045</t>
        </is>
      </c>
      <c r="BC33" t="inlineStr">
        <is>
          <t>32285001427730</t>
        </is>
      </c>
      <c r="BD33" t="inlineStr">
        <is>
          <t>893614571</t>
        </is>
      </c>
    </row>
    <row r="34">
      <c r="A34" t="inlineStr">
        <is>
          <t>No</t>
        </is>
      </c>
      <c r="B34" t="inlineStr">
        <is>
          <t>QL1 .Z733 no.67</t>
        </is>
      </c>
      <c r="C34" t="inlineStr">
        <is>
          <t>0                      QL 0001000Z  733                                                     no.67</t>
        </is>
      </c>
      <c r="D34" t="inlineStr">
        <is>
          <t>Ecology, evolution, and behaviour of bats : the proceedings of a symposium held by the Zoological Society of London and the Mammal Society : London, 26th and 27th November 1993 / edited by Paul A. Racey and Susan M. Swift.</t>
        </is>
      </c>
      <c r="E34" t="inlineStr">
        <is>
          <t>no.67*</t>
        </is>
      </c>
      <c r="F34" t="inlineStr">
        <is>
          <t>No</t>
        </is>
      </c>
      <c r="G34" t="inlineStr">
        <is>
          <t>1</t>
        </is>
      </c>
      <c r="H34" t="inlineStr">
        <is>
          <t>No</t>
        </is>
      </c>
      <c r="I34" t="inlineStr">
        <is>
          <t>No</t>
        </is>
      </c>
      <c r="J34" t="inlineStr">
        <is>
          <t>0</t>
        </is>
      </c>
      <c r="L34" t="inlineStr">
        <is>
          <t>Oxford : Published for the Zoological Society of London by Clarendon Press ; New York : Oxford University Press, 1995.</t>
        </is>
      </c>
      <c r="M34" t="inlineStr">
        <is>
          <t>1995</t>
        </is>
      </c>
      <c r="O34" t="inlineStr">
        <is>
          <t>eng</t>
        </is>
      </c>
      <c r="P34" t="inlineStr">
        <is>
          <t>enk</t>
        </is>
      </c>
      <c r="Q34" t="inlineStr">
        <is>
          <t>Symposia of the Zoological Society of London ; no. 67</t>
        </is>
      </c>
      <c r="R34" t="inlineStr">
        <is>
          <t xml:space="preserve">QL </t>
        </is>
      </c>
      <c r="S34" t="n">
        <v>9</v>
      </c>
      <c r="T34" t="n">
        <v>9</v>
      </c>
      <c r="U34" t="inlineStr">
        <is>
          <t>2008-02-14</t>
        </is>
      </c>
      <c r="V34" t="inlineStr">
        <is>
          <t>2008-02-14</t>
        </is>
      </c>
      <c r="W34" t="inlineStr">
        <is>
          <t>1996-10-30</t>
        </is>
      </c>
      <c r="X34" t="inlineStr">
        <is>
          <t>1996-10-30</t>
        </is>
      </c>
      <c r="Y34" t="n">
        <v>274</v>
      </c>
      <c r="Z34" t="n">
        <v>181</v>
      </c>
      <c r="AA34" t="n">
        <v>182</v>
      </c>
      <c r="AB34" t="n">
        <v>2</v>
      </c>
      <c r="AC34" t="n">
        <v>2</v>
      </c>
      <c r="AD34" t="n">
        <v>6</v>
      </c>
      <c r="AE34" t="n">
        <v>6</v>
      </c>
      <c r="AF34" t="n">
        <v>1</v>
      </c>
      <c r="AG34" t="n">
        <v>1</v>
      </c>
      <c r="AH34" t="n">
        <v>3</v>
      </c>
      <c r="AI34" t="n">
        <v>3</v>
      </c>
      <c r="AJ34" t="n">
        <v>3</v>
      </c>
      <c r="AK34" t="n">
        <v>3</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HYPERLINK("https://creighton-primo.hosted.exlibrisgroup.com/primo-explore/search?tab=default_tab&amp;search_scope=EVERYTHING&amp;vid=01CRU&amp;lang=en_US&amp;offset=0&amp;query=any,contains,991002442569702656","Catalog Record")</f>
        <v/>
      </c>
      <c r="AT34">
        <f>HYPERLINK("http://www.worldcat.org/oclc/31865555","WorldCat Record")</f>
        <v/>
      </c>
      <c r="AU34" t="inlineStr">
        <is>
          <t>1241430665:eng</t>
        </is>
      </c>
      <c r="AV34" t="inlineStr">
        <is>
          <t>31865555</t>
        </is>
      </c>
      <c r="AW34" t="inlineStr">
        <is>
          <t>991002442569702656</t>
        </is>
      </c>
      <c r="AX34" t="inlineStr">
        <is>
          <t>991002442569702656</t>
        </is>
      </c>
      <c r="AY34" t="inlineStr">
        <is>
          <t>2259323670002656</t>
        </is>
      </c>
      <c r="AZ34" t="inlineStr">
        <is>
          <t>BOOK</t>
        </is>
      </c>
      <c r="BB34" t="inlineStr">
        <is>
          <t>9780198549451</t>
        </is>
      </c>
      <c r="BC34" t="inlineStr">
        <is>
          <t>32285002379443</t>
        </is>
      </c>
      <c r="BD34" t="inlineStr">
        <is>
          <t>893792476</t>
        </is>
      </c>
    </row>
    <row r="35">
      <c r="A35" t="inlineStr">
        <is>
          <t>No</t>
        </is>
      </c>
      <c r="B35" t="inlineStr">
        <is>
          <t>QL1 W54 no. 158</t>
        </is>
      </c>
      <c r="C35" t="inlineStr">
        <is>
          <t>0                      QL 0001000W  54                                                      no. 158</t>
        </is>
      </c>
      <c r="D35" t="inlineStr">
        <is>
          <t>Ecology of Florida black bears in the Okefenokee-Osceola ecosystem / by Steven Dobey ... [et al.].</t>
        </is>
      </c>
      <c r="E35" t="inlineStr">
        <is>
          <t>no. 158*</t>
        </is>
      </c>
      <c r="F35" t="inlineStr">
        <is>
          <t>No</t>
        </is>
      </c>
      <c r="G35" t="inlineStr">
        <is>
          <t>1</t>
        </is>
      </c>
      <c r="H35" t="inlineStr">
        <is>
          <t>No</t>
        </is>
      </c>
      <c r="I35" t="inlineStr">
        <is>
          <t>No</t>
        </is>
      </c>
      <c r="J35" t="inlineStr">
        <is>
          <t>0</t>
        </is>
      </c>
      <c r="L35" t="inlineStr">
        <is>
          <t>[Bethesda, Md.] : Wildlife Society, c2005.</t>
        </is>
      </c>
      <c r="M35" t="inlineStr">
        <is>
          <t>2005</t>
        </is>
      </c>
      <c r="O35" t="inlineStr">
        <is>
          <t>eng</t>
        </is>
      </c>
      <c r="P35" t="inlineStr">
        <is>
          <t>mdu</t>
        </is>
      </c>
      <c r="Q35" t="inlineStr">
        <is>
          <t>Wildlife monographs ; no. 158</t>
        </is>
      </c>
      <c r="R35" t="inlineStr">
        <is>
          <t xml:space="preserve">QL </t>
        </is>
      </c>
      <c r="S35" t="n">
        <v>2</v>
      </c>
      <c r="T35" t="n">
        <v>2</v>
      </c>
      <c r="U35" t="inlineStr">
        <is>
          <t>2005-06-02</t>
        </is>
      </c>
      <c r="V35" t="inlineStr">
        <is>
          <t>2005-06-02</t>
        </is>
      </c>
      <c r="W35" t="inlineStr">
        <is>
          <t>2005-06-02</t>
        </is>
      </c>
      <c r="X35" t="inlineStr">
        <is>
          <t>2005-06-02</t>
        </is>
      </c>
      <c r="Y35" t="n">
        <v>180</v>
      </c>
      <c r="Z35" t="n">
        <v>145</v>
      </c>
      <c r="AA35" t="n">
        <v>148</v>
      </c>
      <c r="AB35" t="n">
        <v>2</v>
      </c>
      <c r="AC35" t="n">
        <v>2</v>
      </c>
      <c r="AD35" t="n">
        <v>7</v>
      </c>
      <c r="AE35" t="n">
        <v>7</v>
      </c>
      <c r="AF35" t="n">
        <v>5</v>
      </c>
      <c r="AG35" t="n">
        <v>5</v>
      </c>
      <c r="AH35" t="n">
        <v>1</v>
      </c>
      <c r="AI35" t="n">
        <v>1</v>
      </c>
      <c r="AJ35" t="n">
        <v>3</v>
      </c>
      <c r="AK35" t="n">
        <v>3</v>
      </c>
      <c r="AL35" t="n">
        <v>1</v>
      </c>
      <c r="AM35" t="n">
        <v>1</v>
      </c>
      <c r="AN35" t="n">
        <v>0</v>
      </c>
      <c r="AO35" t="n">
        <v>0</v>
      </c>
      <c r="AP35" t="inlineStr">
        <is>
          <t>No</t>
        </is>
      </c>
      <c r="AQ35" t="inlineStr">
        <is>
          <t>Yes</t>
        </is>
      </c>
      <c r="AR35">
        <f>HYPERLINK("http://catalog.hathitrust.org/Record/005116496","HathiTrust Record")</f>
        <v/>
      </c>
      <c r="AS35">
        <f>HYPERLINK("https://creighton-primo.hosted.exlibrisgroup.com/primo-explore/search?tab=default_tab&amp;search_scope=EVERYTHING&amp;vid=01CRU&amp;lang=en_US&amp;offset=0&amp;query=any,contains,991004558009702656","Catalog Record")</f>
        <v/>
      </c>
      <c r="AT35">
        <f>HYPERLINK("http://www.worldcat.org/oclc/60037726","WorldCat Record")</f>
        <v/>
      </c>
      <c r="AU35" t="inlineStr">
        <is>
          <t>57509896:eng</t>
        </is>
      </c>
      <c r="AV35" t="inlineStr">
        <is>
          <t>60037726</t>
        </is>
      </c>
      <c r="AW35" t="inlineStr">
        <is>
          <t>991004558009702656</t>
        </is>
      </c>
      <c r="AX35" t="inlineStr">
        <is>
          <t>991004558009702656</t>
        </is>
      </c>
      <c r="AY35" t="inlineStr">
        <is>
          <t>2261439170002656</t>
        </is>
      </c>
      <c r="AZ35" t="inlineStr">
        <is>
          <t>BOOK</t>
        </is>
      </c>
      <c r="BC35" t="inlineStr">
        <is>
          <t>32285005092183</t>
        </is>
      </c>
      <c r="BD35" t="inlineStr">
        <is>
          <t>893901370</t>
        </is>
      </c>
    </row>
    <row r="36">
      <c r="A36" t="inlineStr">
        <is>
          <t>No</t>
        </is>
      </c>
      <c r="B36" t="inlineStr">
        <is>
          <t>QL100 .H2713 1981</t>
        </is>
      </c>
      <c r="C36" t="inlineStr">
        <is>
          <t>0                      QL 0100000H  2713        1981</t>
        </is>
      </c>
      <c r="D36" t="inlineStr">
        <is>
          <t>Venomous animals and their toxins / Gerhard G. Habermehl.</t>
        </is>
      </c>
      <c r="F36" t="inlineStr">
        <is>
          <t>No</t>
        </is>
      </c>
      <c r="G36" t="inlineStr">
        <is>
          <t>1</t>
        </is>
      </c>
      <c r="H36" t="inlineStr">
        <is>
          <t>No</t>
        </is>
      </c>
      <c r="I36" t="inlineStr">
        <is>
          <t>No</t>
        </is>
      </c>
      <c r="J36" t="inlineStr">
        <is>
          <t>0</t>
        </is>
      </c>
      <c r="K36" t="inlineStr">
        <is>
          <t>Habermehl, Gerhard.</t>
        </is>
      </c>
      <c r="L36" t="inlineStr">
        <is>
          <t>Berlin ; New York : Springer-Verlag, 1981.</t>
        </is>
      </c>
      <c r="M36" t="inlineStr">
        <is>
          <t>1981</t>
        </is>
      </c>
      <c r="O36" t="inlineStr">
        <is>
          <t>eng</t>
        </is>
      </c>
      <c r="P36" t="inlineStr">
        <is>
          <t xml:space="preserve">gw </t>
        </is>
      </c>
      <c r="R36" t="inlineStr">
        <is>
          <t xml:space="preserve">QL </t>
        </is>
      </c>
      <c r="S36" t="n">
        <v>3</v>
      </c>
      <c r="T36" t="n">
        <v>3</v>
      </c>
      <c r="U36" t="inlineStr">
        <is>
          <t>2000-08-16</t>
        </is>
      </c>
      <c r="V36" t="inlineStr">
        <is>
          <t>2000-08-16</t>
        </is>
      </c>
      <c r="W36" t="inlineStr">
        <is>
          <t>1993-05-21</t>
        </is>
      </c>
      <c r="X36" t="inlineStr">
        <is>
          <t>1993-05-21</t>
        </is>
      </c>
      <c r="Y36" t="n">
        <v>487</v>
      </c>
      <c r="Z36" t="n">
        <v>390</v>
      </c>
      <c r="AA36" t="n">
        <v>413</v>
      </c>
      <c r="AB36" t="n">
        <v>4</v>
      </c>
      <c r="AC36" t="n">
        <v>4</v>
      </c>
      <c r="AD36" t="n">
        <v>9</v>
      </c>
      <c r="AE36" t="n">
        <v>10</v>
      </c>
      <c r="AF36" t="n">
        <v>3</v>
      </c>
      <c r="AG36" t="n">
        <v>4</v>
      </c>
      <c r="AH36" t="n">
        <v>3</v>
      </c>
      <c r="AI36" t="n">
        <v>3</v>
      </c>
      <c r="AJ36" t="n">
        <v>3</v>
      </c>
      <c r="AK36" t="n">
        <v>4</v>
      </c>
      <c r="AL36" t="n">
        <v>3</v>
      </c>
      <c r="AM36" t="n">
        <v>3</v>
      </c>
      <c r="AN36" t="n">
        <v>0</v>
      </c>
      <c r="AO36" t="n">
        <v>0</v>
      </c>
      <c r="AP36" t="inlineStr">
        <is>
          <t>No</t>
        </is>
      </c>
      <c r="AQ36" t="inlineStr">
        <is>
          <t>Yes</t>
        </is>
      </c>
      <c r="AR36">
        <f>HYPERLINK("http://catalog.hathitrust.org/Record/000769596","HathiTrust Record")</f>
        <v/>
      </c>
      <c r="AS36">
        <f>HYPERLINK("https://creighton-primo.hosted.exlibrisgroup.com/primo-explore/search?tab=default_tab&amp;search_scope=EVERYTHING&amp;vid=01CRU&amp;lang=en_US&amp;offset=0&amp;query=any,contains,991005125069702656","Catalog Record")</f>
        <v/>
      </c>
      <c r="AT36">
        <f>HYPERLINK("http://www.worldcat.org/oclc/7552940","WorldCat Record")</f>
        <v/>
      </c>
      <c r="AU36" t="inlineStr">
        <is>
          <t>4161368241:eng</t>
        </is>
      </c>
      <c r="AV36" t="inlineStr">
        <is>
          <t>7552940</t>
        </is>
      </c>
      <c r="AW36" t="inlineStr">
        <is>
          <t>991005125069702656</t>
        </is>
      </c>
      <c r="AX36" t="inlineStr">
        <is>
          <t>991005125069702656</t>
        </is>
      </c>
      <c r="AY36" t="inlineStr">
        <is>
          <t>2265571130002656</t>
        </is>
      </c>
      <c r="AZ36" t="inlineStr">
        <is>
          <t>BOOK</t>
        </is>
      </c>
      <c r="BB36" t="inlineStr">
        <is>
          <t>9780387107806</t>
        </is>
      </c>
      <c r="BC36" t="inlineStr">
        <is>
          <t>32285001686210</t>
        </is>
      </c>
      <c r="BD36" t="inlineStr">
        <is>
          <t>893242250</t>
        </is>
      </c>
    </row>
    <row r="37">
      <c r="A37" t="inlineStr">
        <is>
          <t>No</t>
        </is>
      </c>
      <c r="B37" t="inlineStr">
        <is>
          <t>QL100 .Q36 2003</t>
        </is>
      </c>
      <c r="C37" t="inlineStr">
        <is>
          <t>0                      QL 0100000Q  36          2003</t>
        </is>
      </c>
      <c r="D37" t="inlineStr">
        <is>
          <t>Monster of God : the man-eating predator in the jungles of history and the mind / David Quammen.</t>
        </is>
      </c>
      <c r="F37" t="inlineStr">
        <is>
          <t>No</t>
        </is>
      </c>
      <c r="G37" t="inlineStr">
        <is>
          <t>1</t>
        </is>
      </c>
      <c r="H37" t="inlineStr">
        <is>
          <t>No</t>
        </is>
      </c>
      <c r="I37" t="inlineStr">
        <is>
          <t>No</t>
        </is>
      </c>
      <c r="J37" t="inlineStr">
        <is>
          <t>0</t>
        </is>
      </c>
      <c r="K37" t="inlineStr">
        <is>
          <t>Quammen, David, 1948-</t>
        </is>
      </c>
      <c r="L37" t="inlineStr">
        <is>
          <t>New York : W.W. Norton, c2003.</t>
        </is>
      </c>
      <c r="M37" t="inlineStr">
        <is>
          <t>2003</t>
        </is>
      </c>
      <c r="N37" t="inlineStr">
        <is>
          <t>1st ed.</t>
        </is>
      </c>
      <c r="O37" t="inlineStr">
        <is>
          <t>eng</t>
        </is>
      </c>
      <c r="P37" t="inlineStr">
        <is>
          <t>nyu</t>
        </is>
      </c>
      <c r="R37" t="inlineStr">
        <is>
          <t xml:space="preserve">QL </t>
        </is>
      </c>
      <c r="S37" t="n">
        <v>2</v>
      </c>
      <c r="T37" t="n">
        <v>2</v>
      </c>
      <c r="U37" t="inlineStr">
        <is>
          <t>2003-09-25</t>
        </is>
      </c>
      <c r="V37" t="inlineStr">
        <is>
          <t>2003-09-25</t>
        </is>
      </c>
      <c r="W37" t="inlineStr">
        <is>
          <t>2003-09-10</t>
        </is>
      </c>
      <c r="X37" t="inlineStr">
        <is>
          <t>2003-09-10</t>
        </is>
      </c>
      <c r="Y37" t="n">
        <v>1540</v>
      </c>
      <c r="Z37" t="n">
        <v>1453</v>
      </c>
      <c r="AA37" t="n">
        <v>1554</v>
      </c>
      <c r="AB37" t="n">
        <v>13</v>
      </c>
      <c r="AC37" t="n">
        <v>15</v>
      </c>
      <c r="AD37" t="n">
        <v>38</v>
      </c>
      <c r="AE37" t="n">
        <v>40</v>
      </c>
      <c r="AF37" t="n">
        <v>16</v>
      </c>
      <c r="AG37" t="n">
        <v>16</v>
      </c>
      <c r="AH37" t="n">
        <v>5</v>
      </c>
      <c r="AI37" t="n">
        <v>5</v>
      </c>
      <c r="AJ37" t="n">
        <v>19</v>
      </c>
      <c r="AK37" t="n">
        <v>20</v>
      </c>
      <c r="AL37" t="n">
        <v>7</v>
      </c>
      <c r="AM37" t="n">
        <v>8</v>
      </c>
      <c r="AN37" t="n">
        <v>0</v>
      </c>
      <c r="AO37" t="n">
        <v>0</v>
      </c>
      <c r="AP37" t="inlineStr">
        <is>
          <t>No</t>
        </is>
      </c>
      <c r="AQ37" t="inlineStr">
        <is>
          <t>No</t>
        </is>
      </c>
      <c r="AS37">
        <f>HYPERLINK("https://creighton-primo.hosted.exlibrisgroup.com/primo-explore/search?tab=default_tab&amp;search_scope=EVERYTHING&amp;vid=01CRU&amp;lang=en_US&amp;offset=0&amp;query=any,contains,991004111539702656","Catalog Record")</f>
        <v/>
      </c>
      <c r="AT37">
        <f>HYPERLINK("http://www.worldcat.org/oclc/52041418","WorldCat Record")</f>
        <v/>
      </c>
      <c r="AU37" t="inlineStr">
        <is>
          <t>796385050:eng</t>
        </is>
      </c>
      <c r="AV37" t="inlineStr">
        <is>
          <t>52041418</t>
        </is>
      </c>
      <c r="AW37" t="inlineStr">
        <is>
          <t>991004111539702656</t>
        </is>
      </c>
      <c r="AX37" t="inlineStr">
        <is>
          <t>991004111539702656</t>
        </is>
      </c>
      <c r="AY37" t="inlineStr">
        <is>
          <t>2258854390002656</t>
        </is>
      </c>
      <c r="AZ37" t="inlineStr">
        <is>
          <t>BOOK</t>
        </is>
      </c>
      <c r="BB37" t="inlineStr">
        <is>
          <t>9780393051407</t>
        </is>
      </c>
      <c r="BC37" t="inlineStr">
        <is>
          <t>32285004782529</t>
        </is>
      </c>
      <c r="BD37" t="inlineStr">
        <is>
          <t>893722270</t>
        </is>
      </c>
    </row>
    <row r="38">
      <c r="A38" t="inlineStr">
        <is>
          <t>No</t>
        </is>
      </c>
      <c r="B38" t="inlineStr">
        <is>
          <t>QL101 .S55</t>
        </is>
      </c>
      <c r="C38" t="inlineStr">
        <is>
          <t>0                      QL 0101000S  55</t>
        </is>
      </c>
      <c r="D38" t="inlineStr">
        <is>
          <t>The geography of evolution; collected essays.</t>
        </is>
      </c>
      <c r="F38" t="inlineStr">
        <is>
          <t>No</t>
        </is>
      </c>
      <c r="G38" t="inlineStr">
        <is>
          <t>1</t>
        </is>
      </c>
      <c r="H38" t="inlineStr">
        <is>
          <t>No</t>
        </is>
      </c>
      <c r="I38" t="inlineStr">
        <is>
          <t>No</t>
        </is>
      </c>
      <c r="J38" t="inlineStr">
        <is>
          <t>0</t>
        </is>
      </c>
      <c r="K38" t="inlineStr">
        <is>
          <t>Simpson, George Gaylord, 1902-1984.</t>
        </is>
      </c>
      <c r="L38" t="inlineStr">
        <is>
          <t>Philadelphia, Chilton Books [1965]</t>
        </is>
      </c>
      <c r="M38" t="inlineStr">
        <is>
          <t>1965</t>
        </is>
      </c>
      <c r="N38" t="inlineStr">
        <is>
          <t>[1st ed.]</t>
        </is>
      </c>
      <c r="O38" t="inlineStr">
        <is>
          <t>eng</t>
        </is>
      </c>
      <c r="P38" t="inlineStr">
        <is>
          <t>pau</t>
        </is>
      </c>
      <c r="R38" t="inlineStr">
        <is>
          <t xml:space="preserve">QL </t>
        </is>
      </c>
      <c r="S38" t="n">
        <v>3</v>
      </c>
      <c r="T38" t="n">
        <v>3</v>
      </c>
      <c r="U38" t="inlineStr">
        <is>
          <t>1999-06-21</t>
        </is>
      </c>
      <c r="V38" t="inlineStr">
        <is>
          <t>1999-06-21</t>
        </is>
      </c>
      <c r="W38" t="inlineStr">
        <is>
          <t>1997-07-19</t>
        </is>
      </c>
      <c r="X38" t="inlineStr">
        <is>
          <t>1997-07-19</t>
        </is>
      </c>
      <c r="Y38" t="n">
        <v>615</v>
      </c>
      <c r="Z38" t="n">
        <v>533</v>
      </c>
      <c r="AA38" t="n">
        <v>580</v>
      </c>
      <c r="AB38" t="n">
        <v>5</v>
      </c>
      <c r="AC38" t="n">
        <v>6</v>
      </c>
      <c r="AD38" t="n">
        <v>18</v>
      </c>
      <c r="AE38" t="n">
        <v>23</v>
      </c>
      <c r="AF38" t="n">
        <v>5</v>
      </c>
      <c r="AG38" t="n">
        <v>6</v>
      </c>
      <c r="AH38" t="n">
        <v>4</v>
      </c>
      <c r="AI38" t="n">
        <v>5</v>
      </c>
      <c r="AJ38" t="n">
        <v>9</v>
      </c>
      <c r="AK38" t="n">
        <v>11</v>
      </c>
      <c r="AL38" t="n">
        <v>4</v>
      </c>
      <c r="AM38" t="n">
        <v>5</v>
      </c>
      <c r="AN38" t="n">
        <v>0</v>
      </c>
      <c r="AO38" t="n">
        <v>0</v>
      </c>
      <c r="AP38" t="inlineStr">
        <is>
          <t>No</t>
        </is>
      </c>
      <c r="AQ38" t="inlineStr">
        <is>
          <t>Yes</t>
        </is>
      </c>
      <c r="AR38">
        <f>HYPERLINK("http://catalog.hathitrust.org/Record/001496597","HathiTrust Record")</f>
        <v/>
      </c>
      <c r="AS38">
        <f>HYPERLINK("https://creighton-primo.hosted.exlibrisgroup.com/primo-explore/search?tab=default_tab&amp;search_scope=EVERYTHING&amp;vid=01CRU&amp;lang=en_US&amp;offset=0&amp;query=any,contains,991003180059702656","Catalog Record")</f>
        <v/>
      </c>
      <c r="AT38">
        <f>HYPERLINK("http://www.worldcat.org/oclc/711563","WorldCat Record")</f>
        <v/>
      </c>
      <c r="AU38" t="inlineStr">
        <is>
          <t>197263298:eng</t>
        </is>
      </c>
      <c r="AV38" t="inlineStr">
        <is>
          <t>711563</t>
        </is>
      </c>
      <c r="AW38" t="inlineStr">
        <is>
          <t>991003180059702656</t>
        </is>
      </c>
      <c r="AX38" t="inlineStr">
        <is>
          <t>991003180059702656</t>
        </is>
      </c>
      <c r="AY38" t="inlineStr">
        <is>
          <t>2261934580002656</t>
        </is>
      </c>
      <c r="AZ38" t="inlineStr">
        <is>
          <t>BOOK</t>
        </is>
      </c>
      <c r="BC38" t="inlineStr">
        <is>
          <t>32285002939261</t>
        </is>
      </c>
      <c r="BD38" t="inlineStr">
        <is>
          <t>893416124</t>
        </is>
      </c>
    </row>
    <row r="39">
      <c r="A39" t="inlineStr">
        <is>
          <t>No</t>
        </is>
      </c>
      <c r="B39" t="inlineStr">
        <is>
          <t>QL104 .I78</t>
        </is>
      </c>
      <c r="C39" t="inlineStr">
        <is>
          <t>0                      QL 0104000I  78</t>
        </is>
      </c>
      <c r="D39" t="inlineStr">
        <is>
          <t>Arctic life of birds and mammals, including man.</t>
        </is>
      </c>
      <c r="F39" t="inlineStr">
        <is>
          <t>No</t>
        </is>
      </c>
      <c r="G39" t="inlineStr">
        <is>
          <t>1</t>
        </is>
      </c>
      <c r="H39" t="inlineStr">
        <is>
          <t>No</t>
        </is>
      </c>
      <c r="I39" t="inlineStr">
        <is>
          <t>No</t>
        </is>
      </c>
      <c r="J39" t="inlineStr">
        <is>
          <t>0</t>
        </is>
      </c>
      <c r="K39" t="inlineStr">
        <is>
          <t>Irving, Laurence, 1895-1979.</t>
        </is>
      </c>
      <c r="L39" t="inlineStr">
        <is>
          <t>Berlin, New York, Springer-Verlag, 1972.</t>
        </is>
      </c>
      <c r="M39" t="inlineStr">
        <is>
          <t>1972</t>
        </is>
      </c>
      <c r="O39" t="inlineStr">
        <is>
          <t>eng</t>
        </is>
      </c>
      <c r="P39" t="inlineStr">
        <is>
          <t xml:space="preserve">gw </t>
        </is>
      </c>
      <c r="Q39" t="inlineStr">
        <is>
          <t>Zoophysiology and ecology ; v. 2</t>
        </is>
      </c>
      <c r="R39" t="inlineStr">
        <is>
          <t xml:space="preserve">QL </t>
        </is>
      </c>
      <c r="S39" t="n">
        <v>3</v>
      </c>
      <c r="T39" t="n">
        <v>3</v>
      </c>
      <c r="U39" t="inlineStr">
        <is>
          <t>2010-01-25</t>
        </is>
      </c>
      <c r="V39" t="inlineStr">
        <is>
          <t>2010-01-25</t>
        </is>
      </c>
      <c r="W39" t="inlineStr">
        <is>
          <t>1997-07-19</t>
        </is>
      </c>
      <c r="X39" t="inlineStr">
        <is>
          <t>1997-07-19</t>
        </is>
      </c>
      <c r="Y39" t="n">
        <v>532</v>
      </c>
      <c r="Z39" t="n">
        <v>398</v>
      </c>
      <c r="AA39" t="n">
        <v>421</v>
      </c>
      <c r="AB39" t="n">
        <v>3</v>
      </c>
      <c r="AC39" t="n">
        <v>3</v>
      </c>
      <c r="AD39" t="n">
        <v>14</v>
      </c>
      <c r="AE39" t="n">
        <v>15</v>
      </c>
      <c r="AF39" t="n">
        <v>4</v>
      </c>
      <c r="AG39" t="n">
        <v>5</v>
      </c>
      <c r="AH39" t="n">
        <v>4</v>
      </c>
      <c r="AI39" t="n">
        <v>4</v>
      </c>
      <c r="AJ39" t="n">
        <v>7</v>
      </c>
      <c r="AK39" t="n">
        <v>8</v>
      </c>
      <c r="AL39" t="n">
        <v>2</v>
      </c>
      <c r="AM39" t="n">
        <v>2</v>
      </c>
      <c r="AN39" t="n">
        <v>0</v>
      </c>
      <c r="AO39" t="n">
        <v>0</v>
      </c>
      <c r="AP39" t="inlineStr">
        <is>
          <t>No</t>
        </is>
      </c>
      <c r="AQ39" t="inlineStr">
        <is>
          <t>Yes</t>
        </is>
      </c>
      <c r="AR39">
        <f>HYPERLINK("http://catalog.hathitrust.org/Record/001498963","HathiTrust Record")</f>
        <v/>
      </c>
      <c r="AS39">
        <f>HYPERLINK("https://creighton-primo.hosted.exlibrisgroup.com/primo-explore/search?tab=default_tab&amp;search_scope=EVERYTHING&amp;vid=01CRU&amp;lang=en_US&amp;offset=0&amp;query=any,contains,991003027099702656","Catalog Record")</f>
        <v/>
      </c>
      <c r="AT39">
        <f>HYPERLINK("http://www.worldcat.org/oclc/590792","WorldCat Record")</f>
        <v/>
      </c>
      <c r="AU39" t="inlineStr">
        <is>
          <t>1778286:eng</t>
        </is>
      </c>
      <c r="AV39" t="inlineStr">
        <is>
          <t>590792</t>
        </is>
      </c>
      <c r="AW39" t="inlineStr">
        <is>
          <t>991003027099702656</t>
        </is>
      </c>
      <c r="AX39" t="inlineStr">
        <is>
          <t>991003027099702656</t>
        </is>
      </c>
      <c r="AY39" t="inlineStr">
        <is>
          <t>2265555870002656</t>
        </is>
      </c>
      <c r="AZ39" t="inlineStr">
        <is>
          <t>BOOK</t>
        </is>
      </c>
      <c r="BB39" t="inlineStr">
        <is>
          <t>9780387058016</t>
        </is>
      </c>
      <c r="BC39" t="inlineStr">
        <is>
          <t>32285002939279</t>
        </is>
      </c>
      <c r="BD39" t="inlineStr">
        <is>
          <t>893530778</t>
        </is>
      </c>
    </row>
    <row r="40">
      <c r="A40" t="inlineStr">
        <is>
          <t>No</t>
        </is>
      </c>
      <c r="B40" t="inlineStr">
        <is>
          <t>QL105 .B55 2005</t>
        </is>
      </c>
      <c r="C40" t="inlineStr">
        <is>
          <t>0                      QL 0105000B  55          2005</t>
        </is>
      </c>
      <c r="D40" t="inlineStr">
        <is>
          <t>Arctic animals and their adaptations to life on the edge / Arnoldus Schytte Blix.</t>
        </is>
      </c>
      <c r="F40" t="inlineStr">
        <is>
          <t>No</t>
        </is>
      </c>
      <c r="G40" t="inlineStr">
        <is>
          <t>1</t>
        </is>
      </c>
      <c r="H40" t="inlineStr">
        <is>
          <t>No</t>
        </is>
      </c>
      <c r="I40" t="inlineStr">
        <is>
          <t>No</t>
        </is>
      </c>
      <c r="J40" t="inlineStr">
        <is>
          <t>0</t>
        </is>
      </c>
      <c r="K40" t="inlineStr">
        <is>
          <t>Blix, Arnoldus Schytte.</t>
        </is>
      </c>
      <c r="L40" t="inlineStr">
        <is>
          <t>Trondheim : Tapir Academic Press, c2005.</t>
        </is>
      </c>
      <c r="M40" t="inlineStr">
        <is>
          <t>2005</t>
        </is>
      </c>
      <c r="O40" t="inlineStr">
        <is>
          <t>eng</t>
        </is>
      </c>
      <c r="P40" t="inlineStr">
        <is>
          <t xml:space="preserve">no </t>
        </is>
      </c>
      <c r="R40" t="inlineStr">
        <is>
          <t xml:space="preserve">QL </t>
        </is>
      </c>
      <c r="S40" t="n">
        <v>5</v>
      </c>
      <c r="T40" t="n">
        <v>5</v>
      </c>
      <c r="U40" t="inlineStr">
        <is>
          <t>2010-07-26</t>
        </is>
      </c>
      <c r="V40" t="inlineStr">
        <is>
          <t>2010-07-26</t>
        </is>
      </c>
      <c r="W40" t="inlineStr">
        <is>
          <t>2007-03-14</t>
        </is>
      </c>
      <c r="X40" t="inlineStr">
        <is>
          <t>2007-03-14</t>
        </is>
      </c>
      <c r="Y40" t="n">
        <v>410</v>
      </c>
      <c r="Z40" t="n">
        <v>347</v>
      </c>
      <c r="AA40" t="n">
        <v>347</v>
      </c>
      <c r="AB40" t="n">
        <v>2</v>
      </c>
      <c r="AC40" t="n">
        <v>2</v>
      </c>
      <c r="AD40" t="n">
        <v>17</v>
      </c>
      <c r="AE40" t="n">
        <v>17</v>
      </c>
      <c r="AF40" t="n">
        <v>7</v>
      </c>
      <c r="AG40" t="n">
        <v>7</v>
      </c>
      <c r="AH40" t="n">
        <v>2</v>
      </c>
      <c r="AI40" t="n">
        <v>2</v>
      </c>
      <c r="AJ40" t="n">
        <v>10</v>
      </c>
      <c r="AK40" t="n">
        <v>10</v>
      </c>
      <c r="AL40" t="n">
        <v>1</v>
      </c>
      <c r="AM40" t="n">
        <v>1</v>
      </c>
      <c r="AN40" t="n">
        <v>0</v>
      </c>
      <c r="AO40" t="n">
        <v>0</v>
      </c>
      <c r="AP40" t="inlineStr">
        <is>
          <t>No</t>
        </is>
      </c>
      <c r="AQ40" t="inlineStr">
        <is>
          <t>No</t>
        </is>
      </c>
      <c r="AS40">
        <f>HYPERLINK("https://creighton-primo.hosted.exlibrisgroup.com/primo-explore/search?tab=default_tab&amp;search_scope=EVERYTHING&amp;vid=01CRU&amp;lang=en_US&amp;offset=0&amp;query=any,contains,991005027349702656","Catalog Record")</f>
        <v/>
      </c>
      <c r="AT40">
        <f>HYPERLINK("http://www.worldcat.org/oclc/61699492","WorldCat Record")</f>
        <v/>
      </c>
      <c r="AU40" t="inlineStr">
        <is>
          <t>46241635:eng</t>
        </is>
      </c>
      <c r="AV40" t="inlineStr">
        <is>
          <t>61699492</t>
        </is>
      </c>
      <c r="AW40" t="inlineStr">
        <is>
          <t>991005027349702656</t>
        </is>
      </c>
      <c r="AX40" t="inlineStr">
        <is>
          <t>991005027349702656</t>
        </is>
      </c>
      <c r="AY40" t="inlineStr">
        <is>
          <t>2261090310002656</t>
        </is>
      </c>
      <c r="AZ40" t="inlineStr">
        <is>
          <t>BOOK</t>
        </is>
      </c>
      <c r="BB40" t="inlineStr">
        <is>
          <t>9788251920506</t>
        </is>
      </c>
      <c r="BC40" t="inlineStr">
        <is>
          <t>32285005281745</t>
        </is>
      </c>
      <c r="BD40" t="inlineStr">
        <is>
          <t>893536313</t>
        </is>
      </c>
    </row>
    <row r="41">
      <c r="A41" t="inlineStr">
        <is>
          <t>No</t>
        </is>
      </c>
      <c r="B41" t="inlineStr">
        <is>
          <t>QL105 .R4513</t>
        </is>
      </c>
      <c r="C41" t="inlineStr">
        <is>
          <t>0                      QL 0105000R  4513</t>
        </is>
      </c>
      <c r="D41" t="inlineStr">
        <is>
          <t>Arctic animal ecology / Hermann Remmert ; [translated by Joy Wieser].</t>
        </is>
      </c>
      <c r="F41" t="inlineStr">
        <is>
          <t>No</t>
        </is>
      </c>
      <c r="G41" t="inlineStr">
        <is>
          <t>1</t>
        </is>
      </c>
      <c r="H41" t="inlineStr">
        <is>
          <t>No</t>
        </is>
      </c>
      <c r="I41" t="inlineStr">
        <is>
          <t>No</t>
        </is>
      </c>
      <c r="J41" t="inlineStr">
        <is>
          <t>0</t>
        </is>
      </c>
      <c r="K41" t="inlineStr">
        <is>
          <t>Remmert, Hermann.</t>
        </is>
      </c>
      <c r="L41" t="inlineStr">
        <is>
          <t>Berlin ; New York : Springer-Verlag, 1980.</t>
        </is>
      </c>
      <c r="M41" t="inlineStr">
        <is>
          <t>1980</t>
        </is>
      </c>
      <c r="O41" t="inlineStr">
        <is>
          <t>eng</t>
        </is>
      </c>
      <c r="P41" t="inlineStr">
        <is>
          <t xml:space="preserve">gw </t>
        </is>
      </c>
      <c r="R41" t="inlineStr">
        <is>
          <t xml:space="preserve">QL </t>
        </is>
      </c>
      <c r="S41" t="n">
        <v>6</v>
      </c>
      <c r="T41" t="n">
        <v>6</v>
      </c>
      <c r="U41" t="inlineStr">
        <is>
          <t>2010-01-25</t>
        </is>
      </c>
      <c r="V41" t="inlineStr">
        <is>
          <t>2010-01-25</t>
        </is>
      </c>
      <c r="W41" t="inlineStr">
        <is>
          <t>1993-05-21</t>
        </is>
      </c>
      <c r="X41" t="inlineStr">
        <is>
          <t>1993-05-21</t>
        </is>
      </c>
      <c r="Y41" t="n">
        <v>454</v>
      </c>
      <c r="Z41" t="n">
        <v>337</v>
      </c>
      <c r="AA41" t="n">
        <v>365</v>
      </c>
      <c r="AB41" t="n">
        <v>3</v>
      </c>
      <c r="AC41" t="n">
        <v>3</v>
      </c>
      <c r="AD41" t="n">
        <v>9</v>
      </c>
      <c r="AE41" t="n">
        <v>10</v>
      </c>
      <c r="AF41" t="n">
        <v>1</v>
      </c>
      <c r="AG41" t="n">
        <v>2</v>
      </c>
      <c r="AH41" t="n">
        <v>2</v>
      </c>
      <c r="AI41" t="n">
        <v>2</v>
      </c>
      <c r="AJ41" t="n">
        <v>5</v>
      </c>
      <c r="AK41" t="n">
        <v>6</v>
      </c>
      <c r="AL41" t="n">
        <v>2</v>
      </c>
      <c r="AM41" t="n">
        <v>2</v>
      </c>
      <c r="AN41" t="n">
        <v>0</v>
      </c>
      <c r="AO41" t="n">
        <v>0</v>
      </c>
      <c r="AP41" t="inlineStr">
        <is>
          <t>No</t>
        </is>
      </c>
      <c r="AQ41" t="inlineStr">
        <is>
          <t>Yes</t>
        </is>
      </c>
      <c r="AR41">
        <f>HYPERLINK("http://catalog.hathitrust.org/Record/000734703","HathiTrust Record")</f>
        <v/>
      </c>
      <c r="AS41">
        <f>HYPERLINK("https://creighton-primo.hosted.exlibrisgroup.com/primo-explore/search?tab=default_tab&amp;search_scope=EVERYTHING&amp;vid=01CRU&amp;lang=en_US&amp;offset=0&amp;query=any,contains,991004991699702656","Catalog Record")</f>
        <v/>
      </c>
      <c r="AT41">
        <f>HYPERLINK("http://www.worldcat.org/oclc/6487503","WorldCat Record")</f>
        <v/>
      </c>
      <c r="AU41" t="inlineStr">
        <is>
          <t>457284:eng</t>
        </is>
      </c>
      <c r="AV41" t="inlineStr">
        <is>
          <t>6487503</t>
        </is>
      </c>
      <c r="AW41" t="inlineStr">
        <is>
          <t>991004991699702656</t>
        </is>
      </c>
      <c r="AX41" t="inlineStr">
        <is>
          <t>991004991699702656</t>
        </is>
      </c>
      <c r="AY41" t="inlineStr">
        <is>
          <t>2271775880002656</t>
        </is>
      </c>
      <c r="AZ41" t="inlineStr">
        <is>
          <t>BOOK</t>
        </is>
      </c>
      <c r="BB41" t="inlineStr">
        <is>
          <t>9780387101699</t>
        </is>
      </c>
      <c r="BC41" t="inlineStr">
        <is>
          <t>32285001686228</t>
        </is>
      </c>
      <c r="BD41" t="inlineStr">
        <is>
          <t>893507467</t>
        </is>
      </c>
    </row>
    <row r="42">
      <c r="A42" t="inlineStr">
        <is>
          <t>No</t>
        </is>
      </c>
      <c r="B42" t="inlineStr">
        <is>
          <t>QL109 .N37 2005</t>
        </is>
      </c>
      <c r="C42" t="inlineStr">
        <is>
          <t>0                      QL 0109000N  37          2005</t>
        </is>
      </c>
      <c r="D42" t="inlineStr">
        <is>
          <t>The smaller majority : the hidden world of the animals that dominate the tropics / Piotr Naskrecki.</t>
        </is>
      </c>
      <c r="F42" t="inlineStr">
        <is>
          <t>No</t>
        </is>
      </c>
      <c r="G42" t="inlineStr">
        <is>
          <t>1</t>
        </is>
      </c>
      <c r="H42" t="inlineStr">
        <is>
          <t>No</t>
        </is>
      </c>
      <c r="I42" t="inlineStr">
        <is>
          <t>No</t>
        </is>
      </c>
      <c r="J42" t="inlineStr">
        <is>
          <t>0</t>
        </is>
      </c>
      <c r="K42" t="inlineStr">
        <is>
          <t>Naskrecki, Piotr.</t>
        </is>
      </c>
      <c r="L42" t="inlineStr">
        <is>
          <t>Cambridge, Mass. : Belknap Press of Harvard University Press, 2005.</t>
        </is>
      </c>
      <c r="M42" t="inlineStr">
        <is>
          <t>2005</t>
        </is>
      </c>
      <c r="N42" t="inlineStr">
        <is>
          <t>1st ed.</t>
        </is>
      </c>
      <c r="O42" t="inlineStr">
        <is>
          <t>eng</t>
        </is>
      </c>
      <c r="P42" t="inlineStr">
        <is>
          <t>mau</t>
        </is>
      </c>
      <c r="R42" t="inlineStr">
        <is>
          <t xml:space="preserve">QL </t>
        </is>
      </c>
      <c r="S42" t="n">
        <v>1</v>
      </c>
      <c r="T42" t="n">
        <v>1</v>
      </c>
      <c r="U42" t="inlineStr">
        <is>
          <t>2005-12-14</t>
        </is>
      </c>
      <c r="V42" t="inlineStr">
        <is>
          <t>2005-12-14</t>
        </is>
      </c>
      <c r="W42" t="inlineStr">
        <is>
          <t>2005-12-14</t>
        </is>
      </c>
      <c r="X42" t="inlineStr">
        <is>
          <t>2005-12-14</t>
        </is>
      </c>
      <c r="Y42" t="n">
        <v>919</v>
      </c>
      <c r="Z42" t="n">
        <v>806</v>
      </c>
      <c r="AA42" t="n">
        <v>864</v>
      </c>
      <c r="AB42" t="n">
        <v>6</v>
      </c>
      <c r="AC42" t="n">
        <v>7</v>
      </c>
      <c r="AD42" t="n">
        <v>21</v>
      </c>
      <c r="AE42" t="n">
        <v>21</v>
      </c>
      <c r="AF42" t="n">
        <v>7</v>
      </c>
      <c r="AG42" t="n">
        <v>7</v>
      </c>
      <c r="AH42" t="n">
        <v>4</v>
      </c>
      <c r="AI42" t="n">
        <v>4</v>
      </c>
      <c r="AJ42" t="n">
        <v>12</v>
      </c>
      <c r="AK42" t="n">
        <v>12</v>
      </c>
      <c r="AL42" t="n">
        <v>4</v>
      </c>
      <c r="AM42" t="n">
        <v>4</v>
      </c>
      <c r="AN42" t="n">
        <v>0</v>
      </c>
      <c r="AO42" t="n">
        <v>0</v>
      </c>
      <c r="AP42" t="inlineStr">
        <is>
          <t>No</t>
        </is>
      </c>
      <c r="AQ42" t="inlineStr">
        <is>
          <t>No</t>
        </is>
      </c>
      <c r="AS42">
        <f>HYPERLINK("https://creighton-primo.hosted.exlibrisgroup.com/primo-explore/search?tab=default_tab&amp;search_scope=EVERYTHING&amp;vid=01CRU&amp;lang=en_US&amp;offset=0&amp;query=any,contains,991004699389702656","Catalog Record")</f>
        <v/>
      </c>
      <c r="AT42">
        <f>HYPERLINK("http://www.worldcat.org/oclc/58843020","WorldCat Record")</f>
        <v/>
      </c>
      <c r="AU42" t="inlineStr">
        <is>
          <t>42722159:eng</t>
        </is>
      </c>
      <c r="AV42" t="inlineStr">
        <is>
          <t>58843020</t>
        </is>
      </c>
      <c r="AW42" t="inlineStr">
        <is>
          <t>991004699389702656</t>
        </is>
      </c>
      <c r="AX42" t="inlineStr">
        <is>
          <t>991004699389702656</t>
        </is>
      </c>
      <c r="AY42" t="inlineStr">
        <is>
          <t>2259947880002656</t>
        </is>
      </c>
      <c r="AZ42" t="inlineStr">
        <is>
          <t>BOOK</t>
        </is>
      </c>
      <c r="BB42" t="inlineStr">
        <is>
          <t>9780674019157</t>
        </is>
      </c>
      <c r="BC42" t="inlineStr">
        <is>
          <t>32285005152276</t>
        </is>
      </c>
      <c r="BD42" t="inlineStr">
        <is>
          <t>893712913</t>
        </is>
      </c>
    </row>
    <row r="43">
      <c r="A43" t="inlineStr">
        <is>
          <t>No</t>
        </is>
      </c>
      <c r="B43" t="inlineStr">
        <is>
          <t>QL110 .B8 1967</t>
        </is>
      </c>
      <c r="C43" t="inlineStr">
        <is>
          <t>0                      QL 0110000B  8           1967</t>
        </is>
      </c>
      <c r="D43" t="inlineStr">
        <is>
          <t>Soil biology, edited by A. Burges and F. Raw.</t>
        </is>
      </c>
      <c r="F43" t="inlineStr">
        <is>
          <t>No</t>
        </is>
      </c>
      <c r="G43" t="inlineStr">
        <is>
          <t>1</t>
        </is>
      </c>
      <c r="H43" t="inlineStr">
        <is>
          <t>No</t>
        </is>
      </c>
      <c r="I43" t="inlineStr">
        <is>
          <t>No</t>
        </is>
      </c>
      <c r="J43" t="inlineStr">
        <is>
          <t>0</t>
        </is>
      </c>
      <c r="K43" t="inlineStr">
        <is>
          <t>Burges, Alan, 1911-</t>
        </is>
      </c>
      <c r="L43" t="inlineStr">
        <is>
          <t>London, Academic Press, 1967.</t>
        </is>
      </c>
      <c r="M43" t="inlineStr">
        <is>
          <t>1967</t>
        </is>
      </c>
      <c r="O43" t="inlineStr">
        <is>
          <t>eng</t>
        </is>
      </c>
      <c r="P43" t="inlineStr">
        <is>
          <t>enk</t>
        </is>
      </c>
      <c r="R43" t="inlineStr">
        <is>
          <t xml:space="preserve">QL </t>
        </is>
      </c>
      <c r="S43" t="n">
        <v>8</v>
      </c>
      <c r="T43" t="n">
        <v>8</v>
      </c>
      <c r="U43" t="inlineStr">
        <is>
          <t>2002-04-24</t>
        </is>
      </c>
      <c r="V43" t="inlineStr">
        <is>
          <t>2002-04-24</t>
        </is>
      </c>
      <c r="W43" t="inlineStr">
        <is>
          <t>1997-07-19</t>
        </is>
      </c>
      <c r="X43" t="inlineStr">
        <is>
          <t>1997-07-19</t>
        </is>
      </c>
      <c r="Y43" t="n">
        <v>535</v>
      </c>
      <c r="Z43" t="n">
        <v>360</v>
      </c>
      <c r="AA43" t="n">
        <v>399</v>
      </c>
      <c r="AB43" t="n">
        <v>5</v>
      </c>
      <c r="AC43" t="n">
        <v>5</v>
      </c>
      <c r="AD43" t="n">
        <v>19</v>
      </c>
      <c r="AE43" t="n">
        <v>21</v>
      </c>
      <c r="AF43" t="n">
        <v>8</v>
      </c>
      <c r="AG43" t="n">
        <v>9</v>
      </c>
      <c r="AH43" t="n">
        <v>5</v>
      </c>
      <c r="AI43" t="n">
        <v>7</v>
      </c>
      <c r="AJ43" t="n">
        <v>8</v>
      </c>
      <c r="AK43" t="n">
        <v>8</v>
      </c>
      <c r="AL43" t="n">
        <v>4</v>
      </c>
      <c r="AM43" t="n">
        <v>4</v>
      </c>
      <c r="AN43" t="n">
        <v>0</v>
      </c>
      <c r="AO43" t="n">
        <v>0</v>
      </c>
      <c r="AP43" t="inlineStr">
        <is>
          <t>No</t>
        </is>
      </c>
      <c r="AQ43" t="inlineStr">
        <is>
          <t>Yes</t>
        </is>
      </c>
      <c r="AR43">
        <f>HYPERLINK("http://catalog.hathitrust.org/Record/001490400","HathiTrust Record")</f>
        <v/>
      </c>
      <c r="AS43">
        <f>HYPERLINK("https://creighton-primo.hosted.exlibrisgroup.com/primo-explore/search?tab=default_tab&amp;search_scope=EVERYTHING&amp;vid=01CRU&amp;lang=en_US&amp;offset=0&amp;query=any,contains,991002983859702656","Catalog Record")</f>
        <v/>
      </c>
      <c r="AT43">
        <f>HYPERLINK("http://www.worldcat.org/oclc/556358","WorldCat Record")</f>
        <v/>
      </c>
      <c r="AU43" t="inlineStr">
        <is>
          <t>346791990:eng</t>
        </is>
      </c>
      <c r="AV43" t="inlineStr">
        <is>
          <t>556358</t>
        </is>
      </c>
      <c r="AW43" t="inlineStr">
        <is>
          <t>991002983859702656</t>
        </is>
      </c>
      <c r="AX43" t="inlineStr">
        <is>
          <t>991002983859702656</t>
        </is>
      </c>
      <c r="AY43" t="inlineStr">
        <is>
          <t>2259915460002656</t>
        </is>
      </c>
      <c r="AZ43" t="inlineStr">
        <is>
          <t>BOOK</t>
        </is>
      </c>
      <c r="BC43" t="inlineStr">
        <is>
          <t>32285002939295</t>
        </is>
      </c>
      <c r="BD43" t="inlineStr">
        <is>
          <t>893598135</t>
        </is>
      </c>
    </row>
    <row r="44">
      <c r="A44" t="inlineStr">
        <is>
          <t>No</t>
        </is>
      </c>
      <c r="B44" t="inlineStr">
        <is>
          <t>QL110 .K4</t>
        </is>
      </c>
      <c r="C44" t="inlineStr">
        <is>
          <t>0                      QL 0110000K  4</t>
        </is>
      </c>
      <c r="D44" t="inlineStr">
        <is>
          <t>Soil animals. With a foreword by E. John Russell.</t>
        </is>
      </c>
      <c r="F44" t="inlineStr">
        <is>
          <t>No</t>
        </is>
      </c>
      <c r="G44" t="inlineStr">
        <is>
          <t>1</t>
        </is>
      </c>
      <c r="H44" t="inlineStr">
        <is>
          <t>No</t>
        </is>
      </c>
      <c r="I44" t="inlineStr">
        <is>
          <t>No</t>
        </is>
      </c>
      <c r="J44" t="inlineStr">
        <is>
          <t>0</t>
        </is>
      </c>
      <c r="K44" t="inlineStr">
        <is>
          <t>Kevan, D. Keith McE.</t>
        </is>
      </c>
      <c r="L44" t="inlineStr">
        <is>
          <t>New York Philosophical Library [1962]</t>
        </is>
      </c>
      <c r="M44" t="inlineStr">
        <is>
          <t>1962</t>
        </is>
      </c>
      <c r="O44" t="inlineStr">
        <is>
          <t>eng</t>
        </is>
      </c>
      <c r="P44" t="inlineStr">
        <is>
          <t>nyu</t>
        </is>
      </c>
      <c r="Q44" t="inlineStr">
        <is>
          <t>Aspects of zoology.</t>
        </is>
      </c>
      <c r="R44" t="inlineStr">
        <is>
          <t xml:space="preserve">QL </t>
        </is>
      </c>
      <c r="S44" t="n">
        <v>1</v>
      </c>
      <c r="T44" t="n">
        <v>1</v>
      </c>
      <c r="U44" t="inlineStr">
        <is>
          <t>2002-10-12</t>
        </is>
      </c>
      <c r="V44" t="inlineStr">
        <is>
          <t>2002-10-12</t>
        </is>
      </c>
      <c r="W44" t="inlineStr">
        <is>
          <t>1997-07-19</t>
        </is>
      </c>
      <c r="X44" t="inlineStr">
        <is>
          <t>1997-07-19</t>
        </is>
      </c>
      <c r="Y44" t="n">
        <v>303</v>
      </c>
      <c r="Z44" t="n">
        <v>264</v>
      </c>
      <c r="AA44" t="n">
        <v>314</v>
      </c>
      <c r="AB44" t="n">
        <v>2</v>
      </c>
      <c r="AC44" t="n">
        <v>3</v>
      </c>
      <c r="AD44" t="n">
        <v>12</v>
      </c>
      <c r="AE44" t="n">
        <v>14</v>
      </c>
      <c r="AF44" t="n">
        <v>5</v>
      </c>
      <c r="AG44" t="n">
        <v>6</v>
      </c>
      <c r="AH44" t="n">
        <v>3</v>
      </c>
      <c r="AI44" t="n">
        <v>3</v>
      </c>
      <c r="AJ44" t="n">
        <v>6</v>
      </c>
      <c r="AK44" t="n">
        <v>7</v>
      </c>
      <c r="AL44" t="n">
        <v>1</v>
      </c>
      <c r="AM44" t="n">
        <v>2</v>
      </c>
      <c r="AN44" t="n">
        <v>0</v>
      </c>
      <c r="AO44" t="n">
        <v>0</v>
      </c>
      <c r="AP44" t="inlineStr">
        <is>
          <t>No</t>
        </is>
      </c>
      <c r="AQ44" t="inlineStr">
        <is>
          <t>Yes</t>
        </is>
      </c>
      <c r="AR44">
        <f>HYPERLINK("http://catalog.hathitrust.org/Record/001498971","HathiTrust Record")</f>
        <v/>
      </c>
      <c r="AS44">
        <f>HYPERLINK("https://creighton-primo.hosted.exlibrisgroup.com/primo-explore/search?tab=default_tab&amp;search_scope=EVERYTHING&amp;vid=01CRU&amp;lang=en_US&amp;offset=0&amp;query=any,contains,991003814839702656","Catalog Record")</f>
        <v/>
      </c>
      <c r="AT44">
        <f>HYPERLINK("http://www.worldcat.org/oclc/1545936","WorldCat Record")</f>
        <v/>
      </c>
      <c r="AU44" t="inlineStr">
        <is>
          <t>1525296:eng</t>
        </is>
      </c>
      <c r="AV44" t="inlineStr">
        <is>
          <t>1545936</t>
        </is>
      </c>
      <c r="AW44" t="inlineStr">
        <is>
          <t>991003814839702656</t>
        </is>
      </c>
      <c r="AX44" t="inlineStr">
        <is>
          <t>991003814839702656</t>
        </is>
      </c>
      <c r="AY44" t="inlineStr">
        <is>
          <t>2272806830002656</t>
        </is>
      </c>
      <c r="AZ44" t="inlineStr">
        <is>
          <t>BOOK</t>
        </is>
      </c>
      <c r="BC44" t="inlineStr">
        <is>
          <t>32285002939303</t>
        </is>
      </c>
      <c r="BD44" t="inlineStr">
        <is>
          <t>893336990</t>
        </is>
      </c>
    </row>
    <row r="45">
      <c r="A45" t="inlineStr">
        <is>
          <t>No</t>
        </is>
      </c>
      <c r="B45" t="inlineStr">
        <is>
          <t>QL114 .D34</t>
        </is>
      </c>
      <c r="C45" t="inlineStr">
        <is>
          <t>0                      QL 0114000D  34</t>
        </is>
      </c>
      <c r="D45" t="inlineStr">
        <is>
          <t>Animals of the tidal marsh / Franklin C. Daiber.</t>
        </is>
      </c>
      <c r="F45" t="inlineStr">
        <is>
          <t>No</t>
        </is>
      </c>
      <c r="G45" t="inlineStr">
        <is>
          <t>1</t>
        </is>
      </c>
      <c r="H45" t="inlineStr">
        <is>
          <t>No</t>
        </is>
      </c>
      <c r="I45" t="inlineStr">
        <is>
          <t>No</t>
        </is>
      </c>
      <c r="J45" t="inlineStr">
        <is>
          <t>0</t>
        </is>
      </c>
      <c r="K45" t="inlineStr">
        <is>
          <t>Daiber, Franklin C.</t>
        </is>
      </c>
      <c r="L45" t="inlineStr">
        <is>
          <t>New York : Van Nostrand Reinhold, c1982.</t>
        </is>
      </c>
      <c r="M45" t="inlineStr">
        <is>
          <t>1982</t>
        </is>
      </c>
      <c r="O45" t="inlineStr">
        <is>
          <t>eng</t>
        </is>
      </c>
      <c r="P45" t="inlineStr">
        <is>
          <t>nyu</t>
        </is>
      </c>
      <c r="R45" t="inlineStr">
        <is>
          <t xml:space="preserve">QL </t>
        </is>
      </c>
      <c r="S45" t="n">
        <v>8</v>
      </c>
      <c r="T45" t="n">
        <v>8</v>
      </c>
      <c r="U45" t="inlineStr">
        <is>
          <t>2006-11-02</t>
        </is>
      </c>
      <c r="V45" t="inlineStr">
        <is>
          <t>2006-11-02</t>
        </is>
      </c>
      <c r="W45" t="inlineStr">
        <is>
          <t>1993-05-21</t>
        </is>
      </c>
      <c r="X45" t="inlineStr">
        <is>
          <t>1993-05-21</t>
        </is>
      </c>
      <c r="Y45" t="n">
        <v>646</v>
      </c>
      <c r="Z45" t="n">
        <v>567</v>
      </c>
      <c r="AA45" t="n">
        <v>573</v>
      </c>
      <c r="AB45" t="n">
        <v>3</v>
      </c>
      <c r="AC45" t="n">
        <v>3</v>
      </c>
      <c r="AD45" t="n">
        <v>17</v>
      </c>
      <c r="AE45" t="n">
        <v>17</v>
      </c>
      <c r="AF45" t="n">
        <v>7</v>
      </c>
      <c r="AG45" t="n">
        <v>7</v>
      </c>
      <c r="AH45" t="n">
        <v>3</v>
      </c>
      <c r="AI45" t="n">
        <v>3</v>
      </c>
      <c r="AJ45" t="n">
        <v>13</v>
      </c>
      <c r="AK45" t="n">
        <v>13</v>
      </c>
      <c r="AL45" t="n">
        <v>2</v>
      </c>
      <c r="AM45" t="n">
        <v>2</v>
      </c>
      <c r="AN45" t="n">
        <v>0</v>
      </c>
      <c r="AO45" t="n">
        <v>0</v>
      </c>
      <c r="AP45" t="inlineStr">
        <is>
          <t>No</t>
        </is>
      </c>
      <c r="AQ45" t="inlineStr">
        <is>
          <t>Yes</t>
        </is>
      </c>
      <c r="AR45">
        <f>HYPERLINK("http://catalog.hathitrust.org/Record/000201490","HathiTrust Record")</f>
        <v/>
      </c>
      <c r="AS45">
        <f>HYPERLINK("https://creighton-primo.hosted.exlibrisgroup.com/primo-explore/search?tab=default_tab&amp;search_scope=EVERYTHING&amp;vid=01CRU&amp;lang=en_US&amp;offset=0&amp;query=any,contains,991005064839702656","Catalog Record")</f>
        <v/>
      </c>
      <c r="AT45">
        <f>HYPERLINK("http://www.worldcat.org/oclc/6943580","WorldCat Record")</f>
        <v/>
      </c>
      <c r="AU45" t="inlineStr">
        <is>
          <t>481851:eng</t>
        </is>
      </c>
      <c r="AV45" t="inlineStr">
        <is>
          <t>6943580</t>
        </is>
      </c>
      <c r="AW45" t="inlineStr">
        <is>
          <t>991005064839702656</t>
        </is>
      </c>
      <c r="AX45" t="inlineStr">
        <is>
          <t>991005064839702656</t>
        </is>
      </c>
      <c r="AY45" t="inlineStr">
        <is>
          <t>2256585940002656</t>
        </is>
      </c>
      <c r="AZ45" t="inlineStr">
        <is>
          <t>BOOK</t>
        </is>
      </c>
      <c r="BB45" t="inlineStr">
        <is>
          <t>9780442248543</t>
        </is>
      </c>
      <c r="BC45" t="inlineStr">
        <is>
          <t>32285001686244</t>
        </is>
      </c>
      <c r="BD45" t="inlineStr">
        <is>
          <t>893533101</t>
        </is>
      </c>
    </row>
    <row r="46">
      <c r="A46" t="inlineStr">
        <is>
          <t>No</t>
        </is>
      </c>
      <c r="B46" t="inlineStr">
        <is>
          <t>QL114.5 .A75 2000</t>
        </is>
      </c>
      <c r="C46" t="inlineStr">
        <is>
          <t>0                      QL 0114500A  75          2000</t>
        </is>
      </c>
      <c r="D46" t="inlineStr">
        <is>
          <t>Wild and swampy / exploring with Jim Arnosky.</t>
        </is>
      </c>
      <c r="F46" t="inlineStr">
        <is>
          <t>No</t>
        </is>
      </c>
      <c r="G46" t="inlineStr">
        <is>
          <t>1</t>
        </is>
      </c>
      <c r="H46" t="inlineStr">
        <is>
          <t>No</t>
        </is>
      </c>
      <c r="I46" t="inlineStr">
        <is>
          <t>No</t>
        </is>
      </c>
      <c r="J46" t="inlineStr">
        <is>
          <t>0</t>
        </is>
      </c>
      <c r="K46" t="inlineStr">
        <is>
          <t>Arnosky, Jim.</t>
        </is>
      </c>
      <c r="L46" t="inlineStr">
        <is>
          <t>[New York] : HarperCollins Publishers, c2000.</t>
        </is>
      </c>
      <c r="M46" t="inlineStr">
        <is>
          <t>2000</t>
        </is>
      </c>
      <c r="N46" t="inlineStr">
        <is>
          <t>1st ed.</t>
        </is>
      </c>
      <c r="O46" t="inlineStr">
        <is>
          <t>eng</t>
        </is>
      </c>
      <c r="P46" t="inlineStr">
        <is>
          <t>nyu</t>
        </is>
      </c>
      <c r="R46" t="inlineStr">
        <is>
          <t xml:space="preserve">QL </t>
        </is>
      </c>
      <c r="S46" t="n">
        <v>4</v>
      </c>
      <c r="T46" t="n">
        <v>4</v>
      </c>
      <c r="U46" t="inlineStr">
        <is>
          <t>2002-01-08</t>
        </is>
      </c>
      <c r="V46" t="inlineStr">
        <is>
          <t>2002-01-08</t>
        </is>
      </c>
      <c r="W46" t="inlineStr">
        <is>
          <t>2002-01-08</t>
        </is>
      </c>
      <c r="X46" t="inlineStr">
        <is>
          <t>2002-01-08</t>
        </is>
      </c>
      <c r="Y46" t="n">
        <v>807</v>
      </c>
      <c r="Z46" t="n">
        <v>785</v>
      </c>
      <c r="AA46" t="n">
        <v>818</v>
      </c>
      <c r="AB46" t="n">
        <v>4</v>
      </c>
      <c r="AC46" t="n">
        <v>4</v>
      </c>
      <c r="AD46" t="n">
        <v>3</v>
      </c>
      <c r="AE46" t="n">
        <v>3</v>
      </c>
      <c r="AF46" t="n">
        <v>2</v>
      </c>
      <c r="AG46" t="n">
        <v>2</v>
      </c>
      <c r="AH46" t="n">
        <v>0</v>
      </c>
      <c r="AI46" t="n">
        <v>0</v>
      </c>
      <c r="AJ46" t="n">
        <v>1</v>
      </c>
      <c r="AK46" t="n">
        <v>1</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HYPERLINK("https://creighton-primo.hosted.exlibrisgroup.com/primo-explore/search?tab=default_tab&amp;search_scope=EVERYTHING&amp;vid=01CRU&amp;lang=en_US&amp;offset=0&amp;query=any,contains,991003703259702656","Catalog Record")</f>
        <v/>
      </c>
      <c r="AT46">
        <f>HYPERLINK("http://www.worldcat.org/oclc/42771519","WorldCat Record")</f>
        <v/>
      </c>
      <c r="AU46" t="inlineStr">
        <is>
          <t>27998181:eng</t>
        </is>
      </c>
      <c r="AV46" t="inlineStr">
        <is>
          <t>42771519</t>
        </is>
      </c>
      <c r="AW46" t="inlineStr">
        <is>
          <t>991003703259702656</t>
        </is>
      </c>
      <c r="AX46" t="inlineStr">
        <is>
          <t>991003703259702656</t>
        </is>
      </c>
      <c r="AY46" t="inlineStr">
        <is>
          <t>2271543470002656</t>
        </is>
      </c>
      <c r="AZ46" t="inlineStr">
        <is>
          <t>BOOK</t>
        </is>
      </c>
      <c r="BB46" t="inlineStr">
        <is>
          <t>9780688171193</t>
        </is>
      </c>
      <c r="BC46" t="inlineStr">
        <is>
          <t>32285004446513</t>
        </is>
      </c>
      <c r="BD46" t="inlineStr">
        <is>
          <t>893405153</t>
        </is>
      </c>
    </row>
    <row r="47">
      <c r="A47" t="inlineStr">
        <is>
          <t>No</t>
        </is>
      </c>
      <c r="B47" t="inlineStr">
        <is>
          <t>QL115 .D52</t>
        </is>
      </c>
      <c r="C47" t="inlineStr">
        <is>
          <t>0                      QL 0115000D  52</t>
        </is>
      </c>
      <c r="D47" t="inlineStr">
        <is>
          <t>Walt Disney's Vanishing prairie. [Text] by Louis Bromfield.</t>
        </is>
      </c>
      <c r="F47" t="inlineStr">
        <is>
          <t>No</t>
        </is>
      </c>
      <c r="G47" t="inlineStr">
        <is>
          <t>1</t>
        </is>
      </c>
      <c r="H47" t="inlineStr">
        <is>
          <t>No</t>
        </is>
      </c>
      <c r="I47" t="inlineStr">
        <is>
          <t>No</t>
        </is>
      </c>
      <c r="J47" t="inlineStr">
        <is>
          <t>0</t>
        </is>
      </c>
      <c r="K47" t="inlineStr">
        <is>
          <t>Walt Disney Productions.</t>
        </is>
      </c>
      <c r="L47" t="inlineStr">
        <is>
          <t>New York, Simon and Schuster [1956?]</t>
        </is>
      </c>
      <c r="M47" t="inlineStr">
        <is>
          <t>1956</t>
        </is>
      </c>
      <c r="O47" t="inlineStr">
        <is>
          <t>eng</t>
        </is>
      </c>
      <c r="P47" t="inlineStr">
        <is>
          <t>nyu</t>
        </is>
      </c>
      <c r="Q47" t="inlineStr">
        <is>
          <t>A True-life adventure</t>
        </is>
      </c>
      <c r="R47" t="inlineStr">
        <is>
          <t xml:space="preserve">QL </t>
        </is>
      </c>
      <c r="S47" t="n">
        <v>2</v>
      </c>
      <c r="T47" t="n">
        <v>2</v>
      </c>
      <c r="U47" t="inlineStr">
        <is>
          <t>1998-04-09</t>
        </is>
      </c>
      <c r="V47" t="inlineStr">
        <is>
          <t>1998-04-09</t>
        </is>
      </c>
      <c r="W47" t="inlineStr">
        <is>
          <t>1997-07-19</t>
        </is>
      </c>
      <c r="X47" t="inlineStr">
        <is>
          <t>1997-07-19</t>
        </is>
      </c>
      <c r="Y47" t="n">
        <v>41</v>
      </c>
      <c r="Z47" t="n">
        <v>40</v>
      </c>
      <c r="AA47" t="n">
        <v>274</v>
      </c>
      <c r="AB47" t="n">
        <v>1</v>
      </c>
      <c r="AC47" t="n">
        <v>2</v>
      </c>
      <c r="AD47" t="n">
        <v>0</v>
      </c>
      <c r="AE47" t="n">
        <v>2</v>
      </c>
      <c r="AF47" t="n">
        <v>0</v>
      </c>
      <c r="AG47" t="n">
        <v>0</v>
      </c>
      <c r="AH47" t="n">
        <v>0</v>
      </c>
      <c r="AI47" t="n">
        <v>0</v>
      </c>
      <c r="AJ47" t="n">
        <v>0</v>
      </c>
      <c r="AK47" t="n">
        <v>1</v>
      </c>
      <c r="AL47" t="n">
        <v>0</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HYPERLINK("https://creighton-primo.hosted.exlibrisgroup.com/primo-explore/search?tab=default_tab&amp;search_scope=EVERYTHING&amp;vid=01CRU&amp;lang=en_US&amp;offset=0&amp;query=any,contains,991004423939702656","Catalog Record")</f>
        <v/>
      </c>
      <c r="AT47">
        <f>HYPERLINK("http://www.worldcat.org/oclc/3394997","WorldCat Record")</f>
        <v/>
      </c>
      <c r="AU47" t="inlineStr">
        <is>
          <t>1909188019:eng</t>
        </is>
      </c>
      <c r="AV47" t="inlineStr">
        <is>
          <t>3394997</t>
        </is>
      </c>
      <c r="AW47" t="inlineStr">
        <is>
          <t>991004423939702656</t>
        </is>
      </c>
      <c r="AX47" t="inlineStr">
        <is>
          <t>991004423939702656</t>
        </is>
      </c>
      <c r="AY47" t="inlineStr">
        <is>
          <t>2272809940002656</t>
        </is>
      </c>
      <c r="AZ47" t="inlineStr">
        <is>
          <t>BOOK</t>
        </is>
      </c>
      <c r="BC47" t="inlineStr">
        <is>
          <t>32285002939337</t>
        </is>
      </c>
      <c r="BD47" t="inlineStr">
        <is>
          <t>893436276</t>
        </is>
      </c>
    </row>
    <row r="48">
      <c r="A48" t="inlineStr">
        <is>
          <t>No</t>
        </is>
      </c>
      <c r="B48" t="inlineStr">
        <is>
          <t>QL115.3 .C87 1994</t>
        </is>
      </c>
      <c r="C48" t="inlineStr">
        <is>
          <t>0                      QL 0115300C  87          1994</t>
        </is>
      </c>
      <c r="D48" t="inlineStr">
        <is>
          <t>Grassland invertebrates : ecology, influence on soil fertility, and effects on plant growth / J.P. Curry.</t>
        </is>
      </c>
      <c r="F48" t="inlineStr">
        <is>
          <t>No</t>
        </is>
      </c>
      <c r="G48" t="inlineStr">
        <is>
          <t>1</t>
        </is>
      </c>
      <c r="H48" t="inlineStr">
        <is>
          <t>No</t>
        </is>
      </c>
      <c r="I48" t="inlineStr">
        <is>
          <t>No</t>
        </is>
      </c>
      <c r="J48" t="inlineStr">
        <is>
          <t>0</t>
        </is>
      </c>
      <c r="K48" t="inlineStr">
        <is>
          <t>Curry, J. P.</t>
        </is>
      </c>
      <c r="L48" t="inlineStr">
        <is>
          <t>London ; New York : Chapman &amp; Hall, 1994.</t>
        </is>
      </c>
      <c r="M48" t="inlineStr">
        <is>
          <t>1994</t>
        </is>
      </c>
      <c r="N48" t="inlineStr">
        <is>
          <t>1st ed.</t>
        </is>
      </c>
      <c r="O48" t="inlineStr">
        <is>
          <t>eng</t>
        </is>
      </c>
      <c r="P48" t="inlineStr">
        <is>
          <t>enk</t>
        </is>
      </c>
      <c r="R48" t="inlineStr">
        <is>
          <t xml:space="preserve">QL </t>
        </is>
      </c>
      <c r="S48" t="n">
        <v>4</v>
      </c>
      <c r="T48" t="n">
        <v>4</v>
      </c>
      <c r="U48" t="inlineStr">
        <is>
          <t>1999-06-21</t>
        </is>
      </c>
      <c r="V48" t="inlineStr">
        <is>
          <t>1999-06-21</t>
        </is>
      </c>
      <c r="W48" t="inlineStr">
        <is>
          <t>1997-04-09</t>
        </is>
      </c>
      <c r="X48" t="inlineStr">
        <is>
          <t>1997-04-09</t>
        </is>
      </c>
      <c r="Y48" t="n">
        <v>264</v>
      </c>
      <c r="Z48" t="n">
        <v>150</v>
      </c>
      <c r="AA48" t="n">
        <v>150</v>
      </c>
      <c r="AB48" t="n">
        <v>2</v>
      </c>
      <c r="AC48" t="n">
        <v>2</v>
      </c>
      <c r="AD48" t="n">
        <v>4</v>
      </c>
      <c r="AE48" t="n">
        <v>4</v>
      </c>
      <c r="AF48" t="n">
        <v>1</v>
      </c>
      <c r="AG48" t="n">
        <v>1</v>
      </c>
      <c r="AH48" t="n">
        <v>1</v>
      </c>
      <c r="AI48" t="n">
        <v>1</v>
      </c>
      <c r="AJ48" t="n">
        <v>2</v>
      </c>
      <c r="AK48" t="n">
        <v>2</v>
      </c>
      <c r="AL48" t="n">
        <v>1</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HYPERLINK("https://creighton-primo.hosted.exlibrisgroup.com/primo-explore/search?tab=default_tab&amp;search_scope=EVERYTHING&amp;vid=01CRU&amp;lang=en_US&amp;offset=0&amp;query=any,contains,991002234839702656","Catalog Record")</f>
        <v/>
      </c>
      <c r="AT48">
        <f>HYPERLINK("http://www.worldcat.org/oclc/28800575","WorldCat Record")</f>
        <v/>
      </c>
      <c r="AU48" t="inlineStr">
        <is>
          <t>807611905:eng</t>
        </is>
      </c>
      <c r="AV48" t="inlineStr">
        <is>
          <t>28800575</t>
        </is>
      </c>
      <c r="AW48" t="inlineStr">
        <is>
          <t>991002234839702656</t>
        </is>
      </c>
      <c r="AX48" t="inlineStr">
        <is>
          <t>991002234839702656</t>
        </is>
      </c>
      <c r="AY48" t="inlineStr">
        <is>
          <t>2258509650002656</t>
        </is>
      </c>
      <c r="AZ48" t="inlineStr">
        <is>
          <t>BOOK</t>
        </is>
      </c>
      <c r="BB48" t="inlineStr">
        <is>
          <t>9780412165207</t>
        </is>
      </c>
      <c r="BC48" t="inlineStr">
        <is>
          <t>32285002495629</t>
        </is>
      </c>
      <c r="BD48" t="inlineStr">
        <is>
          <t>893517045</t>
        </is>
      </c>
    </row>
    <row r="49">
      <c r="A49" t="inlineStr">
        <is>
          <t>No</t>
        </is>
      </c>
      <c r="B49" t="inlineStr">
        <is>
          <t>QL116 .C7</t>
        </is>
      </c>
      <c r="C49" t="inlineStr">
        <is>
          <t>0                      QL 0116000C  7</t>
        </is>
      </c>
      <c r="D49" t="inlineStr">
        <is>
          <t>Biology of desert invertebrates / Clifford S. Crawford.</t>
        </is>
      </c>
      <c r="F49" t="inlineStr">
        <is>
          <t>No</t>
        </is>
      </c>
      <c r="G49" t="inlineStr">
        <is>
          <t>1</t>
        </is>
      </c>
      <c r="H49" t="inlineStr">
        <is>
          <t>No</t>
        </is>
      </c>
      <c r="I49" t="inlineStr">
        <is>
          <t>No</t>
        </is>
      </c>
      <c r="J49" t="inlineStr">
        <is>
          <t>0</t>
        </is>
      </c>
      <c r="K49" t="inlineStr">
        <is>
          <t>Crawford, Clifford S.</t>
        </is>
      </c>
      <c r="L49" t="inlineStr">
        <is>
          <t>Berlin ; New York : Springer-Verlag, 1981.</t>
        </is>
      </c>
      <c r="M49" t="inlineStr">
        <is>
          <t>1981</t>
        </is>
      </c>
      <c r="O49" t="inlineStr">
        <is>
          <t>eng</t>
        </is>
      </c>
      <c r="P49" t="inlineStr">
        <is>
          <t xml:space="preserve">gw </t>
        </is>
      </c>
      <c r="R49" t="inlineStr">
        <is>
          <t xml:space="preserve">QL </t>
        </is>
      </c>
      <c r="S49" t="n">
        <v>1</v>
      </c>
      <c r="T49" t="n">
        <v>1</v>
      </c>
      <c r="U49" t="inlineStr">
        <is>
          <t>2005-02-26</t>
        </is>
      </c>
      <c r="V49" t="inlineStr">
        <is>
          <t>2005-02-26</t>
        </is>
      </c>
      <c r="W49" t="inlineStr">
        <is>
          <t>1993-05-21</t>
        </is>
      </c>
      <c r="X49" t="inlineStr">
        <is>
          <t>1993-05-21</t>
        </is>
      </c>
      <c r="Y49" t="n">
        <v>497</v>
      </c>
      <c r="Z49" t="n">
        <v>363</v>
      </c>
      <c r="AA49" t="n">
        <v>381</v>
      </c>
      <c r="AB49" t="n">
        <v>5</v>
      </c>
      <c r="AC49" t="n">
        <v>5</v>
      </c>
      <c r="AD49" t="n">
        <v>14</v>
      </c>
      <c r="AE49" t="n">
        <v>14</v>
      </c>
      <c r="AF49" t="n">
        <v>4</v>
      </c>
      <c r="AG49" t="n">
        <v>4</v>
      </c>
      <c r="AH49" t="n">
        <v>3</v>
      </c>
      <c r="AI49" t="n">
        <v>3</v>
      </c>
      <c r="AJ49" t="n">
        <v>7</v>
      </c>
      <c r="AK49" t="n">
        <v>7</v>
      </c>
      <c r="AL49" t="n">
        <v>4</v>
      </c>
      <c r="AM49" t="n">
        <v>4</v>
      </c>
      <c r="AN49" t="n">
        <v>0</v>
      </c>
      <c r="AO49" t="n">
        <v>0</v>
      </c>
      <c r="AP49" t="inlineStr">
        <is>
          <t>No</t>
        </is>
      </c>
      <c r="AQ49" t="inlineStr">
        <is>
          <t>Yes</t>
        </is>
      </c>
      <c r="AR49">
        <f>HYPERLINK("http://catalog.hathitrust.org/Record/000771690","HathiTrust Record")</f>
        <v/>
      </c>
      <c r="AS49">
        <f>HYPERLINK("https://creighton-primo.hosted.exlibrisgroup.com/primo-explore/search?tab=default_tab&amp;search_scope=EVERYTHING&amp;vid=01CRU&amp;lang=en_US&amp;offset=0&amp;query=any,contains,991005134729702656","Catalog Record")</f>
        <v/>
      </c>
      <c r="AT49">
        <f>HYPERLINK("http://www.worldcat.org/oclc/7575660","WorldCat Record")</f>
        <v/>
      </c>
      <c r="AU49" t="inlineStr">
        <is>
          <t>28882858:eng</t>
        </is>
      </c>
      <c r="AV49" t="inlineStr">
        <is>
          <t>7575660</t>
        </is>
      </c>
      <c r="AW49" t="inlineStr">
        <is>
          <t>991005134729702656</t>
        </is>
      </c>
      <c r="AX49" t="inlineStr">
        <is>
          <t>991005134729702656</t>
        </is>
      </c>
      <c r="AY49" t="inlineStr">
        <is>
          <t>2265621390002656</t>
        </is>
      </c>
      <c r="AZ49" t="inlineStr">
        <is>
          <t>BOOK</t>
        </is>
      </c>
      <c r="BB49" t="inlineStr">
        <is>
          <t>9780387108070</t>
        </is>
      </c>
      <c r="BC49" t="inlineStr">
        <is>
          <t>32285001686251</t>
        </is>
      </c>
      <c r="BD49" t="inlineStr">
        <is>
          <t>893514102</t>
        </is>
      </c>
    </row>
    <row r="50">
      <c r="A50" t="inlineStr">
        <is>
          <t>No</t>
        </is>
      </c>
      <c r="B50" t="inlineStr">
        <is>
          <t>QL116 .S3</t>
        </is>
      </c>
      <c r="C50" t="inlineStr">
        <is>
          <t>0                      QL 0116000S  3</t>
        </is>
      </c>
      <c r="D50" t="inlineStr">
        <is>
          <t>Desert animals: physiological problems of heat and water.</t>
        </is>
      </c>
      <c r="F50" t="inlineStr">
        <is>
          <t>No</t>
        </is>
      </c>
      <c r="G50" t="inlineStr">
        <is>
          <t>1</t>
        </is>
      </c>
      <c r="H50" t="inlineStr">
        <is>
          <t>No</t>
        </is>
      </c>
      <c r="I50" t="inlineStr">
        <is>
          <t>No</t>
        </is>
      </c>
      <c r="J50" t="inlineStr">
        <is>
          <t>0</t>
        </is>
      </c>
      <c r="K50" t="inlineStr">
        <is>
          <t>Schmidt-Nielsen, Knut, 1915-2007.</t>
        </is>
      </c>
      <c r="L50" t="inlineStr">
        <is>
          <t>Oxford, Clarendon Press, 1964.</t>
        </is>
      </c>
      <c r="M50" t="inlineStr">
        <is>
          <t>1964</t>
        </is>
      </c>
      <c r="O50" t="inlineStr">
        <is>
          <t>eng</t>
        </is>
      </c>
      <c r="P50" t="inlineStr">
        <is>
          <t>enk</t>
        </is>
      </c>
      <c r="R50" t="inlineStr">
        <is>
          <t xml:space="preserve">QL </t>
        </is>
      </c>
      <c r="S50" t="n">
        <v>4</v>
      </c>
      <c r="T50" t="n">
        <v>4</v>
      </c>
      <c r="U50" t="inlineStr">
        <is>
          <t>2004-12-06</t>
        </is>
      </c>
      <c r="V50" t="inlineStr">
        <is>
          <t>2004-12-06</t>
        </is>
      </c>
      <c r="W50" t="inlineStr">
        <is>
          <t>1997-07-19</t>
        </is>
      </c>
      <c r="X50" t="inlineStr">
        <is>
          <t>1997-07-19</t>
        </is>
      </c>
      <c r="Y50" t="n">
        <v>718</v>
      </c>
      <c r="Z50" t="n">
        <v>547</v>
      </c>
      <c r="AA50" t="n">
        <v>754</v>
      </c>
      <c r="AB50" t="n">
        <v>6</v>
      </c>
      <c r="AC50" t="n">
        <v>8</v>
      </c>
      <c r="AD50" t="n">
        <v>22</v>
      </c>
      <c r="AE50" t="n">
        <v>31</v>
      </c>
      <c r="AF50" t="n">
        <v>8</v>
      </c>
      <c r="AG50" t="n">
        <v>12</v>
      </c>
      <c r="AH50" t="n">
        <v>4</v>
      </c>
      <c r="AI50" t="n">
        <v>6</v>
      </c>
      <c r="AJ50" t="n">
        <v>10</v>
      </c>
      <c r="AK50" t="n">
        <v>15</v>
      </c>
      <c r="AL50" t="n">
        <v>4</v>
      </c>
      <c r="AM50" t="n">
        <v>6</v>
      </c>
      <c r="AN50" t="n">
        <v>0</v>
      </c>
      <c r="AO50" t="n">
        <v>0</v>
      </c>
      <c r="AP50" t="inlineStr">
        <is>
          <t>No</t>
        </is>
      </c>
      <c r="AQ50" t="inlineStr">
        <is>
          <t>Yes</t>
        </is>
      </c>
      <c r="AR50">
        <f>HYPERLINK("http://catalog.hathitrust.org/Record/001498979","HathiTrust Record")</f>
        <v/>
      </c>
      <c r="AS50">
        <f>HYPERLINK("https://creighton-primo.hosted.exlibrisgroup.com/primo-explore/search?tab=default_tab&amp;search_scope=EVERYTHING&amp;vid=01CRU&amp;lang=en_US&amp;offset=0&amp;query=any,contains,991002944479702656","Catalog Record")</f>
        <v/>
      </c>
      <c r="AT50">
        <f>HYPERLINK("http://www.worldcat.org/oclc/536492","WorldCat Record")</f>
        <v/>
      </c>
      <c r="AU50" t="inlineStr">
        <is>
          <t>1558987:eng</t>
        </is>
      </c>
      <c r="AV50" t="inlineStr">
        <is>
          <t>536492</t>
        </is>
      </c>
      <c r="AW50" t="inlineStr">
        <is>
          <t>991002944479702656</t>
        </is>
      </c>
      <c r="AX50" t="inlineStr">
        <is>
          <t>991002944479702656</t>
        </is>
      </c>
      <c r="AY50" t="inlineStr">
        <is>
          <t>2260873690002656</t>
        </is>
      </c>
      <c r="AZ50" t="inlineStr">
        <is>
          <t>BOOK</t>
        </is>
      </c>
      <c r="BC50" t="inlineStr">
        <is>
          <t>32285002939345</t>
        </is>
      </c>
      <c r="BD50" t="inlineStr">
        <is>
          <t>893239709</t>
        </is>
      </c>
    </row>
    <row r="51">
      <c r="A51" t="inlineStr">
        <is>
          <t>No</t>
        </is>
      </c>
      <c r="B51" t="inlineStr">
        <is>
          <t>QL117 .M62</t>
        </is>
      </c>
      <c r="C51" t="inlineStr">
        <is>
          <t>0                      QL 0117000M  62</t>
        </is>
      </c>
      <c r="D51" t="inlineStr">
        <is>
          <t>The life of the cave [by] Charles E. Mohr and Thomas L. Poulson.</t>
        </is>
      </c>
      <c r="F51" t="inlineStr">
        <is>
          <t>No</t>
        </is>
      </c>
      <c r="G51" t="inlineStr">
        <is>
          <t>1</t>
        </is>
      </c>
      <c r="H51" t="inlineStr">
        <is>
          <t>No</t>
        </is>
      </c>
      <c r="I51" t="inlineStr">
        <is>
          <t>No</t>
        </is>
      </c>
      <c r="J51" t="inlineStr">
        <is>
          <t>0</t>
        </is>
      </c>
      <c r="K51" t="inlineStr">
        <is>
          <t>Mohr, Charles E.</t>
        </is>
      </c>
      <c r="L51" t="inlineStr">
        <is>
          <t>New York, McGraw-Hill [1966]</t>
        </is>
      </c>
      <c r="M51" t="inlineStr">
        <is>
          <t>1966</t>
        </is>
      </c>
      <c r="O51" t="inlineStr">
        <is>
          <t>eng</t>
        </is>
      </c>
      <c r="P51" t="inlineStr">
        <is>
          <t>nyu</t>
        </is>
      </c>
      <c r="Q51" t="inlineStr">
        <is>
          <t>Our living world of nature</t>
        </is>
      </c>
      <c r="R51" t="inlineStr">
        <is>
          <t xml:space="preserve">QL </t>
        </is>
      </c>
      <c r="S51" t="n">
        <v>2</v>
      </c>
      <c r="T51" t="n">
        <v>2</v>
      </c>
      <c r="U51" t="inlineStr">
        <is>
          <t>1997-12-02</t>
        </is>
      </c>
      <c r="V51" t="inlineStr">
        <is>
          <t>1997-12-02</t>
        </is>
      </c>
      <c r="W51" t="inlineStr">
        <is>
          <t>1997-07-19</t>
        </is>
      </c>
      <c r="X51" t="inlineStr">
        <is>
          <t>1997-07-19</t>
        </is>
      </c>
      <c r="Y51" t="n">
        <v>1058</v>
      </c>
      <c r="Z51" t="n">
        <v>982</v>
      </c>
      <c r="AA51" t="n">
        <v>993</v>
      </c>
      <c r="AB51" t="n">
        <v>10</v>
      </c>
      <c r="AC51" t="n">
        <v>10</v>
      </c>
      <c r="AD51" t="n">
        <v>17</v>
      </c>
      <c r="AE51" t="n">
        <v>17</v>
      </c>
      <c r="AF51" t="n">
        <v>8</v>
      </c>
      <c r="AG51" t="n">
        <v>8</v>
      </c>
      <c r="AH51" t="n">
        <v>3</v>
      </c>
      <c r="AI51" t="n">
        <v>3</v>
      </c>
      <c r="AJ51" t="n">
        <v>5</v>
      </c>
      <c r="AK51" t="n">
        <v>5</v>
      </c>
      <c r="AL51" t="n">
        <v>6</v>
      </c>
      <c r="AM51" t="n">
        <v>6</v>
      </c>
      <c r="AN51" t="n">
        <v>0</v>
      </c>
      <c r="AO51" t="n">
        <v>0</v>
      </c>
      <c r="AP51" t="inlineStr">
        <is>
          <t>No</t>
        </is>
      </c>
      <c r="AQ51" t="inlineStr">
        <is>
          <t>Yes</t>
        </is>
      </c>
      <c r="AR51">
        <f>HYPERLINK("http://catalog.hathitrust.org/Record/001498983","HathiTrust Record")</f>
        <v/>
      </c>
      <c r="AS51">
        <f>HYPERLINK("https://creighton-primo.hosted.exlibrisgroup.com/primo-explore/search?tab=default_tab&amp;search_scope=EVERYTHING&amp;vid=01CRU&amp;lang=en_US&amp;offset=0&amp;query=any,contains,991002990779702656","Catalog Record")</f>
        <v/>
      </c>
      <c r="AT51">
        <f>HYPERLINK("http://www.worldcat.org/oclc/560451","WorldCat Record")</f>
        <v/>
      </c>
      <c r="AU51" t="inlineStr">
        <is>
          <t>405973:eng</t>
        </is>
      </c>
      <c r="AV51" t="inlineStr">
        <is>
          <t>560451</t>
        </is>
      </c>
      <c r="AW51" t="inlineStr">
        <is>
          <t>991002990779702656</t>
        </is>
      </c>
      <c r="AX51" t="inlineStr">
        <is>
          <t>991002990779702656</t>
        </is>
      </c>
      <c r="AY51" t="inlineStr">
        <is>
          <t>2256727490002656</t>
        </is>
      </c>
      <c r="AZ51" t="inlineStr">
        <is>
          <t>BOOK</t>
        </is>
      </c>
      <c r="BC51" t="inlineStr">
        <is>
          <t>32285002939352</t>
        </is>
      </c>
      <c r="BD51" t="inlineStr">
        <is>
          <t>893329815</t>
        </is>
      </c>
    </row>
    <row r="52">
      <c r="A52" t="inlineStr">
        <is>
          <t>No</t>
        </is>
      </c>
      <c r="B52" t="inlineStr">
        <is>
          <t>QL120 .S46 1988</t>
        </is>
      </c>
      <c r="C52" t="inlineStr">
        <is>
          <t>0                      QL 0120000S  46          1988</t>
        </is>
      </c>
      <c r="D52" t="inlineStr">
        <is>
          <t>Sensory biology of aquatic animals / Jelle Atema ... [et a.], editors.</t>
        </is>
      </c>
      <c r="F52" t="inlineStr">
        <is>
          <t>No</t>
        </is>
      </c>
      <c r="G52" t="inlineStr">
        <is>
          <t>1</t>
        </is>
      </c>
      <c r="H52" t="inlineStr">
        <is>
          <t>No</t>
        </is>
      </c>
      <c r="I52" t="inlineStr">
        <is>
          <t>No</t>
        </is>
      </c>
      <c r="J52" t="inlineStr">
        <is>
          <t>0</t>
        </is>
      </c>
      <c r="L52" t="inlineStr">
        <is>
          <t>New York : Springer-Verlag, c1988.</t>
        </is>
      </c>
      <c r="M52" t="inlineStr">
        <is>
          <t>1987</t>
        </is>
      </c>
      <c r="O52" t="inlineStr">
        <is>
          <t>eng</t>
        </is>
      </c>
      <c r="P52" t="inlineStr">
        <is>
          <t>nyu</t>
        </is>
      </c>
      <c r="R52" t="inlineStr">
        <is>
          <t xml:space="preserve">QL </t>
        </is>
      </c>
      <c r="S52" t="n">
        <v>3</v>
      </c>
      <c r="T52" t="n">
        <v>3</v>
      </c>
      <c r="U52" t="inlineStr">
        <is>
          <t>2007-02-21</t>
        </is>
      </c>
      <c r="V52" t="inlineStr">
        <is>
          <t>2007-02-21</t>
        </is>
      </c>
      <c r="W52" t="inlineStr">
        <is>
          <t>1993-05-21</t>
        </is>
      </c>
      <c r="X52" t="inlineStr">
        <is>
          <t>1993-05-21</t>
        </is>
      </c>
      <c r="Y52" t="n">
        <v>273</v>
      </c>
      <c r="Z52" t="n">
        <v>209</v>
      </c>
      <c r="AA52" t="n">
        <v>224</v>
      </c>
      <c r="AB52" t="n">
        <v>1</v>
      </c>
      <c r="AC52" t="n">
        <v>1</v>
      </c>
      <c r="AD52" t="n">
        <v>2</v>
      </c>
      <c r="AE52" t="n">
        <v>3</v>
      </c>
      <c r="AF52" t="n">
        <v>0</v>
      </c>
      <c r="AG52" t="n">
        <v>1</v>
      </c>
      <c r="AH52" t="n">
        <v>1</v>
      </c>
      <c r="AI52" t="n">
        <v>1</v>
      </c>
      <c r="AJ52" t="n">
        <v>1</v>
      </c>
      <c r="AK52" t="n">
        <v>2</v>
      </c>
      <c r="AL52" t="n">
        <v>0</v>
      </c>
      <c r="AM52" t="n">
        <v>0</v>
      </c>
      <c r="AN52" t="n">
        <v>0</v>
      </c>
      <c r="AO52" t="n">
        <v>0</v>
      </c>
      <c r="AP52" t="inlineStr">
        <is>
          <t>No</t>
        </is>
      </c>
      <c r="AQ52" t="inlineStr">
        <is>
          <t>Yes</t>
        </is>
      </c>
      <c r="AR52">
        <f>HYPERLINK("http://catalog.hathitrust.org/Record/000881289","HathiTrust Record")</f>
        <v/>
      </c>
      <c r="AS52">
        <f>HYPERLINK("https://creighton-primo.hosted.exlibrisgroup.com/primo-explore/search?tab=default_tab&amp;search_scope=EVERYTHING&amp;vid=01CRU&amp;lang=en_US&amp;offset=0&amp;query=any,contains,991001038709702656","Catalog Record")</f>
        <v/>
      </c>
      <c r="AT52">
        <f>HYPERLINK("http://www.worldcat.org/oclc/15551696","WorldCat Record")</f>
        <v/>
      </c>
      <c r="AU52" t="inlineStr">
        <is>
          <t>765171803:eng</t>
        </is>
      </c>
      <c r="AV52" t="inlineStr">
        <is>
          <t>15551696</t>
        </is>
      </c>
      <c r="AW52" t="inlineStr">
        <is>
          <t>991001038709702656</t>
        </is>
      </c>
      <c r="AX52" t="inlineStr">
        <is>
          <t>991001038709702656</t>
        </is>
      </c>
      <c r="AY52" t="inlineStr">
        <is>
          <t>2258972550002656</t>
        </is>
      </c>
      <c r="AZ52" t="inlineStr">
        <is>
          <t>BOOK</t>
        </is>
      </c>
      <c r="BC52" t="inlineStr">
        <is>
          <t>32285001686269</t>
        </is>
      </c>
      <c r="BD52" t="inlineStr">
        <is>
          <t>893772249</t>
        </is>
      </c>
    </row>
    <row r="53">
      <c r="A53" t="inlineStr">
        <is>
          <t>No</t>
        </is>
      </c>
      <c r="B53" t="inlineStr">
        <is>
          <t>QL120 .V5513</t>
        </is>
      </c>
      <c r="C53" t="inlineStr">
        <is>
          <t>0                      QL 0120000V  5513</t>
        </is>
      </c>
      <c r="D53" t="inlineStr">
        <is>
          <t>Methods for the estimation of production of aquatic animals / edited by G. G. Winberg ; translated from the Russian by Annie Duncan.</t>
        </is>
      </c>
      <c r="F53" t="inlineStr">
        <is>
          <t>No</t>
        </is>
      </c>
      <c r="G53" t="inlineStr">
        <is>
          <t>1</t>
        </is>
      </c>
      <c r="H53" t="inlineStr">
        <is>
          <t>No</t>
        </is>
      </c>
      <c r="I53" t="inlineStr">
        <is>
          <t>No</t>
        </is>
      </c>
      <c r="J53" t="inlineStr">
        <is>
          <t>0</t>
        </is>
      </c>
      <c r="K53" t="inlineStr">
        <is>
          <t>Vinberg, G. G.</t>
        </is>
      </c>
      <c r="L53" t="inlineStr">
        <is>
          <t>London ; New York : Academic Press, 1971.</t>
        </is>
      </c>
      <c r="M53" t="inlineStr">
        <is>
          <t>1971</t>
        </is>
      </c>
      <c r="O53" t="inlineStr">
        <is>
          <t>eng</t>
        </is>
      </c>
      <c r="P53" t="inlineStr">
        <is>
          <t>enk</t>
        </is>
      </c>
      <c r="R53" t="inlineStr">
        <is>
          <t xml:space="preserve">QL </t>
        </is>
      </c>
      <c r="S53" t="n">
        <v>1</v>
      </c>
      <c r="T53" t="n">
        <v>1</v>
      </c>
      <c r="U53" t="inlineStr">
        <is>
          <t>2004-02-22</t>
        </is>
      </c>
      <c r="V53" t="inlineStr">
        <is>
          <t>2004-02-22</t>
        </is>
      </c>
      <c r="W53" t="inlineStr">
        <is>
          <t>1993-10-05</t>
        </is>
      </c>
      <c r="X53" t="inlineStr">
        <is>
          <t>1993-10-05</t>
        </is>
      </c>
      <c r="Y53" t="n">
        <v>407</v>
      </c>
      <c r="Z53" t="n">
        <v>274</v>
      </c>
      <c r="AA53" t="n">
        <v>280</v>
      </c>
      <c r="AB53" t="n">
        <v>3</v>
      </c>
      <c r="AC53" t="n">
        <v>3</v>
      </c>
      <c r="AD53" t="n">
        <v>9</v>
      </c>
      <c r="AE53" t="n">
        <v>9</v>
      </c>
      <c r="AF53" t="n">
        <v>3</v>
      </c>
      <c r="AG53" t="n">
        <v>3</v>
      </c>
      <c r="AH53" t="n">
        <v>1</v>
      </c>
      <c r="AI53" t="n">
        <v>1</v>
      </c>
      <c r="AJ53" t="n">
        <v>3</v>
      </c>
      <c r="AK53" t="n">
        <v>3</v>
      </c>
      <c r="AL53" t="n">
        <v>2</v>
      </c>
      <c r="AM53" t="n">
        <v>2</v>
      </c>
      <c r="AN53" t="n">
        <v>0</v>
      </c>
      <c r="AO53" t="n">
        <v>0</v>
      </c>
      <c r="AP53" t="inlineStr">
        <is>
          <t>No</t>
        </is>
      </c>
      <c r="AQ53" t="inlineStr">
        <is>
          <t>Yes</t>
        </is>
      </c>
      <c r="AR53">
        <f>HYPERLINK("http://catalog.hathitrust.org/Record/006215042","HathiTrust Record")</f>
        <v/>
      </c>
      <c r="AS53">
        <f>HYPERLINK("https://creighton-primo.hosted.exlibrisgroup.com/primo-explore/search?tab=default_tab&amp;search_scope=EVERYTHING&amp;vid=01CRU&amp;lang=en_US&amp;offset=0&amp;query=any,contains,991002228059702656","Catalog Record")</f>
        <v/>
      </c>
      <c r="AT53">
        <f>HYPERLINK("http://www.worldcat.org/oclc/292355","WorldCat Record")</f>
        <v/>
      </c>
      <c r="AU53" t="inlineStr">
        <is>
          <t>363858280:eng</t>
        </is>
      </c>
      <c r="AV53" t="inlineStr">
        <is>
          <t>292355</t>
        </is>
      </c>
      <c r="AW53" t="inlineStr">
        <is>
          <t>991002228059702656</t>
        </is>
      </c>
      <c r="AX53" t="inlineStr">
        <is>
          <t>991002228059702656</t>
        </is>
      </c>
      <c r="AY53" t="inlineStr">
        <is>
          <t>2265508730002656</t>
        </is>
      </c>
      <c r="AZ53" t="inlineStr">
        <is>
          <t>BOOK</t>
        </is>
      </c>
      <c r="BB53" t="inlineStr">
        <is>
          <t>9780127583501</t>
        </is>
      </c>
      <c r="BC53" t="inlineStr">
        <is>
          <t>32285001772689</t>
        </is>
      </c>
      <c r="BD53" t="inlineStr">
        <is>
          <t>893721346</t>
        </is>
      </c>
    </row>
    <row r="54">
      <c r="A54" t="inlineStr">
        <is>
          <t>No</t>
        </is>
      </c>
      <c r="B54" t="inlineStr">
        <is>
          <t>QL121 .B925 2001</t>
        </is>
      </c>
      <c r="C54" t="inlineStr">
        <is>
          <t>0                      QL 0121000B  925         2001</t>
        </is>
      </c>
      <c r="D54" t="inlineStr">
        <is>
          <t>The blue planet : a natural history of the oceans / Andrew Byatt, Alastair Fothergill, and Martha Holmes.</t>
        </is>
      </c>
      <c r="F54" t="inlineStr">
        <is>
          <t>No</t>
        </is>
      </c>
      <c r="G54" t="inlineStr">
        <is>
          <t>1</t>
        </is>
      </c>
      <c r="H54" t="inlineStr">
        <is>
          <t>No</t>
        </is>
      </c>
      <c r="I54" t="inlineStr">
        <is>
          <t>No</t>
        </is>
      </c>
      <c r="J54" t="inlineStr">
        <is>
          <t>0</t>
        </is>
      </c>
      <c r="K54" t="inlineStr">
        <is>
          <t>Byatt, Andrew.</t>
        </is>
      </c>
      <c r="L54" t="inlineStr">
        <is>
          <t>New York, NY : DK, 2001.</t>
        </is>
      </c>
      <c r="M54" t="inlineStr">
        <is>
          <t>2001</t>
        </is>
      </c>
      <c r="N54" t="inlineStr">
        <is>
          <t>1st US ed.</t>
        </is>
      </c>
      <c r="O54" t="inlineStr">
        <is>
          <t>eng</t>
        </is>
      </c>
      <c r="P54" t="inlineStr">
        <is>
          <t>nyu</t>
        </is>
      </c>
      <c r="R54" t="inlineStr">
        <is>
          <t xml:space="preserve">QL </t>
        </is>
      </c>
      <c r="S54" t="n">
        <v>12</v>
      </c>
      <c r="T54" t="n">
        <v>12</v>
      </c>
      <c r="U54" t="inlineStr">
        <is>
          <t>2010-03-26</t>
        </is>
      </c>
      <c r="V54" t="inlineStr">
        <is>
          <t>2010-03-26</t>
        </is>
      </c>
      <c r="W54" t="inlineStr">
        <is>
          <t>2002-07-10</t>
        </is>
      </c>
      <c r="X54" t="inlineStr">
        <is>
          <t>2002-07-10</t>
        </is>
      </c>
      <c r="Y54" t="n">
        <v>1016</v>
      </c>
      <c r="Z54" t="n">
        <v>977</v>
      </c>
      <c r="AA54" t="n">
        <v>1010</v>
      </c>
      <c r="AB54" t="n">
        <v>9</v>
      </c>
      <c r="AC54" t="n">
        <v>9</v>
      </c>
      <c r="AD54" t="n">
        <v>6</v>
      </c>
      <c r="AE54" t="n">
        <v>6</v>
      </c>
      <c r="AF54" t="n">
        <v>2</v>
      </c>
      <c r="AG54" t="n">
        <v>2</v>
      </c>
      <c r="AH54" t="n">
        <v>1</v>
      </c>
      <c r="AI54" t="n">
        <v>1</v>
      </c>
      <c r="AJ54" t="n">
        <v>3</v>
      </c>
      <c r="AK54" t="n">
        <v>3</v>
      </c>
      <c r="AL54" t="n">
        <v>2</v>
      </c>
      <c r="AM54" t="n">
        <v>2</v>
      </c>
      <c r="AN54" t="n">
        <v>0</v>
      </c>
      <c r="AO54" t="n">
        <v>0</v>
      </c>
      <c r="AP54" t="inlineStr">
        <is>
          <t>No</t>
        </is>
      </c>
      <c r="AQ54" t="inlineStr">
        <is>
          <t>Yes</t>
        </is>
      </c>
      <c r="AR54">
        <f>HYPERLINK("http://catalog.hathitrust.org/Record/007244474","HathiTrust Record")</f>
        <v/>
      </c>
      <c r="AS54">
        <f>HYPERLINK("https://creighton-primo.hosted.exlibrisgroup.com/primo-explore/search?tab=default_tab&amp;search_scope=EVERYTHING&amp;vid=01CRU&amp;lang=en_US&amp;offset=0&amp;query=any,contains,991003820629702656","Catalog Record")</f>
        <v/>
      </c>
      <c r="AT54">
        <f>HYPERLINK("http://www.worldcat.org/oclc/48880798","WorldCat Record")</f>
        <v/>
      </c>
      <c r="AU54" t="inlineStr">
        <is>
          <t>14468304:eng</t>
        </is>
      </c>
      <c r="AV54" t="inlineStr">
        <is>
          <t>48880798</t>
        </is>
      </c>
      <c r="AW54" t="inlineStr">
        <is>
          <t>991003820629702656</t>
        </is>
      </c>
      <c r="AX54" t="inlineStr">
        <is>
          <t>991003820629702656</t>
        </is>
      </c>
      <c r="AY54" t="inlineStr">
        <is>
          <t>2269221420002656</t>
        </is>
      </c>
      <c r="AZ54" t="inlineStr">
        <is>
          <t>BOOK</t>
        </is>
      </c>
      <c r="BB54" t="inlineStr">
        <is>
          <t>9780789482655</t>
        </is>
      </c>
      <c r="BC54" t="inlineStr">
        <is>
          <t>32285004497490</t>
        </is>
      </c>
      <c r="BD54" t="inlineStr">
        <is>
          <t>893887958</t>
        </is>
      </c>
    </row>
    <row r="55">
      <c r="A55" t="inlineStr">
        <is>
          <t>No</t>
        </is>
      </c>
      <c r="B55" t="inlineStr">
        <is>
          <t>QL121 .E58 1994</t>
        </is>
      </c>
      <c r="C55" t="inlineStr">
        <is>
          <t>0                      QL 0121000E  58          1994</t>
        </is>
      </c>
      <c r="D55" t="inlineStr">
        <is>
          <t>Monsters of the sea / Richard Ellis.</t>
        </is>
      </c>
      <c r="F55" t="inlineStr">
        <is>
          <t>No</t>
        </is>
      </c>
      <c r="G55" t="inlineStr">
        <is>
          <t>1</t>
        </is>
      </c>
      <c r="H55" t="inlineStr">
        <is>
          <t>No</t>
        </is>
      </c>
      <c r="I55" t="inlineStr">
        <is>
          <t>No</t>
        </is>
      </c>
      <c r="J55" t="inlineStr">
        <is>
          <t>0</t>
        </is>
      </c>
      <c r="K55" t="inlineStr">
        <is>
          <t>Ellis, Richard, 1938-</t>
        </is>
      </c>
      <c r="L55" t="inlineStr">
        <is>
          <t>New York : Knopf, 1994.</t>
        </is>
      </c>
      <c r="M55" t="inlineStr">
        <is>
          <t>1994</t>
        </is>
      </c>
      <c r="N55" t="inlineStr">
        <is>
          <t>1st ed.</t>
        </is>
      </c>
      <c r="O55" t="inlineStr">
        <is>
          <t>eng</t>
        </is>
      </c>
      <c r="P55" t="inlineStr">
        <is>
          <t>nyu</t>
        </is>
      </c>
      <c r="R55" t="inlineStr">
        <is>
          <t xml:space="preserve">QL </t>
        </is>
      </c>
      <c r="S55" t="n">
        <v>3</v>
      </c>
      <c r="T55" t="n">
        <v>3</v>
      </c>
      <c r="U55" t="inlineStr">
        <is>
          <t>2003-02-25</t>
        </is>
      </c>
      <c r="V55" t="inlineStr">
        <is>
          <t>2003-02-25</t>
        </is>
      </c>
      <c r="W55" t="inlineStr">
        <is>
          <t>1995-12-05</t>
        </is>
      </c>
      <c r="X55" t="inlineStr">
        <is>
          <t>1995-12-05</t>
        </is>
      </c>
      <c r="Y55" t="n">
        <v>974</v>
      </c>
      <c r="Z55" t="n">
        <v>927</v>
      </c>
      <c r="AA55" t="n">
        <v>1051</v>
      </c>
      <c r="AB55" t="n">
        <v>7</v>
      </c>
      <c r="AC55" t="n">
        <v>7</v>
      </c>
      <c r="AD55" t="n">
        <v>16</v>
      </c>
      <c r="AE55" t="n">
        <v>16</v>
      </c>
      <c r="AF55" t="n">
        <v>4</v>
      </c>
      <c r="AG55" t="n">
        <v>4</v>
      </c>
      <c r="AH55" t="n">
        <v>6</v>
      </c>
      <c r="AI55" t="n">
        <v>6</v>
      </c>
      <c r="AJ55" t="n">
        <v>8</v>
      </c>
      <c r="AK55" t="n">
        <v>8</v>
      </c>
      <c r="AL55" t="n">
        <v>2</v>
      </c>
      <c r="AM55" t="n">
        <v>2</v>
      </c>
      <c r="AN55" t="n">
        <v>0</v>
      </c>
      <c r="AO55" t="n">
        <v>0</v>
      </c>
      <c r="AP55" t="inlineStr">
        <is>
          <t>No</t>
        </is>
      </c>
      <c r="AQ55" t="inlineStr">
        <is>
          <t>Yes</t>
        </is>
      </c>
      <c r="AR55">
        <f>HYPERLINK("http://catalog.hathitrust.org/Record/002908317","HathiTrust Record")</f>
        <v/>
      </c>
      <c r="AS55">
        <f>HYPERLINK("https://creighton-primo.hosted.exlibrisgroup.com/primo-explore/search?tab=default_tab&amp;search_scope=EVERYTHING&amp;vid=01CRU&amp;lang=en_US&amp;offset=0&amp;query=any,contains,991002288819702656","Catalog Record")</f>
        <v/>
      </c>
      <c r="AT55">
        <f>HYPERLINK("http://www.worldcat.org/oclc/29669349","WorldCat Record")</f>
        <v/>
      </c>
      <c r="AU55" t="inlineStr">
        <is>
          <t>87326:eng</t>
        </is>
      </c>
      <c r="AV55" t="inlineStr">
        <is>
          <t>29669349</t>
        </is>
      </c>
      <c r="AW55" t="inlineStr">
        <is>
          <t>991002288819702656</t>
        </is>
      </c>
      <c r="AX55" t="inlineStr">
        <is>
          <t>991002288819702656</t>
        </is>
      </c>
      <c r="AY55" t="inlineStr">
        <is>
          <t>2269689330002656</t>
        </is>
      </c>
      <c r="AZ55" t="inlineStr">
        <is>
          <t>BOOK</t>
        </is>
      </c>
      <c r="BB55" t="inlineStr">
        <is>
          <t>9780679406396</t>
        </is>
      </c>
      <c r="BC55" t="inlineStr">
        <is>
          <t>32285002108081</t>
        </is>
      </c>
      <c r="BD55" t="inlineStr">
        <is>
          <t>893341263</t>
        </is>
      </c>
    </row>
    <row r="56">
      <c r="A56" t="inlineStr">
        <is>
          <t>No</t>
        </is>
      </c>
      <c r="B56" t="inlineStr">
        <is>
          <t>QL121 .G33 1985</t>
        </is>
      </c>
      <c r="C56" t="inlineStr">
        <is>
          <t>0                      QL 0121000G  33          1985</t>
        </is>
      </c>
      <c r="D56" t="inlineStr">
        <is>
          <t>Larval forms, and other zoological verses / Walter Garstang ; with an introduction by Sir Alister Hardy and a foreword by Michael LaBarbera.</t>
        </is>
      </c>
      <c r="F56" t="inlineStr">
        <is>
          <t>No</t>
        </is>
      </c>
      <c r="G56" t="inlineStr">
        <is>
          <t>1</t>
        </is>
      </c>
      <c r="H56" t="inlineStr">
        <is>
          <t>No</t>
        </is>
      </c>
      <c r="I56" t="inlineStr">
        <is>
          <t>No</t>
        </is>
      </c>
      <c r="J56" t="inlineStr">
        <is>
          <t>0</t>
        </is>
      </c>
      <c r="K56" t="inlineStr">
        <is>
          <t>Garstang, Walter, 1868-1949.</t>
        </is>
      </c>
      <c r="L56" t="inlineStr">
        <is>
          <t>Chicago : University of Chicago Press, 1985.</t>
        </is>
      </c>
      <c r="M56" t="inlineStr">
        <is>
          <t>1985</t>
        </is>
      </c>
      <c r="O56" t="inlineStr">
        <is>
          <t>eng</t>
        </is>
      </c>
      <c r="P56" t="inlineStr">
        <is>
          <t>ilu</t>
        </is>
      </c>
      <c r="R56" t="inlineStr">
        <is>
          <t xml:space="preserve">QL </t>
        </is>
      </c>
      <c r="S56" t="n">
        <v>7</v>
      </c>
      <c r="T56" t="n">
        <v>7</v>
      </c>
      <c r="U56" t="inlineStr">
        <is>
          <t>1999-11-29</t>
        </is>
      </c>
      <c r="V56" t="inlineStr">
        <is>
          <t>1999-11-29</t>
        </is>
      </c>
      <c r="W56" t="inlineStr">
        <is>
          <t>1993-05-21</t>
        </is>
      </c>
      <c r="X56" t="inlineStr">
        <is>
          <t>1993-05-21</t>
        </is>
      </c>
      <c r="Y56" t="n">
        <v>144</v>
      </c>
      <c r="Z56" t="n">
        <v>110</v>
      </c>
      <c r="AA56" t="n">
        <v>165</v>
      </c>
      <c r="AB56" t="n">
        <v>1</v>
      </c>
      <c r="AC56" t="n">
        <v>2</v>
      </c>
      <c r="AD56" t="n">
        <v>1</v>
      </c>
      <c r="AE56" t="n">
        <v>5</v>
      </c>
      <c r="AF56" t="n">
        <v>0</v>
      </c>
      <c r="AG56" t="n">
        <v>0</v>
      </c>
      <c r="AH56" t="n">
        <v>0</v>
      </c>
      <c r="AI56" t="n">
        <v>3</v>
      </c>
      <c r="AJ56" t="n">
        <v>1</v>
      </c>
      <c r="AK56" t="n">
        <v>3</v>
      </c>
      <c r="AL56" t="n">
        <v>0</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HYPERLINK("https://creighton-primo.hosted.exlibrisgroup.com/primo-explore/search?tab=default_tab&amp;search_scope=EVERYTHING&amp;vid=01CRU&amp;lang=en_US&amp;offset=0&amp;query=any,contains,991000664809702656","Catalog Record")</f>
        <v/>
      </c>
      <c r="AT56">
        <f>HYPERLINK("http://www.worldcat.org/oclc/12262983","WorldCat Record")</f>
        <v/>
      </c>
      <c r="AU56" t="inlineStr">
        <is>
          <t>3855436981:eng</t>
        </is>
      </c>
      <c r="AV56" t="inlineStr">
        <is>
          <t>12262983</t>
        </is>
      </c>
      <c r="AW56" t="inlineStr">
        <is>
          <t>991000664809702656</t>
        </is>
      </c>
      <c r="AX56" t="inlineStr">
        <is>
          <t>991000664809702656</t>
        </is>
      </c>
      <c r="AY56" t="inlineStr">
        <is>
          <t>2270850690002656</t>
        </is>
      </c>
      <c r="AZ56" t="inlineStr">
        <is>
          <t>BOOK</t>
        </is>
      </c>
      <c r="BB56" t="inlineStr">
        <is>
          <t>9780226284231</t>
        </is>
      </c>
      <c r="BC56" t="inlineStr">
        <is>
          <t>32285001686277</t>
        </is>
      </c>
      <c r="BD56" t="inlineStr">
        <is>
          <t>893315130</t>
        </is>
      </c>
    </row>
    <row r="57">
      <c r="A57" t="inlineStr">
        <is>
          <t>No</t>
        </is>
      </c>
      <c r="B57" t="inlineStr">
        <is>
          <t>QL121 .G4</t>
        </is>
      </c>
      <c r="C57" t="inlineStr">
        <is>
          <t>0                      QL 0121000G  4</t>
        </is>
      </c>
      <c r="D57" t="inlineStr">
        <is>
          <t>Marine life : an illustrated encyclopedia of invertebrates in the sea / by J. David George and Jennifer J. George ; with a foreword by Sir Eric Smith.</t>
        </is>
      </c>
      <c r="F57" t="inlineStr">
        <is>
          <t>No</t>
        </is>
      </c>
      <c r="G57" t="inlineStr">
        <is>
          <t>1</t>
        </is>
      </c>
      <c r="H57" t="inlineStr">
        <is>
          <t>No</t>
        </is>
      </c>
      <c r="I57" t="inlineStr">
        <is>
          <t>No</t>
        </is>
      </c>
      <c r="J57" t="inlineStr">
        <is>
          <t>0</t>
        </is>
      </c>
      <c r="K57" t="inlineStr">
        <is>
          <t>George, J. David (John David)</t>
        </is>
      </c>
      <c r="L57" t="inlineStr">
        <is>
          <t>New York : Wiley, c1979.</t>
        </is>
      </c>
      <c r="M57" t="inlineStr">
        <is>
          <t>1979</t>
        </is>
      </c>
      <c r="O57" t="inlineStr">
        <is>
          <t>eng</t>
        </is>
      </c>
      <c r="P57" t="inlineStr">
        <is>
          <t>nyu</t>
        </is>
      </c>
      <c r="R57" t="inlineStr">
        <is>
          <t xml:space="preserve">QL </t>
        </is>
      </c>
      <c r="S57" t="n">
        <v>26</v>
      </c>
      <c r="T57" t="n">
        <v>26</v>
      </c>
      <c r="U57" t="inlineStr">
        <is>
          <t>2008-05-19</t>
        </is>
      </c>
      <c r="V57" t="inlineStr">
        <is>
          <t>2008-05-19</t>
        </is>
      </c>
      <c r="W57" t="inlineStr">
        <is>
          <t>1993-05-21</t>
        </is>
      </c>
      <c r="X57" t="inlineStr">
        <is>
          <t>1993-05-21</t>
        </is>
      </c>
      <c r="Y57" t="n">
        <v>570</v>
      </c>
      <c r="Z57" t="n">
        <v>534</v>
      </c>
      <c r="AA57" t="n">
        <v>547</v>
      </c>
      <c r="AB57" t="n">
        <v>3</v>
      </c>
      <c r="AC57" t="n">
        <v>3</v>
      </c>
      <c r="AD57" t="n">
        <v>15</v>
      </c>
      <c r="AE57" t="n">
        <v>15</v>
      </c>
      <c r="AF57" t="n">
        <v>5</v>
      </c>
      <c r="AG57" t="n">
        <v>5</v>
      </c>
      <c r="AH57" t="n">
        <v>3</v>
      </c>
      <c r="AI57" t="n">
        <v>3</v>
      </c>
      <c r="AJ57" t="n">
        <v>9</v>
      </c>
      <c r="AK57" t="n">
        <v>9</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HYPERLINK("https://creighton-primo.hosted.exlibrisgroup.com/primo-explore/search?tab=default_tab&amp;search_scope=EVERYTHING&amp;vid=01CRU&amp;lang=en_US&amp;offset=0&amp;query=any,contains,991004712119702656","Catalog Record")</f>
        <v/>
      </c>
      <c r="AT57">
        <f>HYPERLINK("http://www.worldcat.org/oclc/4774511","WorldCat Record")</f>
        <v/>
      </c>
      <c r="AU57" t="inlineStr">
        <is>
          <t>488864:eng</t>
        </is>
      </c>
      <c r="AV57" t="inlineStr">
        <is>
          <t>4774511</t>
        </is>
      </c>
      <c r="AW57" t="inlineStr">
        <is>
          <t>991004712119702656</t>
        </is>
      </c>
      <c r="AX57" t="inlineStr">
        <is>
          <t>991004712119702656</t>
        </is>
      </c>
      <c r="AY57" t="inlineStr">
        <is>
          <t>2257158130002656</t>
        </is>
      </c>
      <c r="AZ57" t="inlineStr">
        <is>
          <t>BOOK</t>
        </is>
      </c>
      <c r="BB57" t="inlineStr">
        <is>
          <t>9780471056751</t>
        </is>
      </c>
      <c r="BC57" t="inlineStr">
        <is>
          <t>32285001686285</t>
        </is>
      </c>
      <c r="BD57" t="inlineStr">
        <is>
          <t>893618984</t>
        </is>
      </c>
    </row>
    <row r="58">
      <c r="A58" t="inlineStr">
        <is>
          <t>No</t>
        </is>
      </c>
      <c r="B58" t="inlineStr">
        <is>
          <t>QL121 .N28 1977</t>
        </is>
      </c>
      <c r="C58" t="inlineStr">
        <is>
          <t>0                      QL 0121000N  28          1977</t>
        </is>
      </c>
      <c r="D58" t="inlineStr">
        <is>
          <t>Marine organisms : genetics, ecology, and evolution / edited by Bruno Battaglia and John A. Beardmore.</t>
        </is>
      </c>
      <c r="F58" t="inlineStr">
        <is>
          <t>No</t>
        </is>
      </c>
      <c r="G58" t="inlineStr">
        <is>
          <t>1</t>
        </is>
      </c>
      <c r="H58" t="inlineStr">
        <is>
          <t>No</t>
        </is>
      </c>
      <c r="I58" t="inlineStr">
        <is>
          <t>No</t>
        </is>
      </c>
      <c r="J58" t="inlineStr">
        <is>
          <t>0</t>
        </is>
      </c>
      <c r="K58" t="inlineStr">
        <is>
          <t>Nato Advanced Study Research Institute on Genetics, Evolution, and Ecology of Marine Organisms (1977 : Fondazione "Giorgio Cini")</t>
        </is>
      </c>
      <c r="L58" t="inlineStr">
        <is>
          <t>New York : Plenum Press, c1978.</t>
        </is>
      </c>
      <c r="M58" t="inlineStr">
        <is>
          <t>1978</t>
        </is>
      </c>
      <c r="O58" t="inlineStr">
        <is>
          <t>eng</t>
        </is>
      </c>
      <c r="P58" t="inlineStr">
        <is>
          <t>nyu</t>
        </is>
      </c>
      <c r="Q58" t="inlineStr">
        <is>
          <t>NATO conference series. IV, Marine sciences</t>
        </is>
      </c>
      <c r="R58" t="inlineStr">
        <is>
          <t xml:space="preserve">QL </t>
        </is>
      </c>
      <c r="S58" t="n">
        <v>5</v>
      </c>
      <c r="T58" t="n">
        <v>5</v>
      </c>
      <c r="U58" t="inlineStr">
        <is>
          <t>1998-12-07</t>
        </is>
      </c>
      <c r="V58" t="inlineStr">
        <is>
          <t>1998-12-07</t>
        </is>
      </c>
      <c r="W58" t="inlineStr">
        <is>
          <t>1995-10-05</t>
        </is>
      </c>
      <c r="X58" t="inlineStr">
        <is>
          <t>1995-10-05</t>
        </is>
      </c>
      <c r="Y58" t="n">
        <v>323</v>
      </c>
      <c r="Z58" t="n">
        <v>222</v>
      </c>
      <c r="AA58" t="n">
        <v>224</v>
      </c>
      <c r="AB58" t="n">
        <v>3</v>
      </c>
      <c r="AC58" t="n">
        <v>3</v>
      </c>
      <c r="AD58" t="n">
        <v>3</v>
      </c>
      <c r="AE58" t="n">
        <v>3</v>
      </c>
      <c r="AF58" t="n">
        <v>0</v>
      </c>
      <c r="AG58" t="n">
        <v>0</v>
      </c>
      <c r="AH58" t="n">
        <v>1</v>
      </c>
      <c r="AI58" t="n">
        <v>1</v>
      </c>
      <c r="AJ58" t="n">
        <v>0</v>
      </c>
      <c r="AK58" t="n">
        <v>0</v>
      </c>
      <c r="AL58" t="n">
        <v>2</v>
      </c>
      <c r="AM58" t="n">
        <v>2</v>
      </c>
      <c r="AN58" t="n">
        <v>0</v>
      </c>
      <c r="AO58" t="n">
        <v>0</v>
      </c>
      <c r="AP58" t="inlineStr">
        <is>
          <t>No</t>
        </is>
      </c>
      <c r="AQ58" t="inlineStr">
        <is>
          <t>Yes</t>
        </is>
      </c>
      <c r="AR58">
        <f>HYPERLINK("http://catalog.hathitrust.org/Record/000173961","HathiTrust Record")</f>
        <v/>
      </c>
      <c r="AS58">
        <f>HYPERLINK("https://creighton-primo.hosted.exlibrisgroup.com/primo-explore/search?tab=default_tab&amp;search_scope=EVERYTHING&amp;vid=01CRU&amp;lang=en_US&amp;offset=0&amp;query=any,contains,991004544329702656","Catalog Record")</f>
        <v/>
      </c>
      <c r="AT58">
        <f>HYPERLINK("http://www.worldcat.org/oclc/3912628","WorldCat Record")</f>
        <v/>
      </c>
      <c r="AU58" t="inlineStr">
        <is>
          <t>180386299:eng</t>
        </is>
      </c>
      <c r="AV58" t="inlineStr">
        <is>
          <t>3912628</t>
        </is>
      </c>
      <c r="AW58" t="inlineStr">
        <is>
          <t>991004544329702656</t>
        </is>
      </c>
      <c r="AX58" t="inlineStr">
        <is>
          <t>991004544329702656</t>
        </is>
      </c>
      <c r="AY58" t="inlineStr">
        <is>
          <t>2260233420002656</t>
        </is>
      </c>
      <c r="AZ58" t="inlineStr">
        <is>
          <t>BOOK</t>
        </is>
      </c>
      <c r="BB58" t="inlineStr">
        <is>
          <t>9780306400209</t>
        </is>
      </c>
      <c r="BC58" t="inlineStr">
        <is>
          <t>32285002067964</t>
        </is>
      </c>
      <c r="BD58" t="inlineStr">
        <is>
          <t>893807208</t>
        </is>
      </c>
    </row>
    <row r="59">
      <c r="A59" t="inlineStr">
        <is>
          <t>No</t>
        </is>
      </c>
      <c r="B59" t="inlineStr">
        <is>
          <t>QL121 .N44 1970b</t>
        </is>
      </c>
      <c r="C59" t="inlineStr">
        <is>
          <t>0                      QL 0121000N  44          1970b</t>
        </is>
      </c>
      <c r="D59" t="inlineStr">
        <is>
          <t>Biology of intertidal animals, [by] R. C. Newell.</t>
        </is>
      </c>
      <c r="F59" t="inlineStr">
        <is>
          <t>No</t>
        </is>
      </c>
      <c r="G59" t="inlineStr">
        <is>
          <t>1</t>
        </is>
      </c>
      <c r="H59" t="inlineStr">
        <is>
          <t>No</t>
        </is>
      </c>
      <c r="I59" t="inlineStr">
        <is>
          <t>No</t>
        </is>
      </c>
      <c r="J59" t="inlineStr">
        <is>
          <t>0</t>
        </is>
      </c>
      <c r="K59" t="inlineStr">
        <is>
          <t>Newell, R. C. (Richard Charles)</t>
        </is>
      </c>
      <c r="L59" t="inlineStr">
        <is>
          <t>London, Logos P., 1970.</t>
        </is>
      </c>
      <c r="M59" t="inlineStr">
        <is>
          <t>1970</t>
        </is>
      </c>
      <c r="O59" t="inlineStr">
        <is>
          <t>eng</t>
        </is>
      </c>
      <c r="P59" t="inlineStr">
        <is>
          <t>enk</t>
        </is>
      </c>
      <c r="R59" t="inlineStr">
        <is>
          <t xml:space="preserve">QL </t>
        </is>
      </c>
      <c r="S59" t="n">
        <v>4</v>
      </c>
      <c r="T59" t="n">
        <v>4</v>
      </c>
      <c r="U59" t="inlineStr">
        <is>
          <t>2005-02-26</t>
        </is>
      </c>
      <c r="V59" t="inlineStr">
        <is>
          <t>2005-02-26</t>
        </is>
      </c>
      <c r="W59" t="inlineStr">
        <is>
          <t>1997-07-19</t>
        </is>
      </c>
      <c r="X59" t="inlineStr">
        <is>
          <t>1997-07-19</t>
        </is>
      </c>
      <c r="Y59" t="n">
        <v>230</v>
      </c>
      <c r="Z59" t="n">
        <v>94</v>
      </c>
      <c r="AA59" t="n">
        <v>541</v>
      </c>
      <c r="AB59" t="n">
        <v>1</v>
      </c>
      <c r="AC59" t="n">
        <v>5</v>
      </c>
      <c r="AD59" t="n">
        <v>3</v>
      </c>
      <c r="AE59" t="n">
        <v>18</v>
      </c>
      <c r="AF59" t="n">
        <v>0</v>
      </c>
      <c r="AG59" t="n">
        <v>4</v>
      </c>
      <c r="AH59" t="n">
        <v>0</v>
      </c>
      <c r="AI59" t="n">
        <v>4</v>
      </c>
      <c r="AJ59" t="n">
        <v>3</v>
      </c>
      <c r="AK59" t="n">
        <v>9</v>
      </c>
      <c r="AL59" t="n">
        <v>0</v>
      </c>
      <c r="AM59" t="n">
        <v>4</v>
      </c>
      <c r="AN59" t="n">
        <v>0</v>
      </c>
      <c r="AO59" t="n">
        <v>0</v>
      </c>
      <c r="AP59" t="inlineStr">
        <is>
          <t>No</t>
        </is>
      </c>
      <c r="AQ59" t="inlineStr">
        <is>
          <t>Yes</t>
        </is>
      </c>
      <c r="AR59">
        <f>HYPERLINK("http://catalog.hathitrust.org/Record/009159149","HathiTrust Record")</f>
        <v/>
      </c>
      <c r="AS59">
        <f>HYPERLINK("https://creighton-primo.hosted.exlibrisgroup.com/primo-explore/search?tab=default_tab&amp;search_scope=EVERYTHING&amp;vid=01CRU&amp;lang=en_US&amp;offset=0&amp;query=any,contains,991000629909702656","Catalog Record")</f>
        <v/>
      </c>
      <c r="AT59">
        <f>HYPERLINK("http://www.worldcat.org/oclc/105670","WorldCat Record")</f>
        <v/>
      </c>
      <c r="AU59" t="inlineStr">
        <is>
          <t>1186840:eng</t>
        </is>
      </c>
      <c r="AV59" t="inlineStr">
        <is>
          <t>105670</t>
        </is>
      </c>
      <c r="AW59" t="inlineStr">
        <is>
          <t>991000629909702656</t>
        </is>
      </c>
      <c r="AX59" t="inlineStr">
        <is>
          <t>991000629909702656</t>
        </is>
      </c>
      <c r="AY59" t="inlineStr">
        <is>
          <t>2263113530002656</t>
        </is>
      </c>
      <c r="AZ59" t="inlineStr">
        <is>
          <t>BOOK</t>
        </is>
      </c>
      <c r="BB59" t="inlineStr">
        <is>
          <t>9780236177332</t>
        </is>
      </c>
      <c r="BC59" t="inlineStr">
        <is>
          <t>32285002939386</t>
        </is>
      </c>
      <c r="BD59" t="inlineStr">
        <is>
          <t>893595732</t>
        </is>
      </c>
    </row>
    <row r="60">
      <c r="A60" t="inlineStr">
        <is>
          <t>No</t>
        </is>
      </c>
      <c r="B60" t="inlineStr">
        <is>
          <t>QL121 .N5 1967</t>
        </is>
      </c>
      <c r="C60" t="inlineStr">
        <is>
          <t>0                      QL 0121000N  5           1967</t>
        </is>
      </c>
      <c r="D60" t="inlineStr">
        <is>
          <t>The biology of marine animals / by J. A. Colin Nicol.</t>
        </is>
      </c>
      <c r="F60" t="inlineStr">
        <is>
          <t>No</t>
        </is>
      </c>
      <c r="G60" t="inlineStr">
        <is>
          <t>1</t>
        </is>
      </c>
      <c r="H60" t="inlineStr">
        <is>
          <t>No</t>
        </is>
      </c>
      <c r="I60" t="inlineStr">
        <is>
          <t>No</t>
        </is>
      </c>
      <c r="J60" t="inlineStr">
        <is>
          <t>0</t>
        </is>
      </c>
      <c r="K60" t="inlineStr">
        <is>
          <t>Nicol, J. A. Colin (Joseph Arthur Colin), 1915-2004.</t>
        </is>
      </c>
      <c r="L60" t="inlineStr">
        <is>
          <t>London : Pitman, 1967.</t>
        </is>
      </c>
      <c r="M60" t="inlineStr">
        <is>
          <t>1967</t>
        </is>
      </c>
      <c r="N60" t="inlineStr">
        <is>
          <t>2nd ed.</t>
        </is>
      </c>
      <c r="O60" t="inlineStr">
        <is>
          <t>eng</t>
        </is>
      </c>
      <c r="P60" t="inlineStr">
        <is>
          <t>enk</t>
        </is>
      </c>
      <c r="R60" t="inlineStr">
        <is>
          <t xml:space="preserve">QL </t>
        </is>
      </c>
      <c r="S60" t="n">
        <v>16</v>
      </c>
      <c r="T60" t="n">
        <v>16</v>
      </c>
      <c r="U60" t="inlineStr">
        <is>
          <t>2009-03-01</t>
        </is>
      </c>
      <c r="V60" t="inlineStr">
        <is>
          <t>2009-03-01</t>
        </is>
      </c>
      <c r="W60" t="inlineStr">
        <is>
          <t>1993-09-29</t>
        </is>
      </c>
      <c r="X60" t="inlineStr">
        <is>
          <t>1993-09-29</t>
        </is>
      </c>
      <c r="Y60" t="n">
        <v>335</v>
      </c>
      <c r="Z60" t="n">
        <v>223</v>
      </c>
      <c r="AA60" t="n">
        <v>752</v>
      </c>
      <c r="AB60" t="n">
        <v>2</v>
      </c>
      <c r="AC60" t="n">
        <v>7</v>
      </c>
      <c r="AD60" t="n">
        <v>9</v>
      </c>
      <c r="AE60" t="n">
        <v>36</v>
      </c>
      <c r="AF60" t="n">
        <v>4</v>
      </c>
      <c r="AG60" t="n">
        <v>18</v>
      </c>
      <c r="AH60" t="n">
        <v>1</v>
      </c>
      <c r="AI60" t="n">
        <v>3</v>
      </c>
      <c r="AJ60" t="n">
        <v>5</v>
      </c>
      <c r="AK60" t="n">
        <v>17</v>
      </c>
      <c r="AL60" t="n">
        <v>1</v>
      </c>
      <c r="AM60" t="n">
        <v>6</v>
      </c>
      <c r="AN60" t="n">
        <v>0</v>
      </c>
      <c r="AO60" t="n">
        <v>0</v>
      </c>
      <c r="AP60" t="inlineStr">
        <is>
          <t>No</t>
        </is>
      </c>
      <c r="AQ60" t="inlineStr">
        <is>
          <t>No</t>
        </is>
      </c>
      <c r="AS60">
        <f>HYPERLINK("https://creighton-primo.hosted.exlibrisgroup.com/primo-explore/search?tab=default_tab&amp;search_scope=EVERYTHING&amp;vid=01CRU&amp;lang=en_US&amp;offset=0&amp;query=any,contains,991003415829702656","Catalog Record")</f>
        <v/>
      </c>
      <c r="AT60">
        <f>HYPERLINK("http://www.worldcat.org/oclc/955646","WorldCat Record")</f>
        <v/>
      </c>
      <c r="AU60" t="inlineStr">
        <is>
          <t>1631819:eng</t>
        </is>
      </c>
      <c r="AV60" t="inlineStr">
        <is>
          <t>955646</t>
        </is>
      </c>
      <c r="AW60" t="inlineStr">
        <is>
          <t>991003415829702656</t>
        </is>
      </c>
      <c r="AX60" t="inlineStr">
        <is>
          <t>991003415829702656</t>
        </is>
      </c>
      <c r="AY60" t="inlineStr">
        <is>
          <t>2259976650002656</t>
        </is>
      </c>
      <c r="AZ60" t="inlineStr">
        <is>
          <t>BOOK</t>
        </is>
      </c>
      <c r="BC60" t="inlineStr">
        <is>
          <t>32285001771269</t>
        </is>
      </c>
      <c r="BD60" t="inlineStr">
        <is>
          <t>893535463</t>
        </is>
      </c>
    </row>
    <row r="61">
      <c r="A61" t="inlineStr">
        <is>
          <t>No</t>
        </is>
      </c>
      <c r="B61" t="inlineStr">
        <is>
          <t>QL121 .W45 1998</t>
        </is>
      </c>
      <c r="C61" t="inlineStr">
        <is>
          <t>0                      QL 0121000W  45          1998</t>
        </is>
      </c>
      <c r="D61" t="inlineStr">
        <is>
          <t>Civilization and the limpet / Martin Wells.</t>
        </is>
      </c>
      <c r="F61" t="inlineStr">
        <is>
          <t>No</t>
        </is>
      </c>
      <c r="G61" t="inlineStr">
        <is>
          <t>1</t>
        </is>
      </c>
      <c r="H61" t="inlineStr">
        <is>
          <t>No</t>
        </is>
      </c>
      <c r="I61" t="inlineStr">
        <is>
          <t>No</t>
        </is>
      </c>
      <c r="J61" t="inlineStr">
        <is>
          <t>0</t>
        </is>
      </c>
      <c r="K61" t="inlineStr">
        <is>
          <t>Wells, Martin John.</t>
        </is>
      </c>
      <c r="L61" t="inlineStr">
        <is>
          <t>Reading, Mass. : Perseus Books, c1998.</t>
        </is>
      </c>
      <c r="M61" t="inlineStr">
        <is>
          <t>1998</t>
        </is>
      </c>
      <c r="O61" t="inlineStr">
        <is>
          <t>eng</t>
        </is>
      </c>
      <c r="P61" t="inlineStr">
        <is>
          <t>mau</t>
        </is>
      </c>
      <c r="Q61" t="inlineStr">
        <is>
          <t>Helix books</t>
        </is>
      </c>
      <c r="R61" t="inlineStr">
        <is>
          <t xml:space="preserve">QL </t>
        </is>
      </c>
      <c r="S61" t="n">
        <v>3</v>
      </c>
      <c r="T61" t="n">
        <v>3</v>
      </c>
      <c r="U61" t="inlineStr">
        <is>
          <t>2001-09-27</t>
        </is>
      </c>
      <c r="V61" t="inlineStr">
        <is>
          <t>2001-09-27</t>
        </is>
      </c>
      <c r="W61" t="inlineStr">
        <is>
          <t>2001-02-28</t>
        </is>
      </c>
      <c r="X61" t="inlineStr">
        <is>
          <t>2001-02-28</t>
        </is>
      </c>
      <c r="Y61" t="n">
        <v>373</v>
      </c>
      <c r="Z61" t="n">
        <v>338</v>
      </c>
      <c r="AA61" t="n">
        <v>365</v>
      </c>
      <c r="AB61" t="n">
        <v>2</v>
      </c>
      <c r="AC61" t="n">
        <v>2</v>
      </c>
      <c r="AD61" t="n">
        <v>10</v>
      </c>
      <c r="AE61" t="n">
        <v>10</v>
      </c>
      <c r="AF61" t="n">
        <v>4</v>
      </c>
      <c r="AG61" t="n">
        <v>4</v>
      </c>
      <c r="AH61" t="n">
        <v>1</v>
      </c>
      <c r="AI61" t="n">
        <v>1</v>
      </c>
      <c r="AJ61" t="n">
        <v>5</v>
      </c>
      <c r="AK61" t="n">
        <v>5</v>
      </c>
      <c r="AL61" t="n">
        <v>1</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HYPERLINK("https://creighton-primo.hosted.exlibrisgroup.com/primo-explore/search?tab=default_tab&amp;search_scope=EVERYTHING&amp;vid=01CRU&amp;lang=en_US&amp;offset=0&amp;query=any,contains,991003496679702656","Catalog Record")</f>
        <v/>
      </c>
      <c r="AT61">
        <f>HYPERLINK("http://www.worldcat.org/oclc/40153193","WorldCat Record")</f>
        <v/>
      </c>
      <c r="AU61" t="inlineStr">
        <is>
          <t>23459324:eng</t>
        </is>
      </c>
      <c r="AV61" t="inlineStr">
        <is>
          <t>40153193</t>
        </is>
      </c>
      <c r="AW61" t="inlineStr">
        <is>
          <t>991003496679702656</t>
        </is>
      </c>
      <c r="AX61" t="inlineStr">
        <is>
          <t>991003496679702656</t>
        </is>
      </c>
      <c r="AY61" t="inlineStr">
        <is>
          <t>2264203420002656</t>
        </is>
      </c>
      <c r="AZ61" t="inlineStr">
        <is>
          <t>BOOK</t>
        </is>
      </c>
      <c r="BB61" t="inlineStr">
        <is>
          <t>9780738200170</t>
        </is>
      </c>
      <c r="BC61" t="inlineStr">
        <is>
          <t>32285004298443</t>
        </is>
      </c>
      <c r="BD61" t="inlineStr">
        <is>
          <t>893342616</t>
        </is>
      </c>
    </row>
    <row r="62">
      <c r="A62" t="inlineStr">
        <is>
          <t>No</t>
        </is>
      </c>
      <c r="B62" t="inlineStr">
        <is>
          <t>QL121 .W5</t>
        </is>
      </c>
      <c r="C62" t="inlineStr">
        <is>
          <t>0                      QL 0121000W  5</t>
        </is>
      </c>
      <c r="D62" t="inlineStr">
        <is>
          <t>Behavior of marine animals; current perspectives in research, edited by Howard E. Winn and Bori L. Olla.</t>
        </is>
      </c>
      <c r="E62" t="inlineStr">
        <is>
          <t>V.3</t>
        </is>
      </c>
      <c r="F62" t="inlineStr">
        <is>
          <t>Yes</t>
        </is>
      </c>
      <c r="G62" t="inlineStr">
        <is>
          <t>1</t>
        </is>
      </c>
      <c r="H62" t="inlineStr">
        <is>
          <t>No</t>
        </is>
      </c>
      <c r="I62" t="inlineStr">
        <is>
          <t>No</t>
        </is>
      </c>
      <c r="J62" t="inlineStr">
        <is>
          <t>0</t>
        </is>
      </c>
      <c r="K62" t="inlineStr">
        <is>
          <t>Winn, Howard Elliott, 1926-</t>
        </is>
      </c>
      <c r="L62" t="inlineStr">
        <is>
          <t>New York, Plenum Press, 1972-</t>
        </is>
      </c>
      <c r="M62" t="inlineStr">
        <is>
          <t>1972</t>
        </is>
      </c>
      <c r="O62" t="inlineStr">
        <is>
          <t>eng</t>
        </is>
      </c>
      <c r="P62" t="inlineStr">
        <is>
          <t>nyu</t>
        </is>
      </c>
      <c r="R62" t="inlineStr">
        <is>
          <t xml:space="preserve">QL </t>
        </is>
      </c>
      <c r="S62" t="n">
        <v>3</v>
      </c>
      <c r="T62" t="n">
        <v>6</v>
      </c>
      <c r="U62" t="inlineStr">
        <is>
          <t>2001-12-01</t>
        </is>
      </c>
      <c r="V62" t="inlineStr">
        <is>
          <t>2006-02-23</t>
        </is>
      </c>
      <c r="W62" t="inlineStr">
        <is>
          <t>1993-10-06</t>
        </is>
      </c>
      <c r="X62" t="inlineStr">
        <is>
          <t>1993-10-06</t>
        </is>
      </c>
      <c r="Y62" t="n">
        <v>669</v>
      </c>
      <c r="Z62" t="n">
        <v>563</v>
      </c>
      <c r="AA62" t="n">
        <v>571</v>
      </c>
      <c r="AB62" t="n">
        <v>5</v>
      </c>
      <c r="AC62" t="n">
        <v>5</v>
      </c>
      <c r="AD62" t="n">
        <v>19</v>
      </c>
      <c r="AE62" t="n">
        <v>19</v>
      </c>
      <c r="AF62" t="n">
        <v>6</v>
      </c>
      <c r="AG62" t="n">
        <v>6</v>
      </c>
      <c r="AH62" t="n">
        <v>4</v>
      </c>
      <c r="AI62" t="n">
        <v>4</v>
      </c>
      <c r="AJ62" t="n">
        <v>10</v>
      </c>
      <c r="AK62" t="n">
        <v>10</v>
      </c>
      <c r="AL62" t="n">
        <v>4</v>
      </c>
      <c r="AM62" t="n">
        <v>4</v>
      </c>
      <c r="AN62" t="n">
        <v>0</v>
      </c>
      <c r="AO62" t="n">
        <v>0</v>
      </c>
      <c r="AP62" t="inlineStr">
        <is>
          <t>No</t>
        </is>
      </c>
      <c r="AQ62" t="inlineStr">
        <is>
          <t>Yes</t>
        </is>
      </c>
      <c r="AR62">
        <f>HYPERLINK("http://catalog.hathitrust.org/Record/000684338","HathiTrust Record")</f>
        <v/>
      </c>
      <c r="AS62">
        <f>HYPERLINK("https://creighton-primo.hosted.exlibrisgroup.com/primo-explore/search?tab=default_tab&amp;search_scope=EVERYTHING&amp;vid=01CRU&amp;lang=en_US&amp;offset=0&amp;query=any,contains,991002395509702656","Catalog Record")</f>
        <v/>
      </c>
      <c r="AT62">
        <f>HYPERLINK("http://www.worldcat.org/oclc/334507","WorldCat Record")</f>
        <v/>
      </c>
      <c r="AU62" t="inlineStr">
        <is>
          <t>4927535835:eng</t>
        </is>
      </c>
      <c r="AV62" t="inlineStr">
        <is>
          <t>334507</t>
        </is>
      </c>
      <c r="AW62" t="inlineStr">
        <is>
          <t>991002395509702656</t>
        </is>
      </c>
      <c r="AX62" t="inlineStr">
        <is>
          <t>991002395509702656</t>
        </is>
      </c>
      <c r="AY62" t="inlineStr">
        <is>
          <t>2257297480002656</t>
        </is>
      </c>
      <c r="AZ62" t="inlineStr">
        <is>
          <t>BOOK</t>
        </is>
      </c>
      <c r="BB62" t="inlineStr">
        <is>
          <t>9780306375712</t>
        </is>
      </c>
      <c r="BC62" t="inlineStr">
        <is>
          <t>32285001774917</t>
        </is>
      </c>
      <c r="BD62" t="inlineStr">
        <is>
          <t>893798536</t>
        </is>
      </c>
    </row>
    <row r="63">
      <c r="A63" t="inlineStr">
        <is>
          <t>No</t>
        </is>
      </c>
      <c r="B63" t="inlineStr">
        <is>
          <t>QL121 .W5</t>
        </is>
      </c>
      <c r="C63" t="inlineStr">
        <is>
          <t>0                      QL 0121000W  5</t>
        </is>
      </c>
      <c r="D63" t="inlineStr">
        <is>
          <t>Behavior of marine animals; current perspectives in research, edited by Howard E. Winn and Bori L. Olla.</t>
        </is>
      </c>
      <c r="E63" t="inlineStr">
        <is>
          <t>V.1</t>
        </is>
      </c>
      <c r="F63" t="inlineStr">
        <is>
          <t>Yes</t>
        </is>
      </c>
      <c r="G63" t="inlineStr">
        <is>
          <t>1</t>
        </is>
      </c>
      <c r="H63" t="inlineStr">
        <is>
          <t>No</t>
        </is>
      </c>
      <c r="I63" t="inlineStr">
        <is>
          <t>No</t>
        </is>
      </c>
      <c r="J63" t="inlineStr">
        <is>
          <t>0</t>
        </is>
      </c>
      <c r="K63" t="inlineStr">
        <is>
          <t>Winn, Howard Elliott, 1926-</t>
        </is>
      </c>
      <c r="L63" t="inlineStr">
        <is>
          <t>New York, Plenum Press, 1972-</t>
        </is>
      </c>
      <c r="M63" t="inlineStr">
        <is>
          <t>1972</t>
        </is>
      </c>
      <c r="O63" t="inlineStr">
        <is>
          <t>eng</t>
        </is>
      </c>
      <c r="P63" t="inlineStr">
        <is>
          <t>nyu</t>
        </is>
      </c>
      <c r="R63" t="inlineStr">
        <is>
          <t xml:space="preserve">QL </t>
        </is>
      </c>
      <c r="S63" t="n">
        <v>1</v>
      </c>
      <c r="T63" t="n">
        <v>6</v>
      </c>
      <c r="V63" t="inlineStr">
        <is>
          <t>2006-02-23</t>
        </is>
      </c>
      <c r="W63" t="inlineStr">
        <is>
          <t>1993-10-06</t>
        </is>
      </c>
      <c r="X63" t="inlineStr">
        <is>
          <t>1993-10-06</t>
        </is>
      </c>
      <c r="Y63" t="n">
        <v>669</v>
      </c>
      <c r="Z63" t="n">
        <v>563</v>
      </c>
      <c r="AA63" t="n">
        <v>571</v>
      </c>
      <c r="AB63" t="n">
        <v>5</v>
      </c>
      <c r="AC63" t="n">
        <v>5</v>
      </c>
      <c r="AD63" t="n">
        <v>19</v>
      </c>
      <c r="AE63" t="n">
        <v>19</v>
      </c>
      <c r="AF63" t="n">
        <v>6</v>
      </c>
      <c r="AG63" t="n">
        <v>6</v>
      </c>
      <c r="AH63" t="n">
        <v>4</v>
      </c>
      <c r="AI63" t="n">
        <v>4</v>
      </c>
      <c r="AJ63" t="n">
        <v>10</v>
      </c>
      <c r="AK63" t="n">
        <v>10</v>
      </c>
      <c r="AL63" t="n">
        <v>4</v>
      </c>
      <c r="AM63" t="n">
        <v>4</v>
      </c>
      <c r="AN63" t="n">
        <v>0</v>
      </c>
      <c r="AO63" t="n">
        <v>0</v>
      </c>
      <c r="AP63" t="inlineStr">
        <is>
          <t>No</t>
        </is>
      </c>
      <c r="AQ63" t="inlineStr">
        <is>
          <t>Yes</t>
        </is>
      </c>
      <c r="AR63">
        <f>HYPERLINK("http://catalog.hathitrust.org/Record/000684338","HathiTrust Record")</f>
        <v/>
      </c>
      <c r="AS63">
        <f>HYPERLINK("https://creighton-primo.hosted.exlibrisgroup.com/primo-explore/search?tab=default_tab&amp;search_scope=EVERYTHING&amp;vid=01CRU&amp;lang=en_US&amp;offset=0&amp;query=any,contains,991002395509702656","Catalog Record")</f>
        <v/>
      </c>
      <c r="AT63">
        <f>HYPERLINK("http://www.worldcat.org/oclc/334507","WorldCat Record")</f>
        <v/>
      </c>
      <c r="AU63" t="inlineStr">
        <is>
          <t>4927535835:eng</t>
        </is>
      </c>
      <c r="AV63" t="inlineStr">
        <is>
          <t>334507</t>
        </is>
      </c>
      <c r="AW63" t="inlineStr">
        <is>
          <t>991002395509702656</t>
        </is>
      </c>
      <c r="AX63" t="inlineStr">
        <is>
          <t>991002395509702656</t>
        </is>
      </c>
      <c r="AY63" t="inlineStr">
        <is>
          <t>2257297480002656</t>
        </is>
      </c>
      <c r="AZ63" t="inlineStr">
        <is>
          <t>BOOK</t>
        </is>
      </c>
      <c r="BB63" t="inlineStr">
        <is>
          <t>9780306375712</t>
        </is>
      </c>
      <c r="BC63" t="inlineStr">
        <is>
          <t>32285001774891</t>
        </is>
      </c>
      <c r="BD63" t="inlineStr">
        <is>
          <t>893804564</t>
        </is>
      </c>
    </row>
    <row r="64">
      <c r="A64" t="inlineStr">
        <is>
          <t>No</t>
        </is>
      </c>
      <c r="B64" t="inlineStr">
        <is>
          <t>QL121 .W5</t>
        </is>
      </c>
      <c r="C64" t="inlineStr">
        <is>
          <t>0                      QL 0121000W  5</t>
        </is>
      </c>
      <c r="D64" t="inlineStr">
        <is>
          <t>Behavior of marine animals; current perspectives in research, edited by Howard E. Winn and Bori L. Olla.</t>
        </is>
      </c>
      <c r="E64" t="inlineStr">
        <is>
          <t>V.4</t>
        </is>
      </c>
      <c r="F64" t="inlineStr">
        <is>
          <t>Yes</t>
        </is>
      </c>
      <c r="G64" t="inlineStr">
        <is>
          <t>1</t>
        </is>
      </c>
      <c r="H64" t="inlineStr">
        <is>
          <t>No</t>
        </is>
      </c>
      <c r="I64" t="inlineStr">
        <is>
          <t>No</t>
        </is>
      </c>
      <c r="J64" t="inlineStr">
        <is>
          <t>0</t>
        </is>
      </c>
      <c r="K64" t="inlineStr">
        <is>
          <t>Winn, Howard Elliott, 1926-</t>
        </is>
      </c>
      <c r="L64" t="inlineStr">
        <is>
          <t>New York, Plenum Press, 1972-</t>
        </is>
      </c>
      <c r="M64" t="inlineStr">
        <is>
          <t>1972</t>
        </is>
      </c>
      <c r="O64" t="inlineStr">
        <is>
          <t>eng</t>
        </is>
      </c>
      <c r="P64" t="inlineStr">
        <is>
          <t>nyu</t>
        </is>
      </c>
      <c r="R64" t="inlineStr">
        <is>
          <t xml:space="preserve">QL </t>
        </is>
      </c>
      <c r="S64" t="n">
        <v>0</v>
      </c>
      <c r="T64" t="n">
        <v>6</v>
      </c>
      <c r="V64" t="inlineStr">
        <is>
          <t>2006-02-23</t>
        </is>
      </c>
      <c r="W64" t="inlineStr">
        <is>
          <t>1993-10-06</t>
        </is>
      </c>
      <c r="X64" t="inlineStr">
        <is>
          <t>1993-10-06</t>
        </is>
      </c>
      <c r="Y64" t="n">
        <v>669</v>
      </c>
      <c r="Z64" t="n">
        <v>563</v>
      </c>
      <c r="AA64" t="n">
        <v>571</v>
      </c>
      <c r="AB64" t="n">
        <v>5</v>
      </c>
      <c r="AC64" t="n">
        <v>5</v>
      </c>
      <c r="AD64" t="n">
        <v>19</v>
      </c>
      <c r="AE64" t="n">
        <v>19</v>
      </c>
      <c r="AF64" t="n">
        <v>6</v>
      </c>
      <c r="AG64" t="n">
        <v>6</v>
      </c>
      <c r="AH64" t="n">
        <v>4</v>
      </c>
      <c r="AI64" t="n">
        <v>4</v>
      </c>
      <c r="AJ64" t="n">
        <v>10</v>
      </c>
      <c r="AK64" t="n">
        <v>10</v>
      </c>
      <c r="AL64" t="n">
        <v>4</v>
      </c>
      <c r="AM64" t="n">
        <v>4</v>
      </c>
      <c r="AN64" t="n">
        <v>0</v>
      </c>
      <c r="AO64" t="n">
        <v>0</v>
      </c>
      <c r="AP64" t="inlineStr">
        <is>
          <t>No</t>
        </is>
      </c>
      <c r="AQ64" t="inlineStr">
        <is>
          <t>Yes</t>
        </is>
      </c>
      <c r="AR64">
        <f>HYPERLINK("http://catalog.hathitrust.org/Record/000684338","HathiTrust Record")</f>
        <v/>
      </c>
      <c r="AS64">
        <f>HYPERLINK("https://creighton-primo.hosted.exlibrisgroup.com/primo-explore/search?tab=default_tab&amp;search_scope=EVERYTHING&amp;vid=01CRU&amp;lang=en_US&amp;offset=0&amp;query=any,contains,991002395509702656","Catalog Record")</f>
        <v/>
      </c>
      <c r="AT64">
        <f>HYPERLINK("http://www.worldcat.org/oclc/334507","WorldCat Record")</f>
        <v/>
      </c>
      <c r="AU64" t="inlineStr">
        <is>
          <t>4927535835:eng</t>
        </is>
      </c>
      <c r="AV64" t="inlineStr">
        <is>
          <t>334507</t>
        </is>
      </c>
      <c r="AW64" t="inlineStr">
        <is>
          <t>991002395509702656</t>
        </is>
      </c>
      <c r="AX64" t="inlineStr">
        <is>
          <t>991002395509702656</t>
        </is>
      </c>
      <c r="AY64" t="inlineStr">
        <is>
          <t>2257297480002656</t>
        </is>
      </c>
      <c r="AZ64" t="inlineStr">
        <is>
          <t>BOOK</t>
        </is>
      </c>
      <c r="BB64" t="inlineStr">
        <is>
          <t>9780306375712</t>
        </is>
      </c>
      <c r="BC64" t="inlineStr">
        <is>
          <t>32285001774925</t>
        </is>
      </c>
      <c r="BD64" t="inlineStr">
        <is>
          <t>893798537</t>
        </is>
      </c>
    </row>
    <row r="65">
      <c r="A65" t="inlineStr">
        <is>
          <t>No</t>
        </is>
      </c>
      <c r="B65" t="inlineStr">
        <is>
          <t>QL121 .W5</t>
        </is>
      </c>
      <c r="C65" t="inlineStr">
        <is>
          <t>0                      QL 0121000W  5</t>
        </is>
      </c>
      <c r="D65" t="inlineStr">
        <is>
          <t>Behavior of marine animals; current perspectives in research, edited by Howard E. Winn and Bori L. Olla.</t>
        </is>
      </c>
      <c r="E65" t="inlineStr">
        <is>
          <t>V.2</t>
        </is>
      </c>
      <c r="F65" t="inlineStr">
        <is>
          <t>Yes</t>
        </is>
      </c>
      <c r="G65" t="inlineStr">
        <is>
          <t>1</t>
        </is>
      </c>
      <c r="H65" t="inlineStr">
        <is>
          <t>No</t>
        </is>
      </c>
      <c r="I65" t="inlineStr">
        <is>
          <t>No</t>
        </is>
      </c>
      <c r="J65" t="inlineStr">
        <is>
          <t>0</t>
        </is>
      </c>
      <c r="K65" t="inlineStr">
        <is>
          <t>Winn, Howard Elliott, 1926-</t>
        </is>
      </c>
      <c r="L65" t="inlineStr">
        <is>
          <t>New York, Plenum Press, 1972-</t>
        </is>
      </c>
      <c r="M65" t="inlineStr">
        <is>
          <t>1972</t>
        </is>
      </c>
      <c r="O65" t="inlineStr">
        <is>
          <t>eng</t>
        </is>
      </c>
      <c r="P65" t="inlineStr">
        <is>
          <t>nyu</t>
        </is>
      </c>
      <c r="R65" t="inlineStr">
        <is>
          <t xml:space="preserve">QL </t>
        </is>
      </c>
      <c r="S65" t="n">
        <v>2</v>
      </c>
      <c r="T65" t="n">
        <v>6</v>
      </c>
      <c r="U65" t="inlineStr">
        <is>
          <t>2006-02-23</t>
        </is>
      </c>
      <c r="V65" t="inlineStr">
        <is>
          <t>2006-02-23</t>
        </is>
      </c>
      <c r="W65" t="inlineStr">
        <is>
          <t>1993-10-06</t>
        </is>
      </c>
      <c r="X65" t="inlineStr">
        <is>
          <t>1993-10-06</t>
        </is>
      </c>
      <c r="Y65" t="n">
        <v>669</v>
      </c>
      <c r="Z65" t="n">
        <v>563</v>
      </c>
      <c r="AA65" t="n">
        <v>571</v>
      </c>
      <c r="AB65" t="n">
        <v>5</v>
      </c>
      <c r="AC65" t="n">
        <v>5</v>
      </c>
      <c r="AD65" t="n">
        <v>19</v>
      </c>
      <c r="AE65" t="n">
        <v>19</v>
      </c>
      <c r="AF65" t="n">
        <v>6</v>
      </c>
      <c r="AG65" t="n">
        <v>6</v>
      </c>
      <c r="AH65" t="n">
        <v>4</v>
      </c>
      <c r="AI65" t="n">
        <v>4</v>
      </c>
      <c r="AJ65" t="n">
        <v>10</v>
      </c>
      <c r="AK65" t="n">
        <v>10</v>
      </c>
      <c r="AL65" t="n">
        <v>4</v>
      </c>
      <c r="AM65" t="n">
        <v>4</v>
      </c>
      <c r="AN65" t="n">
        <v>0</v>
      </c>
      <c r="AO65" t="n">
        <v>0</v>
      </c>
      <c r="AP65" t="inlineStr">
        <is>
          <t>No</t>
        </is>
      </c>
      <c r="AQ65" t="inlineStr">
        <is>
          <t>Yes</t>
        </is>
      </c>
      <c r="AR65">
        <f>HYPERLINK("http://catalog.hathitrust.org/Record/000684338","HathiTrust Record")</f>
        <v/>
      </c>
      <c r="AS65">
        <f>HYPERLINK("https://creighton-primo.hosted.exlibrisgroup.com/primo-explore/search?tab=default_tab&amp;search_scope=EVERYTHING&amp;vid=01CRU&amp;lang=en_US&amp;offset=0&amp;query=any,contains,991002395509702656","Catalog Record")</f>
        <v/>
      </c>
      <c r="AT65">
        <f>HYPERLINK("http://www.worldcat.org/oclc/334507","WorldCat Record")</f>
        <v/>
      </c>
      <c r="AU65" t="inlineStr">
        <is>
          <t>4927535835:eng</t>
        </is>
      </c>
      <c r="AV65" t="inlineStr">
        <is>
          <t>334507</t>
        </is>
      </c>
      <c r="AW65" t="inlineStr">
        <is>
          <t>991002395509702656</t>
        </is>
      </c>
      <c r="AX65" t="inlineStr">
        <is>
          <t>991002395509702656</t>
        </is>
      </c>
      <c r="AY65" t="inlineStr">
        <is>
          <t>2257297480002656</t>
        </is>
      </c>
      <c r="AZ65" t="inlineStr">
        <is>
          <t>BOOK</t>
        </is>
      </c>
      <c r="BB65" t="inlineStr">
        <is>
          <t>9780306375712</t>
        </is>
      </c>
      <c r="BC65" t="inlineStr">
        <is>
          <t>32285001774909</t>
        </is>
      </c>
      <c r="BD65" t="inlineStr">
        <is>
          <t>893804565</t>
        </is>
      </c>
    </row>
    <row r="66">
      <c r="A66" t="inlineStr">
        <is>
          <t>No</t>
        </is>
      </c>
      <c r="B66" t="inlineStr">
        <is>
          <t>QL122 .C63 1973</t>
        </is>
      </c>
      <c r="C66" t="inlineStr">
        <is>
          <t>0                      QL 0122000C  63          1973</t>
        </is>
      </c>
      <c r="D66" t="inlineStr">
        <is>
          <t>The Ocean World of Jacques Cousteau.</t>
        </is>
      </c>
      <c r="E66" t="inlineStr">
        <is>
          <t>V.3</t>
        </is>
      </c>
      <c r="F66" t="inlineStr">
        <is>
          <t>Yes</t>
        </is>
      </c>
      <c r="G66" t="inlineStr">
        <is>
          <t>1</t>
        </is>
      </c>
      <c r="H66" t="inlineStr">
        <is>
          <t>No</t>
        </is>
      </c>
      <c r="I66" t="inlineStr">
        <is>
          <t>No</t>
        </is>
      </c>
      <c r="J66" t="inlineStr">
        <is>
          <t>0</t>
        </is>
      </c>
      <c r="K66" t="inlineStr">
        <is>
          <t>Cousteau, Jacques, 1910-1997.</t>
        </is>
      </c>
      <c r="L66" t="inlineStr">
        <is>
          <t>New York : Danbury Press, 1973.</t>
        </is>
      </c>
      <c r="M66" t="inlineStr">
        <is>
          <t>1973</t>
        </is>
      </c>
      <c r="O66" t="inlineStr">
        <is>
          <t>eng</t>
        </is>
      </c>
      <c r="P66" t="inlineStr">
        <is>
          <t xml:space="preserve">xx </t>
        </is>
      </c>
      <c r="R66" t="inlineStr">
        <is>
          <t xml:space="preserve">QL </t>
        </is>
      </c>
      <c r="S66" t="n">
        <v>6</v>
      </c>
      <c r="T66" t="n">
        <v>50</v>
      </c>
      <c r="U66" t="inlineStr">
        <is>
          <t>2001-02-21</t>
        </is>
      </c>
      <c r="V66" t="inlineStr">
        <is>
          <t>2008-04-06</t>
        </is>
      </c>
      <c r="W66" t="inlineStr">
        <is>
          <t>1993-02-05</t>
        </is>
      </c>
      <c r="X66" t="inlineStr">
        <is>
          <t>1993-02-05</t>
        </is>
      </c>
      <c r="Y66" t="n">
        <v>287</v>
      </c>
      <c r="Z66" t="n">
        <v>283</v>
      </c>
      <c r="AA66" t="n">
        <v>327</v>
      </c>
      <c r="AB66" t="n">
        <v>4</v>
      </c>
      <c r="AC66" t="n">
        <v>4</v>
      </c>
      <c r="AD66" t="n">
        <v>2</v>
      </c>
      <c r="AE66" t="n">
        <v>4</v>
      </c>
      <c r="AF66" t="n">
        <v>2</v>
      </c>
      <c r="AG66" t="n">
        <v>3</v>
      </c>
      <c r="AH66" t="n">
        <v>0</v>
      </c>
      <c r="AI66" t="n">
        <v>1</v>
      </c>
      <c r="AJ66" t="n">
        <v>0</v>
      </c>
      <c r="AK66" t="n">
        <v>0</v>
      </c>
      <c r="AL66" t="n">
        <v>0</v>
      </c>
      <c r="AM66" t="n">
        <v>0</v>
      </c>
      <c r="AN66" t="n">
        <v>0</v>
      </c>
      <c r="AO66" t="n">
        <v>0</v>
      </c>
      <c r="AP66" t="inlineStr">
        <is>
          <t>No</t>
        </is>
      </c>
      <c r="AQ66" t="inlineStr">
        <is>
          <t>Yes</t>
        </is>
      </c>
      <c r="AR66">
        <f>HYPERLINK("http://catalog.hathitrust.org/Record/009804339","HathiTrust Record")</f>
        <v/>
      </c>
      <c r="AS66">
        <f>HYPERLINK("https://creighton-primo.hosted.exlibrisgroup.com/primo-explore/search?tab=default_tab&amp;search_scope=EVERYTHING&amp;vid=01CRU&amp;lang=en_US&amp;offset=0&amp;query=any,contains,991004229909702656","Catalog Record")</f>
        <v/>
      </c>
      <c r="AT66">
        <f>HYPERLINK("http://www.worldcat.org/oclc/975423","WorldCat Record")</f>
        <v/>
      </c>
      <c r="AU66" t="inlineStr">
        <is>
          <t>2908519411:eng</t>
        </is>
      </c>
      <c r="AV66" t="inlineStr">
        <is>
          <t>975423</t>
        </is>
      </c>
      <c r="AW66" t="inlineStr">
        <is>
          <t>991004229909702656</t>
        </is>
      </c>
      <c r="AX66" t="inlineStr">
        <is>
          <t>991004229909702656</t>
        </is>
      </c>
      <c r="AY66" t="inlineStr">
        <is>
          <t>2260176020002656</t>
        </is>
      </c>
      <c r="AZ66" t="inlineStr">
        <is>
          <t>BOOK</t>
        </is>
      </c>
      <c r="BC66" t="inlineStr">
        <is>
          <t>32285001484491</t>
        </is>
      </c>
      <c r="BD66" t="inlineStr">
        <is>
          <t>893882214</t>
        </is>
      </c>
    </row>
    <row r="67">
      <c r="A67" t="inlineStr">
        <is>
          <t>No</t>
        </is>
      </c>
      <c r="B67" t="inlineStr">
        <is>
          <t>QL122 .C63 1973</t>
        </is>
      </c>
      <c r="C67" t="inlineStr">
        <is>
          <t>0                      QL 0122000C  63          1973</t>
        </is>
      </c>
      <c r="D67" t="inlineStr">
        <is>
          <t>The Ocean World of Jacques Cousteau.</t>
        </is>
      </c>
      <c r="E67" t="inlineStr">
        <is>
          <t>V.11</t>
        </is>
      </c>
      <c r="F67" t="inlineStr">
        <is>
          <t>Yes</t>
        </is>
      </c>
      <c r="G67" t="inlineStr">
        <is>
          <t>1</t>
        </is>
      </c>
      <c r="H67" t="inlineStr">
        <is>
          <t>No</t>
        </is>
      </c>
      <c r="I67" t="inlineStr">
        <is>
          <t>No</t>
        </is>
      </c>
      <c r="J67" t="inlineStr">
        <is>
          <t>0</t>
        </is>
      </c>
      <c r="K67" t="inlineStr">
        <is>
          <t>Cousteau, Jacques, 1910-1997.</t>
        </is>
      </c>
      <c r="L67" t="inlineStr">
        <is>
          <t>New York : Danbury Press, 1973.</t>
        </is>
      </c>
      <c r="M67" t="inlineStr">
        <is>
          <t>1973</t>
        </is>
      </c>
      <c r="O67" t="inlineStr">
        <is>
          <t>eng</t>
        </is>
      </c>
      <c r="P67" t="inlineStr">
        <is>
          <t xml:space="preserve">xx </t>
        </is>
      </c>
      <c r="R67" t="inlineStr">
        <is>
          <t xml:space="preserve">QL </t>
        </is>
      </c>
      <c r="S67" t="n">
        <v>3</v>
      </c>
      <c r="T67" t="n">
        <v>50</v>
      </c>
      <c r="V67" t="inlineStr">
        <is>
          <t>2008-04-06</t>
        </is>
      </c>
      <c r="W67" t="inlineStr">
        <is>
          <t>1993-02-05</t>
        </is>
      </c>
      <c r="X67" t="inlineStr">
        <is>
          <t>1993-02-05</t>
        </is>
      </c>
      <c r="Y67" t="n">
        <v>287</v>
      </c>
      <c r="Z67" t="n">
        <v>283</v>
      </c>
      <c r="AA67" t="n">
        <v>327</v>
      </c>
      <c r="AB67" t="n">
        <v>4</v>
      </c>
      <c r="AC67" t="n">
        <v>4</v>
      </c>
      <c r="AD67" t="n">
        <v>2</v>
      </c>
      <c r="AE67" t="n">
        <v>4</v>
      </c>
      <c r="AF67" t="n">
        <v>2</v>
      </c>
      <c r="AG67" t="n">
        <v>3</v>
      </c>
      <c r="AH67" t="n">
        <v>0</v>
      </c>
      <c r="AI67" t="n">
        <v>1</v>
      </c>
      <c r="AJ67" t="n">
        <v>0</v>
      </c>
      <c r="AK67" t="n">
        <v>0</v>
      </c>
      <c r="AL67" t="n">
        <v>0</v>
      </c>
      <c r="AM67" t="n">
        <v>0</v>
      </c>
      <c r="AN67" t="n">
        <v>0</v>
      </c>
      <c r="AO67" t="n">
        <v>0</v>
      </c>
      <c r="AP67" t="inlineStr">
        <is>
          <t>No</t>
        </is>
      </c>
      <c r="AQ67" t="inlineStr">
        <is>
          <t>Yes</t>
        </is>
      </c>
      <c r="AR67">
        <f>HYPERLINK("http://catalog.hathitrust.org/Record/009804339","HathiTrust Record")</f>
        <v/>
      </c>
      <c r="AS67">
        <f>HYPERLINK("https://creighton-primo.hosted.exlibrisgroup.com/primo-explore/search?tab=default_tab&amp;search_scope=EVERYTHING&amp;vid=01CRU&amp;lang=en_US&amp;offset=0&amp;query=any,contains,991004229909702656","Catalog Record")</f>
        <v/>
      </c>
      <c r="AT67">
        <f>HYPERLINK("http://www.worldcat.org/oclc/975423","WorldCat Record")</f>
        <v/>
      </c>
      <c r="AU67" t="inlineStr">
        <is>
          <t>2908519411:eng</t>
        </is>
      </c>
      <c r="AV67" t="inlineStr">
        <is>
          <t>975423</t>
        </is>
      </c>
      <c r="AW67" t="inlineStr">
        <is>
          <t>991004229909702656</t>
        </is>
      </c>
      <c r="AX67" t="inlineStr">
        <is>
          <t>991004229909702656</t>
        </is>
      </c>
      <c r="AY67" t="inlineStr">
        <is>
          <t>2260176020002656</t>
        </is>
      </c>
      <c r="AZ67" t="inlineStr">
        <is>
          <t>BOOK</t>
        </is>
      </c>
      <c r="BC67" t="inlineStr">
        <is>
          <t>32285001484418</t>
        </is>
      </c>
      <c r="BD67" t="inlineStr">
        <is>
          <t>893882217</t>
        </is>
      </c>
    </row>
    <row r="68">
      <c r="A68" t="inlineStr">
        <is>
          <t>No</t>
        </is>
      </c>
      <c r="B68" t="inlineStr">
        <is>
          <t>QL122 .C63 1973</t>
        </is>
      </c>
      <c r="C68" t="inlineStr">
        <is>
          <t>0                      QL 0122000C  63          1973</t>
        </is>
      </c>
      <c r="D68" t="inlineStr">
        <is>
          <t>The Ocean World of Jacques Cousteau.</t>
        </is>
      </c>
      <c r="E68" t="inlineStr">
        <is>
          <t>V.16</t>
        </is>
      </c>
      <c r="F68" t="inlineStr">
        <is>
          <t>Yes</t>
        </is>
      </c>
      <c r="G68" t="inlineStr">
        <is>
          <t>1</t>
        </is>
      </c>
      <c r="H68" t="inlineStr">
        <is>
          <t>No</t>
        </is>
      </c>
      <c r="I68" t="inlineStr">
        <is>
          <t>No</t>
        </is>
      </c>
      <c r="J68" t="inlineStr">
        <is>
          <t>0</t>
        </is>
      </c>
      <c r="K68" t="inlineStr">
        <is>
          <t>Cousteau, Jacques, 1910-1997.</t>
        </is>
      </c>
      <c r="L68" t="inlineStr">
        <is>
          <t>New York : Danbury Press, 1973.</t>
        </is>
      </c>
      <c r="M68" t="inlineStr">
        <is>
          <t>1973</t>
        </is>
      </c>
      <c r="O68" t="inlineStr">
        <is>
          <t>eng</t>
        </is>
      </c>
      <c r="P68" t="inlineStr">
        <is>
          <t xml:space="preserve">xx </t>
        </is>
      </c>
      <c r="R68" t="inlineStr">
        <is>
          <t xml:space="preserve">QL </t>
        </is>
      </c>
      <c r="S68" t="n">
        <v>0</v>
      </c>
      <c r="T68" t="n">
        <v>50</v>
      </c>
      <c r="V68" t="inlineStr">
        <is>
          <t>2008-04-06</t>
        </is>
      </c>
      <c r="W68" t="inlineStr">
        <is>
          <t>1992-01-14</t>
        </is>
      </c>
      <c r="X68" t="inlineStr">
        <is>
          <t>1993-02-05</t>
        </is>
      </c>
      <c r="Y68" t="n">
        <v>287</v>
      </c>
      <c r="Z68" t="n">
        <v>283</v>
      </c>
      <c r="AA68" t="n">
        <v>327</v>
      </c>
      <c r="AB68" t="n">
        <v>4</v>
      </c>
      <c r="AC68" t="n">
        <v>4</v>
      </c>
      <c r="AD68" t="n">
        <v>2</v>
      </c>
      <c r="AE68" t="n">
        <v>4</v>
      </c>
      <c r="AF68" t="n">
        <v>2</v>
      </c>
      <c r="AG68" t="n">
        <v>3</v>
      </c>
      <c r="AH68" t="n">
        <v>0</v>
      </c>
      <c r="AI68" t="n">
        <v>1</v>
      </c>
      <c r="AJ68" t="n">
        <v>0</v>
      </c>
      <c r="AK68" t="n">
        <v>0</v>
      </c>
      <c r="AL68" t="n">
        <v>0</v>
      </c>
      <c r="AM68" t="n">
        <v>0</v>
      </c>
      <c r="AN68" t="n">
        <v>0</v>
      </c>
      <c r="AO68" t="n">
        <v>0</v>
      </c>
      <c r="AP68" t="inlineStr">
        <is>
          <t>No</t>
        </is>
      </c>
      <c r="AQ68" t="inlineStr">
        <is>
          <t>Yes</t>
        </is>
      </c>
      <c r="AR68">
        <f>HYPERLINK("http://catalog.hathitrust.org/Record/009804339","HathiTrust Record")</f>
        <v/>
      </c>
      <c r="AS68">
        <f>HYPERLINK("https://creighton-primo.hosted.exlibrisgroup.com/primo-explore/search?tab=default_tab&amp;search_scope=EVERYTHING&amp;vid=01CRU&amp;lang=en_US&amp;offset=0&amp;query=any,contains,991004229909702656","Catalog Record")</f>
        <v/>
      </c>
      <c r="AT68">
        <f>HYPERLINK("http://www.worldcat.org/oclc/975423","WorldCat Record")</f>
        <v/>
      </c>
      <c r="AU68" t="inlineStr">
        <is>
          <t>2908519411:eng</t>
        </is>
      </c>
      <c r="AV68" t="inlineStr">
        <is>
          <t>975423</t>
        </is>
      </c>
      <c r="AW68" t="inlineStr">
        <is>
          <t>991004229909702656</t>
        </is>
      </c>
      <c r="AX68" t="inlineStr">
        <is>
          <t>991004229909702656</t>
        </is>
      </c>
      <c r="AY68" t="inlineStr">
        <is>
          <t>2260176020002656</t>
        </is>
      </c>
      <c r="AZ68" t="inlineStr">
        <is>
          <t>BOOK</t>
        </is>
      </c>
      <c r="BC68" t="inlineStr">
        <is>
          <t>32285000911783</t>
        </is>
      </c>
      <c r="BD68" t="inlineStr">
        <is>
          <t>893900974</t>
        </is>
      </c>
    </row>
    <row r="69">
      <c r="A69" t="inlineStr">
        <is>
          <t>No</t>
        </is>
      </c>
      <c r="B69" t="inlineStr">
        <is>
          <t>QL122 .C63 1973</t>
        </is>
      </c>
      <c r="C69" t="inlineStr">
        <is>
          <t>0                      QL 0122000C  63          1973</t>
        </is>
      </c>
      <c r="D69" t="inlineStr">
        <is>
          <t>The Ocean World of Jacques Cousteau.</t>
        </is>
      </c>
      <c r="E69" t="inlineStr">
        <is>
          <t>V.1</t>
        </is>
      </c>
      <c r="F69" t="inlineStr">
        <is>
          <t>Yes</t>
        </is>
      </c>
      <c r="G69" t="inlineStr">
        <is>
          <t>1</t>
        </is>
      </c>
      <c r="H69" t="inlineStr">
        <is>
          <t>No</t>
        </is>
      </c>
      <c r="I69" t="inlineStr">
        <is>
          <t>No</t>
        </is>
      </c>
      <c r="J69" t="inlineStr">
        <is>
          <t>0</t>
        </is>
      </c>
      <c r="K69" t="inlineStr">
        <is>
          <t>Cousteau, Jacques, 1910-1997.</t>
        </is>
      </c>
      <c r="L69" t="inlineStr">
        <is>
          <t>New York : Danbury Press, 1973.</t>
        </is>
      </c>
      <c r="M69" t="inlineStr">
        <is>
          <t>1973</t>
        </is>
      </c>
      <c r="O69" t="inlineStr">
        <is>
          <t>eng</t>
        </is>
      </c>
      <c r="P69" t="inlineStr">
        <is>
          <t xml:space="preserve">xx </t>
        </is>
      </c>
      <c r="R69" t="inlineStr">
        <is>
          <t xml:space="preserve">QL </t>
        </is>
      </c>
      <c r="S69" t="n">
        <v>6</v>
      </c>
      <c r="T69" t="n">
        <v>50</v>
      </c>
      <c r="U69" t="inlineStr">
        <is>
          <t>2004-02-24</t>
        </is>
      </c>
      <c r="V69" t="inlineStr">
        <is>
          <t>2008-04-06</t>
        </is>
      </c>
      <c r="W69" t="inlineStr">
        <is>
          <t>1993-02-05</t>
        </is>
      </c>
      <c r="X69" t="inlineStr">
        <is>
          <t>1993-02-05</t>
        </is>
      </c>
      <c r="Y69" t="n">
        <v>287</v>
      </c>
      <c r="Z69" t="n">
        <v>283</v>
      </c>
      <c r="AA69" t="n">
        <v>327</v>
      </c>
      <c r="AB69" t="n">
        <v>4</v>
      </c>
      <c r="AC69" t="n">
        <v>4</v>
      </c>
      <c r="AD69" t="n">
        <v>2</v>
      </c>
      <c r="AE69" t="n">
        <v>4</v>
      </c>
      <c r="AF69" t="n">
        <v>2</v>
      </c>
      <c r="AG69" t="n">
        <v>3</v>
      </c>
      <c r="AH69" t="n">
        <v>0</v>
      </c>
      <c r="AI69" t="n">
        <v>1</v>
      </c>
      <c r="AJ69" t="n">
        <v>0</v>
      </c>
      <c r="AK69" t="n">
        <v>0</v>
      </c>
      <c r="AL69" t="n">
        <v>0</v>
      </c>
      <c r="AM69" t="n">
        <v>0</v>
      </c>
      <c r="AN69" t="n">
        <v>0</v>
      </c>
      <c r="AO69" t="n">
        <v>0</v>
      </c>
      <c r="AP69" t="inlineStr">
        <is>
          <t>No</t>
        </is>
      </c>
      <c r="AQ69" t="inlineStr">
        <is>
          <t>Yes</t>
        </is>
      </c>
      <c r="AR69">
        <f>HYPERLINK("http://catalog.hathitrust.org/Record/009804339","HathiTrust Record")</f>
        <v/>
      </c>
      <c r="AS69">
        <f>HYPERLINK("https://creighton-primo.hosted.exlibrisgroup.com/primo-explore/search?tab=default_tab&amp;search_scope=EVERYTHING&amp;vid=01CRU&amp;lang=en_US&amp;offset=0&amp;query=any,contains,991004229909702656","Catalog Record")</f>
        <v/>
      </c>
      <c r="AT69">
        <f>HYPERLINK("http://www.worldcat.org/oclc/975423","WorldCat Record")</f>
        <v/>
      </c>
      <c r="AU69" t="inlineStr">
        <is>
          <t>2908519411:eng</t>
        </is>
      </c>
      <c r="AV69" t="inlineStr">
        <is>
          <t>975423</t>
        </is>
      </c>
      <c r="AW69" t="inlineStr">
        <is>
          <t>991004229909702656</t>
        </is>
      </c>
      <c r="AX69" t="inlineStr">
        <is>
          <t>991004229909702656</t>
        </is>
      </c>
      <c r="AY69" t="inlineStr">
        <is>
          <t>2260176020002656</t>
        </is>
      </c>
      <c r="AZ69" t="inlineStr">
        <is>
          <t>BOOK</t>
        </is>
      </c>
      <c r="BC69" t="inlineStr">
        <is>
          <t>32285001484517</t>
        </is>
      </c>
      <c r="BD69" t="inlineStr">
        <is>
          <t>893888454</t>
        </is>
      </c>
    </row>
    <row r="70">
      <c r="A70" t="inlineStr">
        <is>
          <t>No</t>
        </is>
      </c>
      <c r="B70" t="inlineStr">
        <is>
          <t>QL122 .C63 1973</t>
        </is>
      </c>
      <c r="C70" t="inlineStr">
        <is>
          <t>0                      QL 0122000C  63          1973</t>
        </is>
      </c>
      <c r="D70" t="inlineStr">
        <is>
          <t>The Ocean World of Jacques Cousteau.</t>
        </is>
      </c>
      <c r="E70" t="inlineStr">
        <is>
          <t>V.8</t>
        </is>
      </c>
      <c r="F70" t="inlineStr">
        <is>
          <t>Yes</t>
        </is>
      </c>
      <c r="G70" t="inlineStr">
        <is>
          <t>1</t>
        </is>
      </c>
      <c r="H70" t="inlineStr">
        <is>
          <t>No</t>
        </is>
      </c>
      <c r="I70" t="inlineStr">
        <is>
          <t>No</t>
        </is>
      </c>
      <c r="J70" t="inlineStr">
        <is>
          <t>0</t>
        </is>
      </c>
      <c r="K70" t="inlineStr">
        <is>
          <t>Cousteau, Jacques, 1910-1997.</t>
        </is>
      </c>
      <c r="L70" t="inlineStr">
        <is>
          <t>New York : Danbury Press, 1973.</t>
        </is>
      </c>
      <c r="M70" t="inlineStr">
        <is>
          <t>1973</t>
        </is>
      </c>
      <c r="O70" t="inlineStr">
        <is>
          <t>eng</t>
        </is>
      </c>
      <c r="P70" t="inlineStr">
        <is>
          <t xml:space="preserve">xx </t>
        </is>
      </c>
      <c r="R70" t="inlineStr">
        <is>
          <t xml:space="preserve">QL </t>
        </is>
      </c>
      <c r="S70" t="n">
        <v>2</v>
      </c>
      <c r="T70" t="n">
        <v>50</v>
      </c>
      <c r="U70" t="inlineStr">
        <is>
          <t>1995-12-04</t>
        </is>
      </c>
      <c r="V70" t="inlineStr">
        <is>
          <t>2008-04-06</t>
        </is>
      </c>
      <c r="W70" t="inlineStr">
        <is>
          <t>1993-02-05</t>
        </is>
      </c>
      <c r="X70" t="inlineStr">
        <is>
          <t>1993-02-05</t>
        </is>
      </c>
      <c r="Y70" t="n">
        <v>287</v>
      </c>
      <c r="Z70" t="n">
        <v>283</v>
      </c>
      <c r="AA70" t="n">
        <v>327</v>
      </c>
      <c r="AB70" t="n">
        <v>4</v>
      </c>
      <c r="AC70" t="n">
        <v>4</v>
      </c>
      <c r="AD70" t="n">
        <v>2</v>
      </c>
      <c r="AE70" t="n">
        <v>4</v>
      </c>
      <c r="AF70" t="n">
        <v>2</v>
      </c>
      <c r="AG70" t="n">
        <v>3</v>
      </c>
      <c r="AH70" t="n">
        <v>0</v>
      </c>
      <c r="AI70" t="n">
        <v>1</v>
      </c>
      <c r="AJ70" t="n">
        <v>0</v>
      </c>
      <c r="AK70" t="n">
        <v>0</v>
      </c>
      <c r="AL70" t="n">
        <v>0</v>
      </c>
      <c r="AM70" t="n">
        <v>0</v>
      </c>
      <c r="AN70" t="n">
        <v>0</v>
      </c>
      <c r="AO70" t="n">
        <v>0</v>
      </c>
      <c r="AP70" t="inlineStr">
        <is>
          <t>No</t>
        </is>
      </c>
      <c r="AQ70" t="inlineStr">
        <is>
          <t>Yes</t>
        </is>
      </c>
      <c r="AR70">
        <f>HYPERLINK("http://catalog.hathitrust.org/Record/009804339","HathiTrust Record")</f>
        <v/>
      </c>
      <c r="AS70">
        <f>HYPERLINK("https://creighton-primo.hosted.exlibrisgroup.com/primo-explore/search?tab=default_tab&amp;search_scope=EVERYTHING&amp;vid=01CRU&amp;lang=en_US&amp;offset=0&amp;query=any,contains,991004229909702656","Catalog Record")</f>
        <v/>
      </c>
      <c r="AT70">
        <f>HYPERLINK("http://www.worldcat.org/oclc/975423","WorldCat Record")</f>
        <v/>
      </c>
      <c r="AU70" t="inlineStr">
        <is>
          <t>2908519411:eng</t>
        </is>
      </c>
      <c r="AV70" t="inlineStr">
        <is>
          <t>975423</t>
        </is>
      </c>
      <c r="AW70" t="inlineStr">
        <is>
          <t>991004229909702656</t>
        </is>
      </c>
      <c r="AX70" t="inlineStr">
        <is>
          <t>991004229909702656</t>
        </is>
      </c>
      <c r="AY70" t="inlineStr">
        <is>
          <t>2260176020002656</t>
        </is>
      </c>
      <c r="AZ70" t="inlineStr">
        <is>
          <t>BOOK</t>
        </is>
      </c>
      <c r="BC70" t="inlineStr">
        <is>
          <t>32285001484442</t>
        </is>
      </c>
      <c r="BD70" t="inlineStr">
        <is>
          <t>893882213</t>
        </is>
      </c>
    </row>
    <row r="71">
      <c r="A71" t="inlineStr">
        <is>
          <t>No</t>
        </is>
      </c>
      <c r="B71" t="inlineStr">
        <is>
          <t>QL122 .C63 1973</t>
        </is>
      </c>
      <c r="C71" t="inlineStr">
        <is>
          <t>0                      QL 0122000C  63          1973</t>
        </is>
      </c>
      <c r="D71" t="inlineStr">
        <is>
          <t>The Ocean World of Jacques Cousteau.</t>
        </is>
      </c>
      <c r="E71" t="inlineStr">
        <is>
          <t>V.10</t>
        </is>
      </c>
      <c r="F71" t="inlineStr">
        <is>
          <t>Yes</t>
        </is>
      </c>
      <c r="G71" t="inlineStr">
        <is>
          <t>1</t>
        </is>
      </c>
      <c r="H71" t="inlineStr">
        <is>
          <t>No</t>
        </is>
      </c>
      <c r="I71" t="inlineStr">
        <is>
          <t>No</t>
        </is>
      </c>
      <c r="J71" t="inlineStr">
        <is>
          <t>0</t>
        </is>
      </c>
      <c r="K71" t="inlineStr">
        <is>
          <t>Cousteau, Jacques, 1910-1997.</t>
        </is>
      </c>
      <c r="L71" t="inlineStr">
        <is>
          <t>New York : Danbury Press, 1973.</t>
        </is>
      </c>
      <c r="M71" t="inlineStr">
        <is>
          <t>1973</t>
        </is>
      </c>
      <c r="O71" t="inlineStr">
        <is>
          <t>eng</t>
        </is>
      </c>
      <c r="P71" t="inlineStr">
        <is>
          <t xml:space="preserve">xx </t>
        </is>
      </c>
      <c r="R71" t="inlineStr">
        <is>
          <t xml:space="preserve">QL </t>
        </is>
      </c>
      <c r="S71" t="n">
        <v>1</v>
      </c>
      <c r="T71" t="n">
        <v>50</v>
      </c>
      <c r="V71" t="inlineStr">
        <is>
          <t>2008-04-06</t>
        </is>
      </c>
      <c r="W71" t="inlineStr">
        <is>
          <t>1993-02-05</t>
        </is>
      </c>
      <c r="X71" t="inlineStr">
        <is>
          <t>1993-02-05</t>
        </is>
      </c>
      <c r="Y71" t="n">
        <v>287</v>
      </c>
      <c r="Z71" t="n">
        <v>283</v>
      </c>
      <c r="AA71" t="n">
        <v>327</v>
      </c>
      <c r="AB71" t="n">
        <v>4</v>
      </c>
      <c r="AC71" t="n">
        <v>4</v>
      </c>
      <c r="AD71" t="n">
        <v>2</v>
      </c>
      <c r="AE71" t="n">
        <v>4</v>
      </c>
      <c r="AF71" t="n">
        <v>2</v>
      </c>
      <c r="AG71" t="n">
        <v>3</v>
      </c>
      <c r="AH71" t="n">
        <v>0</v>
      </c>
      <c r="AI71" t="n">
        <v>1</v>
      </c>
      <c r="AJ71" t="n">
        <v>0</v>
      </c>
      <c r="AK71" t="n">
        <v>0</v>
      </c>
      <c r="AL71" t="n">
        <v>0</v>
      </c>
      <c r="AM71" t="n">
        <v>0</v>
      </c>
      <c r="AN71" t="n">
        <v>0</v>
      </c>
      <c r="AO71" t="n">
        <v>0</v>
      </c>
      <c r="AP71" t="inlineStr">
        <is>
          <t>No</t>
        </is>
      </c>
      <c r="AQ71" t="inlineStr">
        <is>
          <t>Yes</t>
        </is>
      </c>
      <c r="AR71">
        <f>HYPERLINK("http://catalog.hathitrust.org/Record/009804339","HathiTrust Record")</f>
        <v/>
      </c>
      <c r="AS71">
        <f>HYPERLINK("https://creighton-primo.hosted.exlibrisgroup.com/primo-explore/search?tab=default_tab&amp;search_scope=EVERYTHING&amp;vid=01CRU&amp;lang=en_US&amp;offset=0&amp;query=any,contains,991004229909702656","Catalog Record")</f>
        <v/>
      </c>
      <c r="AT71">
        <f>HYPERLINK("http://www.worldcat.org/oclc/975423","WorldCat Record")</f>
        <v/>
      </c>
      <c r="AU71" t="inlineStr">
        <is>
          <t>2908519411:eng</t>
        </is>
      </c>
      <c r="AV71" t="inlineStr">
        <is>
          <t>975423</t>
        </is>
      </c>
      <c r="AW71" t="inlineStr">
        <is>
          <t>991004229909702656</t>
        </is>
      </c>
      <c r="AX71" t="inlineStr">
        <is>
          <t>991004229909702656</t>
        </is>
      </c>
      <c r="AY71" t="inlineStr">
        <is>
          <t>2260176020002656</t>
        </is>
      </c>
      <c r="AZ71" t="inlineStr">
        <is>
          <t>BOOK</t>
        </is>
      </c>
      <c r="BC71" t="inlineStr">
        <is>
          <t>32285001484426</t>
        </is>
      </c>
      <c r="BD71" t="inlineStr">
        <is>
          <t>893875843</t>
        </is>
      </c>
    </row>
    <row r="72">
      <c r="A72" t="inlineStr">
        <is>
          <t>No</t>
        </is>
      </c>
      <c r="B72" t="inlineStr">
        <is>
          <t>QL122 .C63 1973</t>
        </is>
      </c>
      <c r="C72" t="inlineStr">
        <is>
          <t>0                      QL 0122000C  63          1973</t>
        </is>
      </c>
      <c r="D72" t="inlineStr">
        <is>
          <t>The Ocean World of Jacques Cousteau.</t>
        </is>
      </c>
      <c r="E72" t="inlineStr">
        <is>
          <t>V.13</t>
        </is>
      </c>
      <c r="F72" t="inlineStr">
        <is>
          <t>Yes</t>
        </is>
      </c>
      <c r="G72" t="inlineStr">
        <is>
          <t>1</t>
        </is>
      </c>
      <c r="H72" t="inlineStr">
        <is>
          <t>No</t>
        </is>
      </c>
      <c r="I72" t="inlineStr">
        <is>
          <t>No</t>
        </is>
      </c>
      <c r="J72" t="inlineStr">
        <is>
          <t>0</t>
        </is>
      </c>
      <c r="K72" t="inlineStr">
        <is>
          <t>Cousteau, Jacques, 1910-1997.</t>
        </is>
      </c>
      <c r="L72" t="inlineStr">
        <is>
          <t>New York : Danbury Press, 1973.</t>
        </is>
      </c>
      <c r="M72" t="inlineStr">
        <is>
          <t>1973</t>
        </is>
      </c>
      <c r="O72" t="inlineStr">
        <is>
          <t>eng</t>
        </is>
      </c>
      <c r="P72" t="inlineStr">
        <is>
          <t xml:space="preserve">xx </t>
        </is>
      </c>
      <c r="R72" t="inlineStr">
        <is>
          <t xml:space="preserve">QL </t>
        </is>
      </c>
      <c r="S72" t="n">
        <v>1</v>
      </c>
      <c r="T72" t="n">
        <v>50</v>
      </c>
      <c r="V72" t="inlineStr">
        <is>
          <t>2008-04-06</t>
        </is>
      </c>
      <c r="W72" t="inlineStr">
        <is>
          <t>1993-02-05</t>
        </is>
      </c>
      <c r="X72" t="inlineStr">
        <is>
          <t>1993-02-05</t>
        </is>
      </c>
      <c r="Y72" t="n">
        <v>287</v>
      </c>
      <c r="Z72" t="n">
        <v>283</v>
      </c>
      <c r="AA72" t="n">
        <v>327</v>
      </c>
      <c r="AB72" t="n">
        <v>4</v>
      </c>
      <c r="AC72" t="n">
        <v>4</v>
      </c>
      <c r="AD72" t="n">
        <v>2</v>
      </c>
      <c r="AE72" t="n">
        <v>4</v>
      </c>
      <c r="AF72" t="n">
        <v>2</v>
      </c>
      <c r="AG72" t="n">
        <v>3</v>
      </c>
      <c r="AH72" t="n">
        <v>0</v>
      </c>
      <c r="AI72" t="n">
        <v>1</v>
      </c>
      <c r="AJ72" t="n">
        <v>0</v>
      </c>
      <c r="AK72" t="n">
        <v>0</v>
      </c>
      <c r="AL72" t="n">
        <v>0</v>
      </c>
      <c r="AM72" t="n">
        <v>0</v>
      </c>
      <c r="AN72" t="n">
        <v>0</v>
      </c>
      <c r="AO72" t="n">
        <v>0</v>
      </c>
      <c r="AP72" t="inlineStr">
        <is>
          <t>No</t>
        </is>
      </c>
      <c r="AQ72" t="inlineStr">
        <is>
          <t>Yes</t>
        </is>
      </c>
      <c r="AR72">
        <f>HYPERLINK("http://catalog.hathitrust.org/Record/009804339","HathiTrust Record")</f>
        <v/>
      </c>
      <c r="AS72">
        <f>HYPERLINK("https://creighton-primo.hosted.exlibrisgroup.com/primo-explore/search?tab=default_tab&amp;search_scope=EVERYTHING&amp;vid=01CRU&amp;lang=en_US&amp;offset=0&amp;query=any,contains,991004229909702656","Catalog Record")</f>
        <v/>
      </c>
      <c r="AT72">
        <f>HYPERLINK("http://www.worldcat.org/oclc/975423","WorldCat Record")</f>
        <v/>
      </c>
      <c r="AU72" t="inlineStr">
        <is>
          <t>2908519411:eng</t>
        </is>
      </c>
      <c r="AV72" t="inlineStr">
        <is>
          <t>975423</t>
        </is>
      </c>
      <c r="AW72" t="inlineStr">
        <is>
          <t>991004229909702656</t>
        </is>
      </c>
      <c r="AX72" t="inlineStr">
        <is>
          <t>991004229909702656</t>
        </is>
      </c>
      <c r="AY72" t="inlineStr">
        <is>
          <t>2260176020002656</t>
        </is>
      </c>
      <c r="AZ72" t="inlineStr">
        <is>
          <t>BOOK</t>
        </is>
      </c>
      <c r="BC72" t="inlineStr">
        <is>
          <t>32285001484392</t>
        </is>
      </c>
      <c r="BD72" t="inlineStr">
        <is>
          <t>893888453</t>
        </is>
      </c>
    </row>
    <row r="73">
      <c r="A73" t="inlineStr">
        <is>
          <t>No</t>
        </is>
      </c>
      <c r="B73" t="inlineStr">
        <is>
          <t>QL122 .C63 1973</t>
        </is>
      </c>
      <c r="C73" t="inlineStr">
        <is>
          <t>0                      QL 0122000C  63          1973</t>
        </is>
      </c>
      <c r="D73" t="inlineStr">
        <is>
          <t>The Ocean World of Jacques Cousteau.</t>
        </is>
      </c>
      <c r="E73" t="inlineStr">
        <is>
          <t>V.15</t>
        </is>
      </c>
      <c r="F73" t="inlineStr">
        <is>
          <t>Yes</t>
        </is>
      </c>
      <c r="G73" t="inlineStr">
        <is>
          <t>1</t>
        </is>
      </c>
      <c r="H73" t="inlineStr">
        <is>
          <t>No</t>
        </is>
      </c>
      <c r="I73" t="inlineStr">
        <is>
          <t>No</t>
        </is>
      </c>
      <c r="J73" t="inlineStr">
        <is>
          <t>0</t>
        </is>
      </c>
      <c r="K73" t="inlineStr">
        <is>
          <t>Cousteau, Jacques, 1910-1997.</t>
        </is>
      </c>
      <c r="L73" t="inlineStr">
        <is>
          <t>New York : Danbury Press, 1973.</t>
        </is>
      </c>
      <c r="M73" t="inlineStr">
        <is>
          <t>1973</t>
        </is>
      </c>
      <c r="O73" t="inlineStr">
        <is>
          <t>eng</t>
        </is>
      </c>
      <c r="P73" t="inlineStr">
        <is>
          <t xml:space="preserve">xx </t>
        </is>
      </c>
      <c r="R73" t="inlineStr">
        <is>
          <t xml:space="preserve">QL </t>
        </is>
      </c>
      <c r="S73" t="n">
        <v>4</v>
      </c>
      <c r="T73" t="n">
        <v>50</v>
      </c>
      <c r="U73" t="inlineStr">
        <is>
          <t>1999-11-04</t>
        </is>
      </c>
      <c r="V73" t="inlineStr">
        <is>
          <t>2008-04-06</t>
        </is>
      </c>
      <c r="W73" t="inlineStr">
        <is>
          <t>1993-02-05</t>
        </is>
      </c>
      <c r="X73" t="inlineStr">
        <is>
          <t>1993-02-05</t>
        </is>
      </c>
      <c r="Y73" t="n">
        <v>287</v>
      </c>
      <c r="Z73" t="n">
        <v>283</v>
      </c>
      <c r="AA73" t="n">
        <v>327</v>
      </c>
      <c r="AB73" t="n">
        <v>4</v>
      </c>
      <c r="AC73" t="n">
        <v>4</v>
      </c>
      <c r="AD73" t="n">
        <v>2</v>
      </c>
      <c r="AE73" t="n">
        <v>4</v>
      </c>
      <c r="AF73" t="n">
        <v>2</v>
      </c>
      <c r="AG73" t="n">
        <v>3</v>
      </c>
      <c r="AH73" t="n">
        <v>0</v>
      </c>
      <c r="AI73" t="n">
        <v>1</v>
      </c>
      <c r="AJ73" t="n">
        <v>0</v>
      </c>
      <c r="AK73" t="n">
        <v>0</v>
      </c>
      <c r="AL73" t="n">
        <v>0</v>
      </c>
      <c r="AM73" t="n">
        <v>0</v>
      </c>
      <c r="AN73" t="n">
        <v>0</v>
      </c>
      <c r="AO73" t="n">
        <v>0</v>
      </c>
      <c r="AP73" t="inlineStr">
        <is>
          <t>No</t>
        </is>
      </c>
      <c r="AQ73" t="inlineStr">
        <is>
          <t>Yes</t>
        </is>
      </c>
      <c r="AR73">
        <f>HYPERLINK("http://catalog.hathitrust.org/Record/009804339","HathiTrust Record")</f>
        <v/>
      </c>
      <c r="AS73">
        <f>HYPERLINK("https://creighton-primo.hosted.exlibrisgroup.com/primo-explore/search?tab=default_tab&amp;search_scope=EVERYTHING&amp;vid=01CRU&amp;lang=en_US&amp;offset=0&amp;query=any,contains,991004229909702656","Catalog Record")</f>
        <v/>
      </c>
      <c r="AT73">
        <f>HYPERLINK("http://www.worldcat.org/oclc/975423","WorldCat Record")</f>
        <v/>
      </c>
      <c r="AU73" t="inlineStr">
        <is>
          <t>2908519411:eng</t>
        </is>
      </c>
      <c r="AV73" t="inlineStr">
        <is>
          <t>975423</t>
        </is>
      </c>
      <c r="AW73" t="inlineStr">
        <is>
          <t>991004229909702656</t>
        </is>
      </c>
      <c r="AX73" t="inlineStr">
        <is>
          <t>991004229909702656</t>
        </is>
      </c>
      <c r="AY73" t="inlineStr">
        <is>
          <t>2260176020002656</t>
        </is>
      </c>
      <c r="AZ73" t="inlineStr">
        <is>
          <t>BOOK</t>
        </is>
      </c>
      <c r="BC73" t="inlineStr">
        <is>
          <t>32285001484384</t>
        </is>
      </c>
      <c r="BD73" t="inlineStr">
        <is>
          <t>893900975</t>
        </is>
      </c>
    </row>
    <row r="74">
      <c r="A74" t="inlineStr">
        <is>
          <t>No</t>
        </is>
      </c>
      <c r="B74" t="inlineStr">
        <is>
          <t>QL122 .C63 1973</t>
        </is>
      </c>
      <c r="C74" t="inlineStr">
        <is>
          <t>0                      QL 0122000C  63          1973</t>
        </is>
      </c>
      <c r="D74" t="inlineStr">
        <is>
          <t>The Ocean World of Jacques Cousteau.</t>
        </is>
      </c>
      <c r="E74" t="inlineStr">
        <is>
          <t>V.20</t>
        </is>
      </c>
      <c r="F74" t="inlineStr">
        <is>
          <t>Yes</t>
        </is>
      </c>
      <c r="G74" t="inlineStr">
        <is>
          <t>1</t>
        </is>
      </c>
      <c r="H74" t="inlineStr">
        <is>
          <t>No</t>
        </is>
      </c>
      <c r="I74" t="inlineStr">
        <is>
          <t>No</t>
        </is>
      </c>
      <c r="J74" t="inlineStr">
        <is>
          <t>0</t>
        </is>
      </c>
      <c r="K74" t="inlineStr">
        <is>
          <t>Cousteau, Jacques, 1910-1997.</t>
        </is>
      </c>
      <c r="L74" t="inlineStr">
        <is>
          <t>New York : Danbury Press, 1973.</t>
        </is>
      </c>
      <c r="M74" t="inlineStr">
        <is>
          <t>1973</t>
        </is>
      </c>
      <c r="O74" t="inlineStr">
        <is>
          <t>eng</t>
        </is>
      </c>
      <c r="P74" t="inlineStr">
        <is>
          <t xml:space="preserve">xx </t>
        </is>
      </c>
      <c r="R74" t="inlineStr">
        <is>
          <t xml:space="preserve">QL </t>
        </is>
      </c>
      <c r="S74" t="n">
        <v>2</v>
      </c>
      <c r="T74" t="n">
        <v>50</v>
      </c>
      <c r="V74" t="inlineStr">
        <is>
          <t>2008-04-06</t>
        </is>
      </c>
      <c r="W74" t="inlineStr">
        <is>
          <t>1993-02-05</t>
        </is>
      </c>
      <c r="X74" t="inlineStr">
        <is>
          <t>1993-02-05</t>
        </is>
      </c>
      <c r="Y74" t="n">
        <v>287</v>
      </c>
      <c r="Z74" t="n">
        <v>283</v>
      </c>
      <c r="AA74" t="n">
        <v>327</v>
      </c>
      <c r="AB74" t="n">
        <v>4</v>
      </c>
      <c r="AC74" t="n">
        <v>4</v>
      </c>
      <c r="AD74" t="n">
        <v>2</v>
      </c>
      <c r="AE74" t="n">
        <v>4</v>
      </c>
      <c r="AF74" t="n">
        <v>2</v>
      </c>
      <c r="AG74" t="n">
        <v>3</v>
      </c>
      <c r="AH74" t="n">
        <v>0</v>
      </c>
      <c r="AI74" t="n">
        <v>1</v>
      </c>
      <c r="AJ74" t="n">
        <v>0</v>
      </c>
      <c r="AK74" t="n">
        <v>0</v>
      </c>
      <c r="AL74" t="n">
        <v>0</v>
      </c>
      <c r="AM74" t="n">
        <v>0</v>
      </c>
      <c r="AN74" t="n">
        <v>0</v>
      </c>
      <c r="AO74" t="n">
        <v>0</v>
      </c>
      <c r="AP74" t="inlineStr">
        <is>
          <t>No</t>
        </is>
      </c>
      <c r="AQ74" t="inlineStr">
        <is>
          <t>Yes</t>
        </is>
      </c>
      <c r="AR74">
        <f>HYPERLINK("http://catalog.hathitrust.org/Record/009804339","HathiTrust Record")</f>
        <v/>
      </c>
      <c r="AS74">
        <f>HYPERLINK("https://creighton-primo.hosted.exlibrisgroup.com/primo-explore/search?tab=default_tab&amp;search_scope=EVERYTHING&amp;vid=01CRU&amp;lang=en_US&amp;offset=0&amp;query=any,contains,991004229909702656","Catalog Record")</f>
        <v/>
      </c>
      <c r="AT74">
        <f>HYPERLINK("http://www.worldcat.org/oclc/975423","WorldCat Record")</f>
        <v/>
      </c>
      <c r="AU74" t="inlineStr">
        <is>
          <t>2908519411:eng</t>
        </is>
      </c>
      <c r="AV74" t="inlineStr">
        <is>
          <t>975423</t>
        </is>
      </c>
      <c r="AW74" t="inlineStr">
        <is>
          <t>991004229909702656</t>
        </is>
      </c>
      <c r="AX74" t="inlineStr">
        <is>
          <t>991004229909702656</t>
        </is>
      </c>
      <c r="AY74" t="inlineStr">
        <is>
          <t>2260176020002656</t>
        </is>
      </c>
      <c r="AZ74" t="inlineStr">
        <is>
          <t>BOOK</t>
        </is>
      </c>
      <c r="BC74" t="inlineStr">
        <is>
          <t>32285001484343</t>
        </is>
      </c>
      <c r="BD74" t="inlineStr">
        <is>
          <t>893875840</t>
        </is>
      </c>
    </row>
    <row r="75">
      <c r="A75" t="inlineStr">
        <is>
          <t>No</t>
        </is>
      </c>
      <c r="B75" t="inlineStr">
        <is>
          <t>QL122 .C63 1973</t>
        </is>
      </c>
      <c r="C75" t="inlineStr">
        <is>
          <t>0                      QL 0122000C  63          1973</t>
        </is>
      </c>
      <c r="D75" t="inlineStr">
        <is>
          <t>The Ocean World of Jacques Cousteau.</t>
        </is>
      </c>
      <c r="E75" t="inlineStr">
        <is>
          <t>V.19</t>
        </is>
      </c>
      <c r="F75" t="inlineStr">
        <is>
          <t>Yes</t>
        </is>
      </c>
      <c r="G75" t="inlineStr">
        <is>
          <t>1</t>
        </is>
      </c>
      <c r="H75" t="inlineStr">
        <is>
          <t>No</t>
        </is>
      </c>
      <c r="I75" t="inlineStr">
        <is>
          <t>No</t>
        </is>
      </c>
      <c r="J75" t="inlineStr">
        <is>
          <t>0</t>
        </is>
      </c>
      <c r="K75" t="inlineStr">
        <is>
          <t>Cousteau, Jacques, 1910-1997.</t>
        </is>
      </c>
      <c r="L75" t="inlineStr">
        <is>
          <t>New York : Danbury Press, 1973.</t>
        </is>
      </c>
      <c r="M75" t="inlineStr">
        <is>
          <t>1973</t>
        </is>
      </c>
      <c r="O75" t="inlineStr">
        <is>
          <t>eng</t>
        </is>
      </c>
      <c r="P75" t="inlineStr">
        <is>
          <t xml:space="preserve">xx </t>
        </is>
      </c>
      <c r="R75" t="inlineStr">
        <is>
          <t xml:space="preserve">QL </t>
        </is>
      </c>
      <c r="S75" t="n">
        <v>0</v>
      </c>
      <c r="T75" t="n">
        <v>50</v>
      </c>
      <c r="V75" t="inlineStr">
        <is>
          <t>2008-04-06</t>
        </is>
      </c>
      <c r="W75" t="inlineStr">
        <is>
          <t>1993-02-05</t>
        </is>
      </c>
      <c r="X75" t="inlineStr">
        <is>
          <t>1993-02-05</t>
        </is>
      </c>
      <c r="Y75" t="n">
        <v>287</v>
      </c>
      <c r="Z75" t="n">
        <v>283</v>
      </c>
      <c r="AA75" t="n">
        <v>327</v>
      </c>
      <c r="AB75" t="n">
        <v>4</v>
      </c>
      <c r="AC75" t="n">
        <v>4</v>
      </c>
      <c r="AD75" t="n">
        <v>2</v>
      </c>
      <c r="AE75" t="n">
        <v>4</v>
      </c>
      <c r="AF75" t="n">
        <v>2</v>
      </c>
      <c r="AG75" t="n">
        <v>3</v>
      </c>
      <c r="AH75" t="n">
        <v>0</v>
      </c>
      <c r="AI75" t="n">
        <v>1</v>
      </c>
      <c r="AJ75" t="n">
        <v>0</v>
      </c>
      <c r="AK75" t="n">
        <v>0</v>
      </c>
      <c r="AL75" t="n">
        <v>0</v>
      </c>
      <c r="AM75" t="n">
        <v>0</v>
      </c>
      <c r="AN75" t="n">
        <v>0</v>
      </c>
      <c r="AO75" t="n">
        <v>0</v>
      </c>
      <c r="AP75" t="inlineStr">
        <is>
          <t>No</t>
        </is>
      </c>
      <c r="AQ75" t="inlineStr">
        <is>
          <t>Yes</t>
        </is>
      </c>
      <c r="AR75">
        <f>HYPERLINK("http://catalog.hathitrust.org/Record/009804339","HathiTrust Record")</f>
        <v/>
      </c>
      <c r="AS75">
        <f>HYPERLINK("https://creighton-primo.hosted.exlibrisgroup.com/primo-explore/search?tab=default_tab&amp;search_scope=EVERYTHING&amp;vid=01CRU&amp;lang=en_US&amp;offset=0&amp;query=any,contains,991004229909702656","Catalog Record")</f>
        <v/>
      </c>
      <c r="AT75">
        <f>HYPERLINK("http://www.worldcat.org/oclc/975423","WorldCat Record")</f>
        <v/>
      </c>
      <c r="AU75" t="inlineStr">
        <is>
          <t>2908519411:eng</t>
        </is>
      </c>
      <c r="AV75" t="inlineStr">
        <is>
          <t>975423</t>
        </is>
      </c>
      <c r="AW75" t="inlineStr">
        <is>
          <t>991004229909702656</t>
        </is>
      </c>
      <c r="AX75" t="inlineStr">
        <is>
          <t>991004229909702656</t>
        </is>
      </c>
      <c r="AY75" t="inlineStr">
        <is>
          <t>2260176020002656</t>
        </is>
      </c>
      <c r="AZ75" t="inlineStr">
        <is>
          <t>BOOK</t>
        </is>
      </c>
      <c r="BC75" t="inlineStr">
        <is>
          <t>32285001484350</t>
        </is>
      </c>
      <c r="BD75" t="inlineStr">
        <is>
          <t>893882219</t>
        </is>
      </c>
    </row>
    <row r="76">
      <c r="A76" t="inlineStr">
        <is>
          <t>No</t>
        </is>
      </c>
      <c r="B76" t="inlineStr">
        <is>
          <t>QL122 .C63 1973</t>
        </is>
      </c>
      <c r="C76" t="inlineStr">
        <is>
          <t>0                      QL 0122000C  63          1973</t>
        </is>
      </c>
      <c r="D76" t="inlineStr">
        <is>
          <t>The Ocean World of Jacques Cousteau.</t>
        </is>
      </c>
      <c r="E76" t="inlineStr">
        <is>
          <t>V.12</t>
        </is>
      </c>
      <c r="F76" t="inlineStr">
        <is>
          <t>Yes</t>
        </is>
      </c>
      <c r="G76" t="inlineStr">
        <is>
          <t>1</t>
        </is>
      </c>
      <c r="H76" t="inlineStr">
        <is>
          <t>No</t>
        </is>
      </c>
      <c r="I76" t="inlineStr">
        <is>
          <t>No</t>
        </is>
      </c>
      <c r="J76" t="inlineStr">
        <is>
          <t>0</t>
        </is>
      </c>
      <c r="K76" t="inlineStr">
        <is>
          <t>Cousteau, Jacques, 1910-1997.</t>
        </is>
      </c>
      <c r="L76" t="inlineStr">
        <is>
          <t>New York : Danbury Press, 1973.</t>
        </is>
      </c>
      <c r="M76" t="inlineStr">
        <is>
          <t>1973</t>
        </is>
      </c>
      <c r="O76" t="inlineStr">
        <is>
          <t>eng</t>
        </is>
      </c>
      <c r="P76" t="inlineStr">
        <is>
          <t xml:space="preserve">xx </t>
        </is>
      </c>
      <c r="R76" t="inlineStr">
        <is>
          <t xml:space="preserve">QL </t>
        </is>
      </c>
      <c r="S76" t="n">
        <v>3</v>
      </c>
      <c r="T76" t="n">
        <v>50</v>
      </c>
      <c r="U76" t="inlineStr">
        <is>
          <t>1999-11-04</t>
        </is>
      </c>
      <c r="V76" t="inlineStr">
        <is>
          <t>2008-04-06</t>
        </is>
      </c>
      <c r="W76" t="inlineStr">
        <is>
          <t>1993-02-05</t>
        </is>
      </c>
      <c r="X76" t="inlineStr">
        <is>
          <t>1993-02-05</t>
        </is>
      </c>
      <c r="Y76" t="n">
        <v>287</v>
      </c>
      <c r="Z76" t="n">
        <v>283</v>
      </c>
      <c r="AA76" t="n">
        <v>327</v>
      </c>
      <c r="AB76" t="n">
        <v>4</v>
      </c>
      <c r="AC76" t="n">
        <v>4</v>
      </c>
      <c r="AD76" t="n">
        <v>2</v>
      </c>
      <c r="AE76" t="n">
        <v>4</v>
      </c>
      <c r="AF76" t="n">
        <v>2</v>
      </c>
      <c r="AG76" t="n">
        <v>3</v>
      </c>
      <c r="AH76" t="n">
        <v>0</v>
      </c>
      <c r="AI76" t="n">
        <v>1</v>
      </c>
      <c r="AJ76" t="n">
        <v>0</v>
      </c>
      <c r="AK76" t="n">
        <v>0</v>
      </c>
      <c r="AL76" t="n">
        <v>0</v>
      </c>
      <c r="AM76" t="n">
        <v>0</v>
      </c>
      <c r="AN76" t="n">
        <v>0</v>
      </c>
      <c r="AO76" t="n">
        <v>0</v>
      </c>
      <c r="AP76" t="inlineStr">
        <is>
          <t>No</t>
        </is>
      </c>
      <c r="AQ76" t="inlineStr">
        <is>
          <t>Yes</t>
        </is>
      </c>
      <c r="AR76">
        <f>HYPERLINK("http://catalog.hathitrust.org/Record/009804339","HathiTrust Record")</f>
        <v/>
      </c>
      <c r="AS76">
        <f>HYPERLINK("https://creighton-primo.hosted.exlibrisgroup.com/primo-explore/search?tab=default_tab&amp;search_scope=EVERYTHING&amp;vid=01CRU&amp;lang=en_US&amp;offset=0&amp;query=any,contains,991004229909702656","Catalog Record")</f>
        <v/>
      </c>
      <c r="AT76">
        <f>HYPERLINK("http://www.worldcat.org/oclc/975423","WorldCat Record")</f>
        <v/>
      </c>
      <c r="AU76" t="inlineStr">
        <is>
          <t>2908519411:eng</t>
        </is>
      </c>
      <c r="AV76" t="inlineStr">
        <is>
          <t>975423</t>
        </is>
      </c>
      <c r="AW76" t="inlineStr">
        <is>
          <t>991004229909702656</t>
        </is>
      </c>
      <c r="AX76" t="inlineStr">
        <is>
          <t>991004229909702656</t>
        </is>
      </c>
      <c r="AY76" t="inlineStr">
        <is>
          <t>2260176020002656</t>
        </is>
      </c>
      <c r="AZ76" t="inlineStr">
        <is>
          <t>BOOK</t>
        </is>
      </c>
      <c r="BC76" t="inlineStr">
        <is>
          <t>32285001484400</t>
        </is>
      </c>
      <c r="BD76" t="inlineStr">
        <is>
          <t>893882216</t>
        </is>
      </c>
    </row>
    <row r="77">
      <c r="A77" t="inlineStr">
        <is>
          <t>No</t>
        </is>
      </c>
      <c r="B77" t="inlineStr">
        <is>
          <t>QL122 .C63 1973</t>
        </is>
      </c>
      <c r="C77" t="inlineStr">
        <is>
          <t>0                      QL 0122000C  63          1973</t>
        </is>
      </c>
      <c r="D77" t="inlineStr">
        <is>
          <t>The Ocean World of Jacques Cousteau.</t>
        </is>
      </c>
      <c r="E77" t="inlineStr">
        <is>
          <t>V.2</t>
        </is>
      </c>
      <c r="F77" t="inlineStr">
        <is>
          <t>Yes</t>
        </is>
      </c>
      <c r="G77" t="inlineStr">
        <is>
          <t>1</t>
        </is>
      </c>
      <c r="H77" t="inlineStr">
        <is>
          <t>No</t>
        </is>
      </c>
      <c r="I77" t="inlineStr">
        <is>
          <t>No</t>
        </is>
      </c>
      <c r="J77" t="inlineStr">
        <is>
          <t>0</t>
        </is>
      </c>
      <c r="K77" t="inlineStr">
        <is>
          <t>Cousteau, Jacques, 1910-1997.</t>
        </is>
      </c>
      <c r="L77" t="inlineStr">
        <is>
          <t>New York : Danbury Press, 1973.</t>
        </is>
      </c>
      <c r="M77" t="inlineStr">
        <is>
          <t>1973</t>
        </is>
      </c>
      <c r="O77" t="inlineStr">
        <is>
          <t>eng</t>
        </is>
      </c>
      <c r="P77" t="inlineStr">
        <is>
          <t xml:space="preserve">xx </t>
        </is>
      </c>
      <c r="R77" t="inlineStr">
        <is>
          <t xml:space="preserve">QL </t>
        </is>
      </c>
      <c r="S77" t="n">
        <v>2</v>
      </c>
      <c r="T77" t="n">
        <v>50</v>
      </c>
      <c r="U77" t="inlineStr">
        <is>
          <t>1994-02-14</t>
        </is>
      </c>
      <c r="V77" t="inlineStr">
        <is>
          <t>2008-04-06</t>
        </is>
      </c>
      <c r="W77" t="inlineStr">
        <is>
          <t>1993-02-05</t>
        </is>
      </c>
      <c r="X77" t="inlineStr">
        <is>
          <t>1993-02-05</t>
        </is>
      </c>
      <c r="Y77" t="n">
        <v>287</v>
      </c>
      <c r="Z77" t="n">
        <v>283</v>
      </c>
      <c r="AA77" t="n">
        <v>327</v>
      </c>
      <c r="AB77" t="n">
        <v>4</v>
      </c>
      <c r="AC77" t="n">
        <v>4</v>
      </c>
      <c r="AD77" t="n">
        <v>2</v>
      </c>
      <c r="AE77" t="n">
        <v>4</v>
      </c>
      <c r="AF77" t="n">
        <v>2</v>
      </c>
      <c r="AG77" t="n">
        <v>3</v>
      </c>
      <c r="AH77" t="n">
        <v>0</v>
      </c>
      <c r="AI77" t="n">
        <v>1</v>
      </c>
      <c r="AJ77" t="n">
        <v>0</v>
      </c>
      <c r="AK77" t="n">
        <v>0</v>
      </c>
      <c r="AL77" t="n">
        <v>0</v>
      </c>
      <c r="AM77" t="n">
        <v>0</v>
      </c>
      <c r="AN77" t="n">
        <v>0</v>
      </c>
      <c r="AO77" t="n">
        <v>0</v>
      </c>
      <c r="AP77" t="inlineStr">
        <is>
          <t>No</t>
        </is>
      </c>
      <c r="AQ77" t="inlineStr">
        <is>
          <t>Yes</t>
        </is>
      </c>
      <c r="AR77">
        <f>HYPERLINK("http://catalog.hathitrust.org/Record/009804339","HathiTrust Record")</f>
        <v/>
      </c>
      <c r="AS77">
        <f>HYPERLINK("https://creighton-primo.hosted.exlibrisgroup.com/primo-explore/search?tab=default_tab&amp;search_scope=EVERYTHING&amp;vid=01CRU&amp;lang=en_US&amp;offset=0&amp;query=any,contains,991004229909702656","Catalog Record")</f>
        <v/>
      </c>
      <c r="AT77">
        <f>HYPERLINK("http://www.worldcat.org/oclc/975423","WorldCat Record")</f>
        <v/>
      </c>
      <c r="AU77" t="inlineStr">
        <is>
          <t>2908519411:eng</t>
        </is>
      </c>
      <c r="AV77" t="inlineStr">
        <is>
          <t>975423</t>
        </is>
      </c>
      <c r="AW77" t="inlineStr">
        <is>
          <t>991004229909702656</t>
        </is>
      </c>
      <c r="AX77" t="inlineStr">
        <is>
          <t>991004229909702656</t>
        </is>
      </c>
      <c r="AY77" t="inlineStr">
        <is>
          <t>2260176020002656</t>
        </is>
      </c>
      <c r="AZ77" t="inlineStr">
        <is>
          <t>BOOK</t>
        </is>
      </c>
      <c r="BC77" t="inlineStr">
        <is>
          <t>32285001484509</t>
        </is>
      </c>
      <c r="BD77" t="inlineStr">
        <is>
          <t>893882215</t>
        </is>
      </c>
    </row>
    <row r="78">
      <c r="A78" t="inlineStr">
        <is>
          <t>No</t>
        </is>
      </c>
      <c r="B78" t="inlineStr">
        <is>
          <t>QL122 .C63 1973</t>
        </is>
      </c>
      <c r="C78" t="inlineStr">
        <is>
          <t>0                      QL 0122000C  63          1973</t>
        </is>
      </c>
      <c r="D78" t="inlineStr">
        <is>
          <t>The Ocean World of Jacques Cousteau.</t>
        </is>
      </c>
      <c r="E78" t="inlineStr">
        <is>
          <t>V.4</t>
        </is>
      </c>
      <c r="F78" t="inlineStr">
        <is>
          <t>Yes</t>
        </is>
      </c>
      <c r="G78" t="inlineStr">
        <is>
          <t>1</t>
        </is>
      </c>
      <c r="H78" t="inlineStr">
        <is>
          <t>No</t>
        </is>
      </c>
      <c r="I78" t="inlineStr">
        <is>
          <t>No</t>
        </is>
      </c>
      <c r="J78" t="inlineStr">
        <is>
          <t>0</t>
        </is>
      </c>
      <c r="K78" t="inlineStr">
        <is>
          <t>Cousteau, Jacques, 1910-1997.</t>
        </is>
      </c>
      <c r="L78" t="inlineStr">
        <is>
          <t>New York : Danbury Press, 1973.</t>
        </is>
      </c>
      <c r="M78" t="inlineStr">
        <is>
          <t>1973</t>
        </is>
      </c>
      <c r="O78" t="inlineStr">
        <is>
          <t>eng</t>
        </is>
      </c>
      <c r="P78" t="inlineStr">
        <is>
          <t xml:space="preserve">xx </t>
        </is>
      </c>
      <c r="R78" t="inlineStr">
        <is>
          <t xml:space="preserve">QL </t>
        </is>
      </c>
      <c r="S78" t="n">
        <v>1</v>
      </c>
      <c r="T78" t="n">
        <v>50</v>
      </c>
      <c r="U78" t="inlineStr">
        <is>
          <t>1993-10-11</t>
        </is>
      </c>
      <c r="V78" t="inlineStr">
        <is>
          <t>2008-04-06</t>
        </is>
      </c>
      <c r="W78" t="inlineStr">
        <is>
          <t>1993-02-05</t>
        </is>
      </c>
      <c r="X78" t="inlineStr">
        <is>
          <t>1993-02-05</t>
        </is>
      </c>
      <c r="Y78" t="n">
        <v>287</v>
      </c>
      <c r="Z78" t="n">
        <v>283</v>
      </c>
      <c r="AA78" t="n">
        <v>327</v>
      </c>
      <c r="AB78" t="n">
        <v>4</v>
      </c>
      <c r="AC78" t="n">
        <v>4</v>
      </c>
      <c r="AD78" t="n">
        <v>2</v>
      </c>
      <c r="AE78" t="n">
        <v>4</v>
      </c>
      <c r="AF78" t="n">
        <v>2</v>
      </c>
      <c r="AG78" t="n">
        <v>3</v>
      </c>
      <c r="AH78" t="n">
        <v>0</v>
      </c>
      <c r="AI78" t="n">
        <v>1</v>
      </c>
      <c r="AJ78" t="n">
        <v>0</v>
      </c>
      <c r="AK78" t="n">
        <v>0</v>
      </c>
      <c r="AL78" t="n">
        <v>0</v>
      </c>
      <c r="AM78" t="n">
        <v>0</v>
      </c>
      <c r="AN78" t="n">
        <v>0</v>
      </c>
      <c r="AO78" t="n">
        <v>0</v>
      </c>
      <c r="AP78" t="inlineStr">
        <is>
          <t>No</t>
        </is>
      </c>
      <c r="AQ78" t="inlineStr">
        <is>
          <t>Yes</t>
        </is>
      </c>
      <c r="AR78">
        <f>HYPERLINK("http://catalog.hathitrust.org/Record/009804339","HathiTrust Record")</f>
        <v/>
      </c>
      <c r="AS78">
        <f>HYPERLINK("https://creighton-primo.hosted.exlibrisgroup.com/primo-explore/search?tab=default_tab&amp;search_scope=EVERYTHING&amp;vid=01CRU&amp;lang=en_US&amp;offset=0&amp;query=any,contains,991004229909702656","Catalog Record")</f>
        <v/>
      </c>
      <c r="AT78">
        <f>HYPERLINK("http://www.worldcat.org/oclc/975423","WorldCat Record")</f>
        <v/>
      </c>
      <c r="AU78" t="inlineStr">
        <is>
          <t>2908519411:eng</t>
        </is>
      </c>
      <c r="AV78" t="inlineStr">
        <is>
          <t>975423</t>
        </is>
      </c>
      <c r="AW78" t="inlineStr">
        <is>
          <t>991004229909702656</t>
        </is>
      </c>
      <c r="AX78" t="inlineStr">
        <is>
          <t>991004229909702656</t>
        </is>
      </c>
      <c r="AY78" t="inlineStr">
        <is>
          <t>2260176020002656</t>
        </is>
      </c>
      <c r="AZ78" t="inlineStr">
        <is>
          <t>BOOK</t>
        </is>
      </c>
      <c r="BC78" t="inlineStr">
        <is>
          <t>32285001484483</t>
        </is>
      </c>
      <c r="BD78" t="inlineStr">
        <is>
          <t>893875841</t>
        </is>
      </c>
    </row>
    <row r="79">
      <c r="A79" t="inlineStr">
        <is>
          <t>No</t>
        </is>
      </c>
      <c r="B79" t="inlineStr">
        <is>
          <t>QL122 .C63 1973</t>
        </is>
      </c>
      <c r="C79" t="inlineStr">
        <is>
          <t>0                      QL 0122000C  63          1973</t>
        </is>
      </c>
      <c r="D79" t="inlineStr">
        <is>
          <t>The Ocean World of Jacques Cousteau.</t>
        </is>
      </c>
      <c r="E79" t="inlineStr">
        <is>
          <t>V.9</t>
        </is>
      </c>
      <c r="F79" t="inlineStr">
        <is>
          <t>Yes</t>
        </is>
      </c>
      <c r="G79" t="inlineStr">
        <is>
          <t>1</t>
        </is>
      </c>
      <c r="H79" t="inlineStr">
        <is>
          <t>No</t>
        </is>
      </c>
      <c r="I79" t="inlineStr">
        <is>
          <t>No</t>
        </is>
      </c>
      <c r="J79" t="inlineStr">
        <is>
          <t>0</t>
        </is>
      </c>
      <c r="K79" t="inlineStr">
        <is>
          <t>Cousteau, Jacques, 1910-1997.</t>
        </is>
      </c>
      <c r="L79" t="inlineStr">
        <is>
          <t>New York : Danbury Press, 1973.</t>
        </is>
      </c>
      <c r="M79" t="inlineStr">
        <is>
          <t>1973</t>
        </is>
      </c>
      <c r="O79" t="inlineStr">
        <is>
          <t>eng</t>
        </is>
      </c>
      <c r="P79" t="inlineStr">
        <is>
          <t xml:space="preserve">xx </t>
        </is>
      </c>
      <c r="R79" t="inlineStr">
        <is>
          <t xml:space="preserve">QL </t>
        </is>
      </c>
      <c r="S79" t="n">
        <v>0</v>
      </c>
      <c r="T79" t="n">
        <v>50</v>
      </c>
      <c r="V79" t="inlineStr">
        <is>
          <t>2008-04-06</t>
        </is>
      </c>
      <c r="W79" t="inlineStr">
        <is>
          <t>1993-02-05</t>
        </is>
      </c>
      <c r="X79" t="inlineStr">
        <is>
          <t>1993-02-05</t>
        </is>
      </c>
      <c r="Y79" t="n">
        <v>287</v>
      </c>
      <c r="Z79" t="n">
        <v>283</v>
      </c>
      <c r="AA79" t="n">
        <v>327</v>
      </c>
      <c r="AB79" t="n">
        <v>4</v>
      </c>
      <c r="AC79" t="n">
        <v>4</v>
      </c>
      <c r="AD79" t="n">
        <v>2</v>
      </c>
      <c r="AE79" t="n">
        <v>4</v>
      </c>
      <c r="AF79" t="n">
        <v>2</v>
      </c>
      <c r="AG79" t="n">
        <v>3</v>
      </c>
      <c r="AH79" t="n">
        <v>0</v>
      </c>
      <c r="AI79" t="n">
        <v>1</v>
      </c>
      <c r="AJ79" t="n">
        <v>0</v>
      </c>
      <c r="AK79" t="n">
        <v>0</v>
      </c>
      <c r="AL79" t="n">
        <v>0</v>
      </c>
      <c r="AM79" t="n">
        <v>0</v>
      </c>
      <c r="AN79" t="n">
        <v>0</v>
      </c>
      <c r="AO79" t="n">
        <v>0</v>
      </c>
      <c r="AP79" t="inlineStr">
        <is>
          <t>No</t>
        </is>
      </c>
      <c r="AQ79" t="inlineStr">
        <is>
          <t>Yes</t>
        </is>
      </c>
      <c r="AR79">
        <f>HYPERLINK("http://catalog.hathitrust.org/Record/009804339","HathiTrust Record")</f>
        <v/>
      </c>
      <c r="AS79">
        <f>HYPERLINK("https://creighton-primo.hosted.exlibrisgroup.com/primo-explore/search?tab=default_tab&amp;search_scope=EVERYTHING&amp;vid=01CRU&amp;lang=en_US&amp;offset=0&amp;query=any,contains,991004229909702656","Catalog Record")</f>
        <v/>
      </c>
      <c r="AT79">
        <f>HYPERLINK("http://www.worldcat.org/oclc/975423","WorldCat Record")</f>
        <v/>
      </c>
      <c r="AU79" t="inlineStr">
        <is>
          <t>2908519411:eng</t>
        </is>
      </c>
      <c r="AV79" t="inlineStr">
        <is>
          <t>975423</t>
        </is>
      </c>
      <c r="AW79" t="inlineStr">
        <is>
          <t>991004229909702656</t>
        </is>
      </c>
      <c r="AX79" t="inlineStr">
        <is>
          <t>991004229909702656</t>
        </is>
      </c>
      <c r="AY79" t="inlineStr">
        <is>
          <t>2260176020002656</t>
        </is>
      </c>
      <c r="AZ79" t="inlineStr">
        <is>
          <t>BOOK</t>
        </is>
      </c>
      <c r="BC79" t="inlineStr">
        <is>
          <t>32285001484434</t>
        </is>
      </c>
      <c r="BD79" t="inlineStr">
        <is>
          <t>893875844</t>
        </is>
      </c>
    </row>
    <row r="80">
      <c r="A80" t="inlineStr">
        <is>
          <t>No</t>
        </is>
      </c>
      <c r="B80" t="inlineStr">
        <is>
          <t>QL122 .C63 1973</t>
        </is>
      </c>
      <c r="C80" t="inlineStr">
        <is>
          <t>0                      QL 0122000C  63          1973</t>
        </is>
      </c>
      <c r="D80" t="inlineStr">
        <is>
          <t>The Ocean World of Jacques Cousteau.</t>
        </is>
      </c>
      <c r="E80" t="inlineStr">
        <is>
          <t>V.6</t>
        </is>
      </c>
      <c r="F80" t="inlineStr">
        <is>
          <t>Yes</t>
        </is>
      </c>
      <c r="G80" t="inlineStr">
        <is>
          <t>1</t>
        </is>
      </c>
      <c r="H80" t="inlineStr">
        <is>
          <t>No</t>
        </is>
      </c>
      <c r="I80" t="inlineStr">
        <is>
          <t>No</t>
        </is>
      </c>
      <c r="J80" t="inlineStr">
        <is>
          <t>0</t>
        </is>
      </c>
      <c r="K80" t="inlineStr">
        <is>
          <t>Cousteau, Jacques, 1910-1997.</t>
        </is>
      </c>
      <c r="L80" t="inlineStr">
        <is>
          <t>New York : Danbury Press, 1973.</t>
        </is>
      </c>
      <c r="M80" t="inlineStr">
        <is>
          <t>1973</t>
        </is>
      </c>
      <c r="O80" t="inlineStr">
        <is>
          <t>eng</t>
        </is>
      </c>
      <c r="P80" t="inlineStr">
        <is>
          <t xml:space="preserve">xx </t>
        </is>
      </c>
      <c r="R80" t="inlineStr">
        <is>
          <t xml:space="preserve">QL </t>
        </is>
      </c>
      <c r="S80" t="n">
        <v>4</v>
      </c>
      <c r="T80" t="n">
        <v>50</v>
      </c>
      <c r="U80" t="inlineStr">
        <is>
          <t>2008-04-06</t>
        </is>
      </c>
      <c r="V80" t="inlineStr">
        <is>
          <t>2008-04-06</t>
        </is>
      </c>
      <c r="W80" t="inlineStr">
        <is>
          <t>1993-02-05</t>
        </is>
      </c>
      <c r="X80" t="inlineStr">
        <is>
          <t>1993-02-05</t>
        </is>
      </c>
      <c r="Y80" t="n">
        <v>287</v>
      </c>
      <c r="Z80" t="n">
        <v>283</v>
      </c>
      <c r="AA80" t="n">
        <v>327</v>
      </c>
      <c r="AB80" t="n">
        <v>4</v>
      </c>
      <c r="AC80" t="n">
        <v>4</v>
      </c>
      <c r="AD80" t="n">
        <v>2</v>
      </c>
      <c r="AE80" t="n">
        <v>4</v>
      </c>
      <c r="AF80" t="n">
        <v>2</v>
      </c>
      <c r="AG80" t="n">
        <v>3</v>
      </c>
      <c r="AH80" t="n">
        <v>0</v>
      </c>
      <c r="AI80" t="n">
        <v>1</v>
      </c>
      <c r="AJ80" t="n">
        <v>0</v>
      </c>
      <c r="AK80" t="n">
        <v>0</v>
      </c>
      <c r="AL80" t="n">
        <v>0</v>
      </c>
      <c r="AM80" t="n">
        <v>0</v>
      </c>
      <c r="AN80" t="n">
        <v>0</v>
      </c>
      <c r="AO80" t="n">
        <v>0</v>
      </c>
      <c r="AP80" t="inlineStr">
        <is>
          <t>No</t>
        </is>
      </c>
      <c r="AQ80" t="inlineStr">
        <is>
          <t>Yes</t>
        </is>
      </c>
      <c r="AR80">
        <f>HYPERLINK("http://catalog.hathitrust.org/Record/009804339","HathiTrust Record")</f>
        <v/>
      </c>
      <c r="AS80">
        <f>HYPERLINK("https://creighton-primo.hosted.exlibrisgroup.com/primo-explore/search?tab=default_tab&amp;search_scope=EVERYTHING&amp;vid=01CRU&amp;lang=en_US&amp;offset=0&amp;query=any,contains,991004229909702656","Catalog Record")</f>
        <v/>
      </c>
      <c r="AT80">
        <f>HYPERLINK("http://www.worldcat.org/oclc/975423","WorldCat Record")</f>
        <v/>
      </c>
      <c r="AU80" t="inlineStr">
        <is>
          <t>2908519411:eng</t>
        </is>
      </c>
      <c r="AV80" t="inlineStr">
        <is>
          <t>975423</t>
        </is>
      </c>
      <c r="AW80" t="inlineStr">
        <is>
          <t>991004229909702656</t>
        </is>
      </c>
      <c r="AX80" t="inlineStr">
        <is>
          <t>991004229909702656</t>
        </is>
      </c>
      <c r="AY80" t="inlineStr">
        <is>
          <t>2260176020002656</t>
        </is>
      </c>
      <c r="AZ80" t="inlineStr">
        <is>
          <t>BOOK</t>
        </is>
      </c>
      <c r="BC80" t="inlineStr">
        <is>
          <t>32285001484467</t>
        </is>
      </c>
      <c r="BD80" t="inlineStr">
        <is>
          <t>893888451</t>
        </is>
      </c>
    </row>
    <row r="81">
      <c r="A81" t="inlineStr">
        <is>
          <t>No</t>
        </is>
      </c>
      <c r="B81" t="inlineStr">
        <is>
          <t>QL122 .C63 1973</t>
        </is>
      </c>
      <c r="C81" t="inlineStr">
        <is>
          <t>0                      QL 0122000C  63          1973</t>
        </is>
      </c>
      <c r="D81" t="inlineStr">
        <is>
          <t>The Ocean World of Jacques Cousteau.</t>
        </is>
      </c>
      <c r="E81" t="inlineStr">
        <is>
          <t>V.7</t>
        </is>
      </c>
      <c r="F81" t="inlineStr">
        <is>
          <t>Yes</t>
        </is>
      </c>
      <c r="G81" t="inlineStr">
        <is>
          <t>1</t>
        </is>
      </c>
      <c r="H81" t="inlineStr">
        <is>
          <t>No</t>
        </is>
      </c>
      <c r="I81" t="inlineStr">
        <is>
          <t>No</t>
        </is>
      </c>
      <c r="J81" t="inlineStr">
        <is>
          <t>0</t>
        </is>
      </c>
      <c r="K81" t="inlineStr">
        <is>
          <t>Cousteau, Jacques, 1910-1997.</t>
        </is>
      </c>
      <c r="L81" t="inlineStr">
        <is>
          <t>New York : Danbury Press, 1973.</t>
        </is>
      </c>
      <c r="M81" t="inlineStr">
        <is>
          <t>1973</t>
        </is>
      </c>
      <c r="O81" t="inlineStr">
        <is>
          <t>eng</t>
        </is>
      </c>
      <c r="P81" t="inlineStr">
        <is>
          <t xml:space="preserve">xx </t>
        </is>
      </c>
      <c r="R81" t="inlineStr">
        <is>
          <t xml:space="preserve">QL </t>
        </is>
      </c>
      <c r="S81" t="n">
        <v>3</v>
      </c>
      <c r="T81" t="n">
        <v>50</v>
      </c>
      <c r="U81" t="inlineStr">
        <is>
          <t>1994-02-14</t>
        </is>
      </c>
      <c r="V81" t="inlineStr">
        <is>
          <t>2008-04-06</t>
        </is>
      </c>
      <c r="W81" t="inlineStr">
        <is>
          <t>1993-02-05</t>
        </is>
      </c>
      <c r="X81" t="inlineStr">
        <is>
          <t>1993-02-05</t>
        </is>
      </c>
      <c r="Y81" t="n">
        <v>287</v>
      </c>
      <c r="Z81" t="n">
        <v>283</v>
      </c>
      <c r="AA81" t="n">
        <v>327</v>
      </c>
      <c r="AB81" t="n">
        <v>4</v>
      </c>
      <c r="AC81" t="n">
        <v>4</v>
      </c>
      <c r="AD81" t="n">
        <v>2</v>
      </c>
      <c r="AE81" t="n">
        <v>4</v>
      </c>
      <c r="AF81" t="n">
        <v>2</v>
      </c>
      <c r="AG81" t="n">
        <v>3</v>
      </c>
      <c r="AH81" t="n">
        <v>0</v>
      </c>
      <c r="AI81" t="n">
        <v>1</v>
      </c>
      <c r="AJ81" t="n">
        <v>0</v>
      </c>
      <c r="AK81" t="n">
        <v>0</v>
      </c>
      <c r="AL81" t="n">
        <v>0</v>
      </c>
      <c r="AM81" t="n">
        <v>0</v>
      </c>
      <c r="AN81" t="n">
        <v>0</v>
      </c>
      <c r="AO81" t="n">
        <v>0</v>
      </c>
      <c r="AP81" t="inlineStr">
        <is>
          <t>No</t>
        </is>
      </c>
      <c r="AQ81" t="inlineStr">
        <is>
          <t>Yes</t>
        </is>
      </c>
      <c r="AR81">
        <f>HYPERLINK("http://catalog.hathitrust.org/Record/009804339","HathiTrust Record")</f>
        <v/>
      </c>
      <c r="AS81">
        <f>HYPERLINK("https://creighton-primo.hosted.exlibrisgroup.com/primo-explore/search?tab=default_tab&amp;search_scope=EVERYTHING&amp;vid=01CRU&amp;lang=en_US&amp;offset=0&amp;query=any,contains,991004229909702656","Catalog Record")</f>
        <v/>
      </c>
      <c r="AT81">
        <f>HYPERLINK("http://www.worldcat.org/oclc/975423","WorldCat Record")</f>
        <v/>
      </c>
      <c r="AU81" t="inlineStr">
        <is>
          <t>2908519411:eng</t>
        </is>
      </c>
      <c r="AV81" t="inlineStr">
        <is>
          <t>975423</t>
        </is>
      </c>
      <c r="AW81" t="inlineStr">
        <is>
          <t>991004229909702656</t>
        </is>
      </c>
      <c r="AX81" t="inlineStr">
        <is>
          <t>991004229909702656</t>
        </is>
      </c>
      <c r="AY81" t="inlineStr">
        <is>
          <t>2260176020002656</t>
        </is>
      </c>
      <c r="AZ81" t="inlineStr">
        <is>
          <t>BOOK</t>
        </is>
      </c>
      <c r="BC81" t="inlineStr">
        <is>
          <t>32285001484459</t>
        </is>
      </c>
      <c r="BD81" t="inlineStr">
        <is>
          <t>893888450</t>
        </is>
      </c>
    </row>
    <row r="82">
      <c r="A82" t="inlineStr">
        <is>
          <t>No</t>
        </is>
      </c>
      <c r="B82" t="inlineStr">
        <is>
          <t>QL122 .C63 1973</t>
        </is>
      </c>
      <c r="C82" t="inlineStr">
        <is>
          <t>0                      QL 0122000C  63          1973</t>
        </is>
      </c>
      <c r="D82" t="inlineStr">
        <is>
          <t>The Ocean World of Jacques Cousteau.</t>
        </is>
      </c>
      <c r="E82" t="inlineStr">
        <is>
          <t>V.5</t>
        </is>
      </c>
      <c r="F82" t="inlineStr">
        <is>
          <t>Yes</t>
        </is>
      </c>
      <c r="G82" t="inlineStr">
        <is>
          <t>1</t>
        </is>
      </c>
      <c r="H82" t="inlineStr">
        <is>
          <t>No</t>
        </is>
      </c>
      <c r="I82" t="inlineStr">
        <is>
          <t>No</t>
        </is>
      </c>
      <c r="J82" t="inlineStr">
        <is>
          <t>0</t>
        </is>
      </c>
      <c r="K82" t="inlineStr">
        <is>
          <t>Cousteau, Jacques, 1910-1997.</t>
        </is>
      </c>
      <c r="L82" t="inlineStr">
        <is>
          <t>New York : Danbury Press, 1973.</t>
        </is>
      </c>
      <c r="M82" t="inlineStr">
        <is>
          <t>1973</t>
        </is>
      </c>
      <c r="O82" t="inlineStr">
        <is>
          <t>eng</t>
        </is>
      </c>
      <c r="P82" t="inlineStr">
        <is>
          <t xml:space="preserve">xx </t>
        </is>
      </c>
      <c r="R82" t="inlineStr">
        <is>
          <t xml:space="preserve">QL </t>
        </is>
      </c>
      <c r="S82" t="n">
        <v>3</v>
      </c>
      <c r="T82" t="n">
        <v>50</v>
      </c>
      <c r="U82" t="inlineStr">
        <is>
          <t>2008-04-06</t>
        </is>
      </c>
      <c r="V82" t="inlineStr">
        <is>
          <t>2008-04-06</t>
        </is>
      </c>
      <c r="W82" t="inlineStr">
        <is>
          <t>1993-02-05</t>
        </is>
      </c>
      <c r="X82" t="inlineStr">
        <is>
          <t>1993-02-05</t>
        </is>
      </c>
      <c r="Y82" t="n">
        <v>287</v>
      </c>
      <c r="Z82" t="n">
        <v>283</v>
      </c>
      <c r="AA82" t="n">
        <v>327</v>
      </c>
      <c r="AB82" t="n">
        <v>4</v>
      </c>
      <c r="AC82" t="n">
        <v>4</v>
      </c>
      <c r="AD82" t="n">
        <v>2</v>
      </c>
      <c r="AE82" t="n">
        <v>4</v>
      </c>
      <c r="AF82" t="n">
        <v>2</v>
      </c>
      <c r="AG82" t="n">
        <v>3</v>
      </c>
      <c r="AH82" t="n">
        <v>0</v>
      </c>
      <c r="AI82" t="n">
        <v>1</v>
      </c>
      <c r="AJ82" t="n">
        <v>0</v>
      </c>
      <c r="AK82" t="n">
        <v>0</v>
      </c>
      <c r="AL82" t="n">
        <v>0</v>
      </c>
      <c r="AM82" t="n">
        <v>0</v>
      </c>
      <c r="AN82" t="n">
        <v>0</v>
      </c>
      <c r="AO82" t="n">
        <v>0</v>
      </c>
      <c r="AP82" t="inlineStr">
        <is>
          <t>No</t>
        </is>
      </c>
      <c r="AQ82" t="inlineStr">
        <is>
          <t>Yes</t>
        </is>
      </c>
      <c r="AR82">
        <f>HYPERLINK("http://catalog.hathitrust.org/Record/009804339","HathiTrust Record")</f>
        <v/>
      </c>
      <c r="AS82">
        <f>HYPERLINK("https://creighton-primo.hosted.exlibrisgroup.com/primo-explore/search?tab=default_tab&amp;search_scope=EVERYTHING&amp;vid=01CRU&amp;lang=en_US&amp;offset=0&amp;query=any,contains,991004229909702656","Catalog Record")</f>
        <v/>
      </c>
      <c r="AT82">
        <f>HYPERLINK("http://www.worldcat.org/oclc/975423","WorldCat Record")</f>
        <v/>
      </c>
      <c r="AU82" t="inlineStr">
        <is>
          <t>2908519411:eng</t>
        </is>
      </c>
      <c r="AV82" t="inlineStr">
        <is>
          <t>975423</t>
        </is>
      </c>
      <c r="AW82" t="inlineStr">
        <is>
          <t>991004229909702656</t>
        </is>
      </c>
      <c r="AX82" t="inlineStr">
        <is>
          <t>991004229909702656</t>
        </is>
      </c>
      <c r="AY82" t="inlineStr">
        <is>
          <t>2260176020002656</t>
        </is>
      </c>
      <c r="AZ82" t="inlineStr">
        <is>
          <t>BOOK</t>
        </is>
      </c>
      <c r="BC82" t="inlineStr">
        <is>
          <t>32285001484475</t>
        </is>
      </c>
      <c r="BD82" t="inlineStr">
        <is>
          <t>893882218</t>
        </is>
      </c>
    </row>
    <row r="83">
      <c r="A83" t="inlineStr">
        <is>
          <t>No</t>
        </is>
      </c>
      <c r="B83" t="inlineStr">
        <is>
          <t>QL122 .C63 1973</t>
        </is>
      </c>
      <c r="C83" t="inlineStr">
        <is>
          <t>0                      QL 0122000C  63          1973</t>
        </is>
      </c>
      <c r="D83" t="inlineStr">
        <is>
          <t>The Ocean World of Jacques Cousteau.</t>
        </is>
      </c>
      <c r="E83" t="inlineStr">
        <is>
          <t>V.17</t>
        </is>
      </c>
      <c r="F83" t="inlineStr">
        <is>
          <t>Yes</t>
        </is>
      </c>
      <c r="G83" t="inlineStr">
        <is>
          <t>1</t>
        </is>
      </c>
      <c r="H83" t="inlineStr">
        <is>
          <t>No</t>
        </is>
      </c>
      <c r="I83" t="inlineStr">
        <is>
          <t>No</t>
        </is>
      </c>
      <c r="J83" t="inlineStr">
        <is>
          <t>0</t>
        </is>
      </c>
      <c r="K83" t="inlineStr">
        <is>
          <t>Cousteau, Jacques, 1910-1997.</t>
        </is>
      </c>
      <c r="L83" t="inlineStr">
        <is>
          <t>New York : Danbury Press, 1973.</t>
        </is>
      </c>
      <c r="M83" t="inlineStr">
        <is>
          <t>1973</t>
        </is>
      </c>
      <c r="O83" t="inlineStr">
        <is>
          <t>eng</t>
        </is>
      </c>
      <c r="P83" t="inlineStr">
        <is>
          <t xml:space="preserve">xx </t>
        </is>
      </c>
      <c r="R83" t="inlineStr">
        <is>
          <t xml:space="preserve">QL </t>
        </is>
      </c>
      <c r="S83" t="n">
        <v>0</v>
      </c>
      <c r="T83" t="n">
        <v>50</v>
      </c>
      <c r="V83" t="inlineStr">
        <is>
          <t>2008-04-06</t>
        </is>
      </c>
      <c r="W83" t="inlineStr">
        <is>
          <t>1993-02-05</t>
        </is>
      </c>
      <c r="X83" t="inlineStr">
        <is>
          <t>1993-02-05</t>
        </is>
      </c>
      <c r="Y83" t="n">
        <v>287</v>
      </c>
      <c r="Z83" t="n">
        <v>283</v>
      </c>
      <c r="AA83" t="n">
        <v>327</v>
      </c>
      <c r="AB83" t="n">
        <v>4</v>
      </c>
      <c r="AC83" t="n">
        <v>4</v>
      </c>
      <c r="AD83" t="n">
        <v>2</v>
      </c>
      <c r="AE83" t="n">
        <v>4</v>
      </c>
      <c r="AF83" t="n">
        <v>2</v>
      </c>
      <c r="AG83" t="n">
        <v>3</v>
      </c>
      <c r="AH83" t="n">
        <v>0</v>
      </c>
      <c r="AI83" t="n">
        <v>1</v>
      </c>
      <c r="AJ83" t="n">
        <v>0</v>
      </c>
      <c r="AK83" t="n">
        <v>0</v>
      </c>
      <c r="AL83" t="n">
        <v>0</v>
      </c>
      <c r="AM83" t="n">
        <v>0</v>
      </c>
      <c r="AN83" t="n">
        <v>0</v>
      </c>
      <c r="AO83" t="n">
        <v>0</v>
      </c>
      <c r="AP83" t="inlineStr">
        <is>
          <t>No</t>
        </is>
      </c>
      <c r="AQ83" t="inlineStr">
        <is>
          <t>Yes</t>
        </is>
      </c>
      <c r="AR83">
        <f>HYPERLINK("http://catalog.hathitrust.org/Record/009804339","HathiTrust Record")</f>
        <v/>
      </c>
      <c r="AS83">
        <f>HYPERLINK("https://creighton-primo.hosted.exlibrisgroup.com/primo-explore/search?tab=default_tab&amp;search_scope=EVERYTHING&amp;vid=01CRU&amp;lang=en_US&amp;offset=0&amp;query=any,contains,991004229909702656","Catalog Record")</f>
        <v/>
      </c>
      <c r="AT83">
        <f>HYPERLINK("http://www.worldcat.org/oclc/975423","WorldCat Record")</f>
        <v/>
      </c>
      <c r="AU83" t="inlineStr">
        <is>
          <t>2908519411:eng</t>
        </is>
      </c>
      <c r="AV83" t="inlineStr">
        <is>
          <t>975423</t>
        </is>
      </c>
      <c r="AW83" t="inlineStr">
        <is>
          <t>991004229909702656</t>
        </is>
      </c>
      <c r="AX83" t="inlineStr">
        <is>
          <t>991004229909702656</t>
        </is>
      </c>
      <c r="AY83" t="inlineStr">
        <is>
          <t>2260176020002656</t>
        </is>
      </c>
      <c r="AZ83" t="inlineStr">
        <is>
          <t>BOOK</t>
        </is>
      </c>
      <c r="BC83" t="inlineStr">
        <is>
          <t>32285001484376</t>
        </is>
      </c>
      <c r="BD83" t="inlineStr">
        <is>
          <t>893888452</t>
        </is>
      </c>
    </row>
    <row r="84">
      <c r="A84" t="inlineStr">
        <is>
          <t>No</t>
        </is>
      </c>
      <c r="B84" t="inlineStr">
        <is>
          <t>QL122 .C63 1973</t>
        </is>
      </c>
      <c r="C84" t="inlineStr">
        <is>
          <t>0                      QL 0122000C  63          1973</t>
        </is>
      </c>
      <c r="D84" t="inlineStr">
        <is>
          <t>The Ocean World of Jacques Cousteau.</t>
        </is>
      </c>
      <c r="E84" t="inlineStr">
        <is>
          <t>V.14</t>
        </is>
      </c>
      <c r="F84" t="inlineStr">
        <is>
          <t>Yes</t>
        </is>
      </c>
      <c r="G84" t="inlineStr">
        <is>
          <t>1</t>
        </is>
      </c>
      <c r="H84" t="inlineStr">
        <is>
          <t>No</t>
        </is>
      </c>
      <c r="I84" t="inlineStr">
        <is>
          <t>No</t>
        </is>
      </c>
      <c r="J84" t="inlineStr">
        <is>
          <t>0</t>
        </is>
      </c>
      <c r="K84" t="inlineStr">
        <is>
          <t>Cousteau, Jacques, 1910-1997.</t>
        </is>
      </c>
      <c r="L84" t="inlineStr">
        <is>
          <t>New York : Danbury Press, 1973.</t>
        </is>
      </c>
      <c r="M84" t="inlineStr">
        <is>
          <t>1973</t>
        </is>
      </c>
      <c r="O84" t="inlineStr">
        <is>
          <t>eng</t>
        </is>
      </c>
      <c r="P84" t="inlineStr">
        <is>
          <t xml:space="preserve">xx </t>
        </is>
      </c>
      <c r="R84" t="inlineStr">
        <is>
          <t xml:space="preserve">QL </t>
        </is>
      </c>
      <c r="S84" t="n">
        <v>8</v>
      </c>
      <c r="T84" t="n">
        <v>50</v>
      </c>
      <c r="U84" t="inlineStr">
        <is>
          <t>2001-03-27</t>
        </is>
      </c>
      <c r="V84" t="inlineStr">
        <is>
          <t>2008-04-06</t>
        </is>
      </c>
      <c r="W84" t="inlineStr">
        <is>
          <t>1993-02-05</t>
        </is>
      </c>
      <c r="X84" t="inlineStr">
        <is>
          <t>1993-02-05</t>
        </is>
      </c>
      <c r="Y84" t="n">
        <v>287</v>
      </c>
      <c r="Z84" t="n">
        <v>283</v>
      </c>
      <c r="AA84" t="n">
        <v>327</v>
      </c>
      <c r="AB84" t="n">
        <v>4</v>
      </c>
      <c r="AC84" t="n">
        <v>4</v>
      </c>
      <c r="AD84" t="n">
        <v>2</v>
      </c>
      <c r="AE84" t="n">
        <v>4</v>
      </c>
      <c r="AF84" t="n">
        <v>2</v>
      </c>
      <c r="AG84" t="n">
        <v>3</v>
      </c>
      <c r="AH84" t="n">
        <v>0</v>
      </c>
      <c r="AI84" t="n">
        <v>1</v>
      </c>
      <c r="AJ84" t="n">
        <v>0</v>
      </c>
      <c r="AK84" t="n">
        <v>0</v>
      </c>
      <c r="AL84" t="n">
        <v>0</v>
      </c>
      <c r="AM84" t="n">
        <v>0</v>
      </c>
      <c r="AN84" t="n">
        <v>0</v>
      </c>
      <c r="AO84" t="n">
        <v>0</v>
      </c>
      <c r="AP84" t="inlineStr">
        <is>
          <t>No</t>
        </is>
      </c>
      <c r="AQ84" t="inlineStr">
        <is>
          <t>Yes</t>
        </is>
      </c>
      <c r="AR84">
        <f>HYPERLINK("http://catalog.hathitrust.org/Record/009804339","HathiTrust Record")</f>
        <v/>
      </c>
      <c r="AS84">
        <f>HYPERLINK("https://creighton-primo.hosted.exlibrisgroup.com/primo-explore/search?tab=default_tab&amp;search_scope=EVERYTHING&amp;vid=01CRU&amp;lang=en_US&amp;offset=0&amp;query=any,contains,991004229909702656","Catalog Record")</f>
        <v/>
      </c>
      <c r="AT84">
        <f>HYPERLINK("http://www.worldcat.org/oclc/975423","WorldCat Record")</f>
        <v/>
      </c>
      <c r="AU84" t="inlineStr">
        <is>
          <t>2908519411:eng</t>
        </is>
      </c>
      <c r="AV84" t="inlineStr">
        <is>
          <t>975423</t>
        </is>
      </c>
      <c r="AW84" t="inlineStr">
        <is>
          <t>991004229909702656</t>
        </is>
      </c>
      <c r="AX84" t="inlineStr">
        <is>
          <t>991004229909702656</t>
        </is>
      </c>
      <c r="AY84" t="inlineStr">
        <is>
          <t>2260176020002656</t>
        </is>
      </c>
      <c r="AZ84" t="inlineStr">
        <is>
          <t>BOOK</t>
        </is>
      </c>
      <c r="BC84" t="inlineStr">
        <is>
          <t>32285001482735</t>
        </is>
      </c>
      <c r="BD84" t="inlineStr">
        <is>
          <t>893875842</t>
        </is>
      </c>
    </row>
    <row r="85">
      <c r="A85" t="inlineStr">
        <is>
          <t>No</t>
        </is>
      </c>
      <c r="B85" t="inlineStr">
        <is>
          <t>QL122 .C63 1973</t>
        </is>
      </c>
      <c r="C85" t="inlineStr">
        <is>
          <t>0                      QL 0122000C  63          1973</t>
        </is>
      </c>
      <c r="D85" t="inlineStr">
        <is>
          <t>The Ocean World of Jacques Cousteau.</t>
        </is>
      </c>
      <c r="E85" t="inlineStr">
        <is>
          <t>V.18</t>
        </is>
      </c>
      <c r="F85" t="inlineStr">
        <is>
          <t>Yes</t>
        </is>
      </c>
      <c r="G85" t="inlineStr">
        <is>
          <t>1</t>
        </is>
      </c>
      <c r="H85" t="inlineStr">
        <is>
          <t>No</t>
        </is>
      </c>
      <c r="I85" t="inlineStr">
        <is>
          <t>No</t>
        </is>
      </c>
      <c r="J85" t="inlineStr">
        <is>
          <t>0</t>
        </is>
      </c>
      <c r="K85" t="inlineStr">
        <is>
          <t>Cousteau, Jacques, 1910-1997.</t>
        </is>
      </c>
      <c r="L85" t="inlineStr">
        <is>
          <t>New York : Danbury Press, 1973.</t>
        </is>
      </c>
      <c r="M85" t="inlineStr">
        <is>
          <t>1973</t>
        </is>
      </c>
      <c r="O85" t="inlineStr">
        <is>
          <t>eng</t>
        </is>
      </c>
      <c r="P85" t="inlineStr">
        <is>
          <t xml:space="preserve">xx </t>
        </is>
      </c>
      <c r="R85" t="inlineStr">
        <is>
          <t xml:space="preserve">QL </t>
        </is>
      </c>
      <c r="S85" t="n">
        <v>1</v>
      </c>
      <c r="T85" t="n">
        <v>50</v>
      </c>
      <c r="V85" t="inlineStr">
        <is>
          <t>2008-04-06</t>
        </is>
      </c>
      <c r="W85" t="inlineStr">
        <is>
          <t>1993-02-05</t>
        </is>
      </c>
      <c r="X85" t="inlineStr">
        <is>
          <t>1993-02-05</t>
        </is>
      </c>
      <c r="Y85" t="n">
        <v>287</v>
      </c>
      <c r="Z85" t="n">
        <v>283</v>
      </c>
      <c r="AA85" t="n">
        <v>327</v>
      </c>
      <c r="AB85" t="n">
        <v>4</v>
      </c>
      <c r="AC85" t="n">
        <v>4</v>
      </c>
      <c r="AD85" t="n">
        <v>2</v>
      </c>
      <c r="AE85" t="n">
        <v>4</v>
      </c>
      <c r="AF85" t="n">
        <v>2</v>
      </c>
      <c r="AG85" t="n">
        <v>3</v>
      </c>
      <c r="AH85" t="n">
        <v>0</v>
      </c>
      <c r="AI85" t="n">
        <v>1</v>
      </c>
      <c r="AJ85" t="n">
        <v>0</v>
      </c>
      <c r="AK85" t="n">
        <v>0</v>
      </c>
      <c r="AL85" t="n">
        <v>0</v>
      </c>
      <c r="AM85" t="n">
        <v>0</v>
      </c>
      <c r="AN85" t="n">
        <v>0</v>
      </c>
      <c r="AO85" t="n">
        <v>0</v>
      </c>
      <c r="AP85" t="inlineStr">
        <is>
          <t>No</t>
        </is>
      </c>
      <c r="AQ85" t="inlineStr">
        <is>
          <t>Yes</t>
        </is>
      </c>
      <c r="AR85">
        <f>HYPERLINK("http://catalog.hathitrust.org/Record/009804339","HathiTrust Record")</f>
        <v/>
      </c>
      <c r="AS85">
        <f>HYPERLINK("https://creighton-primo.hosted.exlibrisgroup.com/primo-explore/search?tab=default_tab&amp;search_scope=EVERYTHING&amp;vid=01CRU&amp;lang=en_US&amp;offset=0&amp;query=any,contains,991004229909702656","Catalog Record")</f>
        <v/>
      </c>
      <c r="AT85">
        <f>HYPERLINK("http://www.worldcat.org/oclc/975423","WorldCat Record")</f>
        <v/>
      </c>
      <c r="AU85" t="inlineStr">
        <is>
          <t>2908519411:eng</t>
        </is>
      </c>
      <c r="AV85" t="inlineStr">
        <is>
          <t>975423</t>
        </is>
      </c>
      <c r="AW85" t="inlineStr">
        <is>
          <t>991004229909702656</t>
        </is>
      </c>
      <c r="AX85" t="inlineStr">
        <is>
          <t>991004229909702656</t>
        </is>
      </c>
      <c r="AY85" t="inlineStr">
        <is>
          <t>2260176020002656</t>
        </is>
      </c>
      <c r="AZ85" t="inlineStr">
        <is>
          <t>BOOK</t>
        </is>
      </c>
      <c r="BC85" t="inlineStr">
        <is>
          <t>32285001484368</t>
        </is>
      </c>
      <c r="BD85" t="inlineStr">
        <is>
          <t>893882220</t>
        </is>
      </c>
    </row>
    <row r="86">
      <c r="A86" t="inlineStr">
        <is>
          <t>No</t>
        </is>
      </c>
      <c r="B86" t="inlineStr">
        <is>
          <t>QL122 .G36 1998</t>
        </is>
      </c>
      <c r="C86" t="inlineStr">
        <is>
          <t>0                      QL 0122000G  36          1998</t>
        </is>
      </c>
      <c r="D86" t="inlineStr">
        <is>
          <t>Secrets of the sea / [written by Linda Gamlin]</t>
        </is>
      </c>
      <c r="F86" t="inlineStr">
        <is>
          <t>No</t>
        </is>
      </c>
      <c r="G86" t="inlineStr">
        <is>
          <t>1</t>
        </is>
      </c>
      <c r="H86" t="inlineStr">
        <is>
          <t>No</t>
        </is>
      </c>
      <c r="I86" t="inlineStr">
        <is>
          <t>No</t>
        </is>
      </c>
      <c r="J86" t="inlineStr">
        <is>
          <t>0</t>
        </is>
      </c>
      <c r="K86" t="inlineStr">
        <is>
          <t>Gamlin, Linda.</t>
        </is>
      </c>
      <c r="L86" t="inlineStr">
        <is>
          <t>London : Reader's Digest Association, 1998.</t>
        </is>
      </c>
      <c r="M86" t="inlineStr">
        <is>
          <t>1998</t>
        </is>
      </c>
      <c r="O86" t="inlineStr">
        <is>
          <t>eng</t>
        </is>
      </c>
      <c r="P86" t="inlineStr">
        <is>
          <t>enk</t>
        </is>
      </c>
      <c r="Q86" t="inlineStr">
        <is>
          <t>The Earth, it wonders, its secrets</t>
        </is>
      </c>
      <c r="R86" t="inlineStr">
        <is>
          <t xml:space="preserve">QL </t>
        </is>
      </c>
      <c r="S86" t="n">
        <v>15</v>
      </c>
      <c r="T86" t="n">
        <v>15</v>
      </c>
      <c r="U86" t="inlineStr">
        <is>
          <t>2010-08-24</t>
        </is>
      </c>
      <c r="V86" t="inlineStr">
        <is>
          <t>2010-08-24</t>
        </is>
      </c>
      <c r="W86" t="inlineStr">
        <is>
          <t>1998-09-08</t>
        </is>
      </c>
      <c r="X86" t="inlineStr">
        <is>
          <t>1998-09-08</t>
        </is>
      </c>
      <c r="Y86" t="n">
        <v>106</v>
      </c>
      <c r="Z86" t="n">
        <v>106</v>
      </c>
      <c r="AA86" t="n">
        <v>106</v>
      </c>
      <c r="AB86" t="n">
        <v>1</v>
      </c>
      <c r="AC86" t="n">
        <v>1</v>
      </c>
      <c r="AD86" t="n">
        <v>0</v>
      </c>
      <c r="AE86" t="n">
        <v>0</v>
      </c>
      <c r="AF86" t="n">
        <v>0</v>
      </c>
      <c r="AG86" t="n">
        <v>0</v>
      </c>
      <c r="AH86" t="n">
        <v>0</v>
      </c>
      <c r="AI86" t="n">
        <v>0</v>
      </c>
      <c r="AJ86" t="n">
        <v>0</v>
      </c>
      <c r="AK86" t="n">
        <v>0</v>
      </c>
      <c r="AL86" t="n">
        <v>0</v>
      </c>
      <c r="AM86" t="n">
        <v>0</v>
      </c>
      <c r="AN86" t="n">
        <v>0</v>
      </c>
      <c r="AO86" t="n">
        <v>0</v>
      </c>
      <c r="AP86" t="inlineStr">
        <is>
          <t>No</t>
        </is>
      </c>
      <c r="AQ86" t="inlineStr">
        <is>
          <t>No</t>
        </is>
      </c>
      <c r="AS86">
        <f>HYPERLINK("https://creighton-primo.hosted.exlibrisgroup.com/primo-explore/search?tab=default_tab&amp;search_scope=EVERYTHING&amp;vid=01CRU&amp;lang=en_US&amp;offset=0&amp;query=any,contains,991002957489702656","Catalog Record")</f>
        <v/>
      </c>
      <c r="AT86">
        <f>HYPERLINK("http://www.worldcat.org/oclc/39501785","WorldCat Record")</f>
        <v/>
      </c>
      <c r="AU86" t="inlineStr">
        <is>
          <t>3755176083:eng</t>
        </is>
      </c>
      <c r="AV86" t="inlineStr">
        <is>
          <t>39501785</t>
        </is>
      </c>
      <c r="AW86" t="inlineStr">
        <is>
          <t>991002957489702656</t>
        </is>
      </c>
      <c r="AX86" t="inlineStr">
        <is>
          <t>991002957489702656</t>
        </is>
      </c>
      <c r="AY86" t="inlineStr">
        <is>
          <t>2263651200002656</t>
        </is>
      </c>
      <c r="AZ86" t="inlineStr">
        <is>
          <t>BOOK</t>
        </is>
      </c>
      <c r="BB86" t="inlineStr">
        <is>
          <t>9780762101092</t>
        </is>
      </c>
      <c r="BC86" t="inlineStr">
        <is>
          <t>32285003466561</t>
        </is>
      </c>
      <c r="BD86" t="inlineStr">
        <is>
          <t>893409756</t>
        </is>
      </c>
    </row>
    <row r="87">
      <c r="A87" t="inlineStr">
        <is>
          <t>No</t>
        </is>
      </c>
      <c r="B87" t="inlineStr">
        <is>
          <t>QL122.2 .H3668 2005</t>
        </is>
      </c>
      <c r="C87" t="inlineStr">
        <is>
          <t>0                      QL 0122200H  3668        2005</t>
        </is>
      </c>
      <c r="D87" t="inlineStr">
        <is>
          <t>Out of the blue / Paul Horsman ; photography by Seapics.com.</t>
        </is>
      </c>
      <c r="F87" t="inlineStr">
        <is>
          <t>No</t>
        </is>
      </c>
      <c r="G87" t="inlineStr">
        <is>
          <t>1</t>
        </is>
      </c>
      <c r="H87" t="inlineStr">
        <is>
          <t>No</t>
        </is>
      </c>
      <c r="I87" t="inlineStr">
        <is>
          <t>No</t>
        </is>
      </c>
      <c r="J87" t="inlineStr">
        <is>
          <t>0</t>
        </is>
      </c>
      <c r="K87" t="inlineStr">
        <is>
          <t>Horsman, Paul V.</t>
        </is>
      </c>
      <c r="L87" t="inlineStr">
        <is>
          <t>Cambridge, Mass. : MIT Press, c2005.</t>
        </is>
      </c>
      <c r="M87" t="inlineStr">
        <is>
          <t>2005</t>
        </is>
      </c>
      <c r="O87" t="inlineStr">
        <is>
          <t>eng</t>
        </is>
      </c>
      <c r="P87" t="inlineStr">
        <is>
          <t>mau</t>
        </is>
      </c>
      <c r="R87" t="inlineStr">
        <is>
          <t xml:space="preserve">QL </t>
        </is>
      </c>
      <c r="S87" t="n">
        <v>5</v>
      </c>
      <c r="T87" t="n">
        <v>5</v>
      </c>
      <c r="U87" t="inlineStr">
        <is>
          <t>2010-03-26</t>
        </is>
      </c>
      <c r="V87" t="inlineStr">
        <is>
          <t>2010-03-26</t>
        </is>
      </c>
      <c r="W87" t="inlineStr">
        <is>
          <t>2008-06-04</t>
        </is>
      </c>
      <c r="X87" t="inlineStr">
        <is>
          <t>2008-06-04</t>
        </is>
      </c>
      <c r="Y87" t="n">
        <v>185</v>
      </c>
      <c r="Z87" t="n">
        <v>153</v>
      </c>
      <c r="AA87" t="n">
        <v>177</v>
      </c>
      <c r="AB87" t="n">
        <v>1</v>
      </c>
      <c r="AC87" t="n">
        <v>1</v>
      </c>
      <c r="AD87" t="n">
        <v>3</v>
      </c>
      <c r="AE87" t="n">
        <v>4</v>
      </c>
      <c r="AF87" t="n">
        <v>1</v>
      </c>
      <c r="AG87" t="n">
        <v>2</v>
      </c>
      <c r="AH87" t="n">
        <v>0</v>
      </c>
      <c r="AI87" t="n">
        <v>0</v>
      </c>
      <c r="AJ87" t="n">
        <v>2</v>
      </c>
      <c r="AK87" t="n">
        <v>2</v>
      </c>
      <c r="AL87" t="n">
        <v>0</v>
      </c>
      <c r="AM87" t="n">
        <v>0</v>
      </c>
      <c r="AN87" t="n">
        <v>0</v>
      </c>
      <c r="AO87" t="n">
        <v>0</v>
      </c>
      <c r="AP87" t="inlineStr">
        <is>
          <t>No</t>
        </is>
      </c>
      <c r="AQ87" t="inlineStr">
        <is>
          <t>Yes</t>
        </is>
      </c>
      <c r="AR87">
        <f>HYPERLINK("http://catalog.hathitrust.org/Record/009441793","HathiTrust Record")</f>
        <v/>
      </c>
      <c r="AS87">
        <f>HYPERLINK("https://creighton-primo.hosted.exlibrisgroup.com/primo-explore/search?tab=default_tab&amp;search_scope=EVERYTHING&amp;vid=01CRU&amp;lang=en_US&amp;offset=0&amp;query=any,contains,991005221899702656","Catalog Record")</f>
        <v/>
      </c>
      <c r="AT87">
        <f>HYPERLINK("http://www.worldcat.org/oclc/57669579","WorldCat Record")</f>
        <v/>
      </c>
      <c r="AU87" t="inlineStr">
        <is>
          <t>134978586:eng</t>
        </is>
      </c>
      <c r="AV87" t="inlineStr">
        <is>
          <t>57669579</t>
        </is>
      </c>
      <c r="AW87" t="inlineStr">
        <is>
          <t>991005221899702656</t>
        </is>
      </c>
      <c r="AX87" t="inlineStr">
        <is>
          <t>991005221899702656</t>
        </is>
      </c>
      <c r="AY87" t="inlineStr">
        <is>
          <t>2256259640002656</t>
        </is>
      </c>
      <c r="AZ87" t="inlineStr">
        <is>
          <t>BOOK</t>
        </is>
      </c>
      <c r="BB87" t="inlineStr">
        <is>
          <t>9780262083416</t>
        </is>
      </c>
      <c r="BC87" t="inlineStr">
        <is>
          <t>32285005442198</t>
        </is>
      </c>
      <c r="BD87" t="inlineStr">
        <is>
          <t>893613328</t>
        </is>
      </c>
    </row>
    <row r="88">
      <c r="A88" t="inlineStr">
        <is>
          <t>No</t>
        </is>
      </c>
      <c r="B88" t="inlineStr">
        <is>
          <t>QL123 .T64 1996</t>
        </is>
      </c>
      <c r="C88" t="inlineStr">
        <is>
          <t>0                      QL 0123000T  64          1996</t>
        </is>
      </c>
      <c r="D88" t="inlineStr">
        <is>
          <t>Coastal marine zooplankton : a practical manual for students / C.D. Todd, M.S. Laverack &amp; G.A. Boxshall.</t>
        </is>
      </c>
      <c r="F88" t="inlineStr">
        <is>
          <t>No</t>
        </is>
      </c>
      <c r="G88" t="inlineStr">
        <is>
          <t>1</t>
        </is>
      </c>
      <c r="H88" t="inlineStr">
        <is>
          <t>No</t>
        </is>
      </c>
      <c r="I88" t="inlineStr">
        <is>
          <t>No</t>
        </is>
      </c>
      <c r="J88" t="inlineStr">
        <is>
          <t>0</t>
        </is>
      </c>
      <c r="K88" t="inlineStr">
        <is>
          <t>Todd, C. D.</t>
        </is>
      </c>
      <c r="L88" t="inlineStr">
        <is>
          <t>Cambridge ; New York : Cambridge University Press, 1996.</t>
        </is>
      </c>
      <c r="M88" t="inlineStr">
        <is>
          <t>1996</t>
        </is>
      </c>
      <c r="N88" t="inlineStr">
        <is>
          <t>2nd ed.</t>
        </is>
      </c>
      <c r="O88" t="inlineStr">
        <is>
          <t>eng</t>
        </is>
      </c>
      <c r="P88" t="inlineStr">
        <is>
          <t>nyu</t>
        </is>
      </c>
      <c r="R88" t="inlineStr">
        <is>
          <t xml:space="preserve">QL </t>
        </is>
      </c>
      <c r="S88" t="n">
        <v>24</v>
      </c>
      <c r="T88" t="n">
        <v>24</v>
      </c>
      <c r="U88" t="inlineStr">
        <is>
          <t>2009-12-01</t>
        </is>
      </c>
      <c r="V88" t="inlineStr">
        <is>
          <t>2009-12-01</t>
        </is>
      </c>
      <c r="W88" t="inlineStr">
        <is>
          <t>1996-07-15</t>
        </is>
      </c>
      <c r="X88" t="inlineStr">
        <is>
          <t>1996-07-15</t>
        </is>
      </c>
      <c r="Y88" t="n">
        <v>291</v>
      </c>
      <c r="Z88" t="n">
        <v>181</v>
      </c>
      <c r="AA88" t="n">
        <v>315</v>
      </c>
      <c r="AB88" t="n">
        <v>1</v>
      </c>
      <c r="AC88" t="n">
        <v>2</v>
      </c>
      <c r="AD88" t="n">
        <v>7</v>
      </c>
      <c r="AE88" t="n">
        <v>13</v>
      </c>
      <c r="AF88" t="n">
        <v>4</v>
      </c>
      <c r="AG88" t="n">
        <v>6</v>
      </c>
      <c r="AH88" t="n">
        <v>2</v>
      </c>
      <c r="AI88" t="n">
        <v>3</v>
      </c>
      <c r="AJ88" t="n">
        <v>4</v>
      </c>
      <c r="AK88" t="n">
        <v>8</v>
      </c>
      <c r="AL88" t="n">
        <v>0</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HYPERLINK("https://creighton-primo.hosted.exlibrisgroup.com/primo-explore/search?tab=default_tab&amp;search_scope=EVERYTHING&amp;vid=01CRU&amp;lang=en_US&amp;offset=0&amp;query=any,contains,991002531589702656","Catalog Record")</f>
        <v/>
      </c>
      <c r="AT88">
        <f>HYPERLINK("http://www.worldcat.org/oclc/32893739","WorldCat Record")</f>
        <v/>
      </c>
      <c r="AU88" t="inlineStr">
        <is>
          <t>836729287:eng</t>
        </is>
      </c>
      <c r="AV88" t="inlineStr">
        <is>
          <t>32893739</t>
        </is>
      </c>
      <c r="AW88" t="inlineStr">
        <is>
          <t>991002531589702656</t>
        </is>
      </c>
      <c r="AX88" t="inlineStr">
        <is>
          <t>991002531589702656</t>
        </is>
      </c>
      <c r="AY88" t="inlineStr">
        <is>
          <t>2258121680002656</t>
        </is>
      </c>
      <c r="AZ88" t="inlineStr">
        <is>
          <t>BOOK</t>
        </is>
      </c>
      <c r="BB88" t="inlineStr">
        <is>
          <t>9780521555333</t>
        </is>
      </c>
      <c r="BC88" t="inlineStr">
        <is>
          <t>32285002212339</t>
        </is>
      </c>
      <c r="BD88" t="inlineStr">
        <is>
          <t>893251339</t>
        </is>
      </c>
    </row>
    <row r="89">
      <c r="A89" t="inlineStr">
        <is>
          <t>No</t>
        </is>
      </c>
      <c r="B89" t="inlineStr">
        <is>
          <t>QL123 .Z62</t>
        </is>
      </c>
      <c r="C89" t="inlineStr">
        <is>
          <t>0                      QL 0123000Z  62</t>
        </is>
      </c>
      <c r="D89" t="inlineStr">
        <is>
          <t>Zoogeography and diversity of plankton / edited by S. van der Spoel and A. C. Pierrot-Bults.</t>
        </is>
      </c>
      <c r="F89" t="inlineStr">
        <is>
          <t>No</t>
        </is>
      </c>
      <c r="G89" t="inlineStr">
        <is>
          <t>1</t>
        </is>
      </c>
      <c r="H89" t="inlineStr">
        <is>
          <t>No</t>
        </is>
      </c>
      <c r="I89" t="inlineStr">
        <is>
          <t>No</t>
        </is>
      </c>
      <c r="J89" t="inlineStr">
        <is>
          <t>0</t>
        </is>
      </c>
      <c r="L89" t="inlineStr">
        <is>
          <t>New York : Halsted Press, c1979.</t>
        </is>
      </c>
      <c r="M89" t="inlineStr">
        <is>
          <t>1979</t>
        </is>
      </c>
      <c r="O89" t="inlineStr">
        <is>
          <t>eng</t>
        </is>
      </c>
      <c r="P89" t="inlineStr">
        <is>
          <t>nyu</t>
        </is>
      </c>
      <c r="R89" t="inlineStr">
        <is>
          <t xml:space="preserve">QL </t>
        </is>
      </c>
      <c r="S89" t="n">
        <v>9</v>
      </c>
      <c r="T89" t="n">
        <v>9</v>
      </c>
      <c r="U89" t="inlineStr">
        <is>
          <t>2008-03-13</t>
        </is>
      </c>
      <c r="V89" t="inlineStr">
        <is>
          <t>2008-03-13</t>
        </is>
      </c>
      <c r="W89" t="inlineStr">
        <is>
          <t>1993-05-21</t>
        </is>
      </c>
      <c r="X89" t="inlineStr">
        <is>
          <t>1993-05-21</t>
        </is>
      </c>
      <c r="Y89" t="n">
        <v>243</v>
      </c>
      <c r="Z89" t="n">
        <v>207</v>
      </c>
      <c r="AA89" t="n">
        <v>219</v>
      </c>
      <c r="AB89" t="n">
        <v>3</v>
      </c>
      <c r="AC89" t="n">
        <v>3</v>
      </c>
      <c r="AD89" t="n">
        <v>5</v>
      </c>
      <c r="AE89" t="n">
        <v>5</v>
      </c>
      <c r="AF89" t="n">
        <v>0</v>
      </c>
      <c r="AG89" t="n">
        <v>0</v>
      </c>
      <c r="AH89" t="n">
        <v>1</v>
      </c>
      <c r="AI89" t="n">
        <v>1</v>
      </c>
      <c r="AJ89" t="n">
        <v>2</v>
      </c>
      <c r="AK89" t="n">
        <v>2</v>
      </c>
      <c r="AL89" t="n">
        <v>2</v>
      </c>
      <c r="AM89" t="n">
        <v>2</v>
      </c>
      <c r="AN89" t="n">
        <v>0</v>
      </c>
      <c r="AO89" t="n">
        <v>0</v>
      </c>
      <c r="AP89" t="inlineStr">
        <is>
          <t>No</t>
        </is>
      </c>
      <c r="AQ89" t="inlineStr">
        <is>
          <t>Yes</t>
        </is>
      </c>
      <c r="AR89">
        <f>HYPERLINK("http://catalog.hathitrust.org/Record/000020040","HathiTrust Record")</f>
        <v/>
      </c>
      <c r="AS89">
        <f>HYPERLINK("https://creighton-primo.hosted.exlibrisgroup.com/primo-explore/search?tab=default_tab&amp;search_scope=EVERYTHING&amp;vid=01CRU&amp;lang=en_US&amp;offset=0&amp;query=any,contains,991004802359702656","Catalog Record")</f>
        <v/>
      </c>
      <c r="AT89">
        <f>HYPERLINK("http://www.worldcat.org/oclc/5219667","WorldCat Record")</f>
        <v/>
      </c>
      <c r="AU89" t="inlineStr">
        <is>
          <t>355912531:eng</t>
        </is>
      </c>
      <c r="AV89" t="inlineStr">
        <is>
          <t>5219667</t>
        </is>
      </c>
      <c r="AW89" t="inlineStr">
        <is>
          <t>991004802359702656</t>
        </is>
      </c>
      <c r="AX89" t="inlineStr">
        <is>
          <t>991004802359702656</t>
        </is>
      </c>
      <c r="AY89" t="inlineStr">
        <is>
          <t>2268335230002656</t>
        </is>
      </c>
      <c r="AZ89" t="inlineStr">
        <is>
          <t>BOOK</t>
        </is>
      </c>
      <c r="BB89" t="inlineStr">
        <is>
          <t>9780470267981</t>
        </is>
      </c>
      <c r="BC89" t="inlineStr">
        <is>
          <t>32285001686293</t>
        </is>
      </c>
      <c r="BD89" t="inlineStr">
        <is>
          <t>893229851</t>
        </is>
      </c>
    </row>
    <row r="90">
      <c r="A90" t="inlineStr">
        <is>
          <t>No</t>
        </is>
      </c>
      <c r="B90" t="inlineStr">
        <is>
          <t>QL138 .H99 1985</t>
        </is>
      </c>
      <c r="C90" t="inlineStr">
        <is>
          <t>0                      QL 0138000H  99          1985</t>
        </is>
      </c>
      <c r="D90" t="inlineStr">
        <is>
          <t>Hydrothermal vents of the eastern Pacific : an overview / sponsored by the National Science Foundation ... [et al.] ; Meredith L. Jones, editor.</t>
        </is>
      </c>
      <c r="F90" t="inlineStr">
        <is>
          <t>No</t>
        </is>
      </c>
      <c r="G90" t="inlineStr">
        <is>
          <t>1</t>
        </is>
      </c>
      <c r="H90" t="inlineStr">
        <is>
          <t>No</t>
        </is>
      </c>
      <c r="I90" t="inlineStr">
        <is>
          <t>No</t>
        </is>
      </c>
      <c r="J90" t="inlineStr">
        <is>
          <t>0</t>
        </is>
      </c>
      <c r="L90" t="inlineStr">
        <is>
          <t>Vienna, Va. : INFAX, 1985.</t>
        </is>
      </c>
      <c r="M90" t="inlineStr">
        <is>
          <t>1985</t>
        </is>
      </c>
      <c r="O90" t="inlineStr">
        <is>
          <t>eng</t>
        </is>
      </c>
      <c r="P90" t="inlineStr">
        <is>
          <t>vau</t>
        </is>
      </c>
      <c r="Q90" t="inlineStr">
        <is>
          <t>Bulletin of the Biological Society of Washington ; no. 6</t>
        </is>
      </c>
      <c r="R90" t="inlineStr">
        <is>
          <t xml:space="preserve">QL </t>
        </is>
      </c>
      <c r="S90" t="n">
        <v>15</v>
      </c>
      <c r="T90" t="n">
        <v>15</v>
      </c>
      <c r="U90" t="inlineStr">
        <is>
          <t>2008-01-30</t>
        </is>
      </c>
      <c r="V90" t="inlineStr">
        <is>
          <t>2008-01-30</t>
        </is>
      </c>
      <c r="W90" t="inlineStr">
        <is>
          <t>1992-04-09</t>
        </is>
      </c>
      <c r="X90" t="inlineStr">
        <is>
          <t>1992-04-09</t>
        </is>
      </c>
      <c r="Y90" t="n">
        <v>139</v>
      </c>
      <c r="Z90" t="n">
        <v>125</v>
      </c>
      <c r="AA90" t="n">
        <v>135</v>
      </c>
      <c r="AB90" t="n">
        <v>1</v>
      </c>
      <c r="AC90" t="n">
        <v>1</v>
      </c>
      <c r="AD90" t="n">
        <v>1</v>
      </c>
      <c r="AE90" t="n">
        <v>1</v>
      </c>
      <c r="AF90" t="n">
        <v>0</v>
      </c>
      <c r="AG90" t="n">
        <v>0</v>
      </c>
      <c r="AH90" t="n">
        <v>0</v>
      </c>
      <c r="AI90" t="n">
        <v>0</v>
      </c>
      <c r="AJ90" t="n">
        <v>1</v>
      </c>
      <c r="AK90" t="n">
        <v>1</v>
      </c>
      <c r="AL90" t="n">
        <v>0</v>
      </c>
      <c r="AM90" t="n">
        <v>0</v>
      </c>
      <c r="AN90" t="n">
        <v>0</v>
      </c>
      <c r="AO90" t="n">
        <v>0</v>
      </c>
      <c r="AP90" t="inlineStr">
        <is>
          <t>No</t>
        </is>
      </c>
      <c r="AQ90" t="inlineStr">
        <is>
          <t>Yes</t>
        </is>
      </c>
      <c r="AR90">
        <f>HYPERLINK("http://catalog.hathitrust.org/Record/000834102","HathiTrust Record")</f>
        <v/>
      </c>
      <c r="AS90">
        <f>HYPERLINK("https://creighton-primo.hosted.exlibrisgroup.com/primo-explore/search?tab=default_tab&amp;search_scope=EVERYTHING&amp;vid=01CRU&amp;lang=en_US&amp;offset=0&amp;query=any,contains,991000764659702656","Catalog Record")</f>
        <v/>
      </c>
      <c r="AT90">
        <f>HYPERLINK("http://www.worldcat.org/oclc/12980315","WorldCat Record")</f>
        <v/>
      </c>
      <c r="AU90" t="inlineStr">
        <is>
          <t>796149348:eng</t>
        </is>
      </c>
      <c r="AV90" t="inlineStr">
        <is>
          <t>12980315</t>
        </is>
      </c>
      <c r="AW90" t="inlineStr">
        <is>
          <t>991000764659702656</t>
        </is>
      </c>
      <c r="AX90" t="inlineStr">
        <is>
          <t>991000764659702656</t>
        </is>
      </c>
      <c r="AY90" t="inlineStr">
        <is>
          <t>2268718650002656</t>
        </is>
      </c>
      <c r="AZ90" t="inlineStr">
        <is>
          <t>BOOK</t>
        </is>
      </c>
      <c r="BB90" t="inlineStr">
        <is>
          <t>9780933937024</t>
        </is>
      </c>
      <c r="BC90" t="inlineStr">
        <is>
          <t>32285001066553</t>
        </is>
      </c>
      <c r="BD90" t="inlineStr">
        <is>
          <t>893903154</t>
        </is>
      </c>
    </row>
    <row r="91">
      <c r="A91" t="inlineStr">
        <is>
          <t>No</t>
        </is>
      </c>
      <c r="B91" t="inlineStr">
        <is>
          <t>QL138 .R5 1968</t>
        </is>
      </c>
      <c r="C91" t="inlineStr">
        <is>
          <t>0                      QL 0138000R  5           1968</t>
        </is>
      </c>
      <c r="D91" t="inlineStr">
        <is>
          <t>Between Pacific tides [by] Edward F. Ricketts and Jack Calvin. Rev. by Joel W. Hedgpeth.</t>
        </is>
      </c>
      <c r="F91" t="inlineStr">
        <is>
          <t>No</t>
        </is>
      </c>
      <c r="G91" t="inlineStr">
        <is>
          <t>1</t>
        </is>
      </c>
      <c r="H91" t="inlineStr">
        <is>
          <t>No</t>
        </is>
      </c>
      <c r="I91" t="inlineStr">
        <is>
          <t>No</t>
        </is>
      </c>
      <c r="J91" t="inlineStr">
        <is>
          <t>0</t>
        </is>
      </c>
      <c r="K91" t="inlineStr">
        <is>
          <t>Ricketts, Edward Flanders, 1897-1948.</t>
        </is>
      </c>
      <c r="L91" t="inlineStr">
        <is>
          <t>Stanford, Calif., Stanford University Press, 1968.</t>
        </is>
      </c>
      <c r="M91" t="inlineStr">
        <is>
          <t>1968</t>
        </is>
      </c>
      <c r="N91" t="inlineStr">
        <is>
          <t>4th ed.</t>
        </is>
      </c>
      <c r="O91" t="inlineStr">
        <is>
          <t>eng</t>
        </is>
      </c>
      <c r="P91" t="inlineStr">
        <is>
          <t>cau</t>
        </is>
      </c>
      <c r="R91" t="inlineStr">
        <is>
          <t xml:space="preserve">QL </t>
        </is>
      </c>
      <c r="S91" t="n">
        <v>7</v>
      </c>
      <c r="T91" t="n">
        <v>7</v>
      </c>
      <c r="U91" t="inlineStr">
        <is>
          <t>2004-02-24</t>
        </is>
      </c>
      <c r="V91" t="inlineStr">
        <is>
          <t>2004-02-24</t>
        </is>
      </c>
      <c r="W91" t="inlineStr">
        <is>
          <t>1997-07-19</t>
        </is>
      </c>
      <c r="X91" t="inlineStr">
        <is>
          <t>1997-07-19</t>
        </is>
      </c>
      <c r="Y91" t="n">
        <v>707</v>
      </c>
      <c r="Z91" t="n">
        <v>627</v>
      </c>
      <c r="AA91" t="n">
        <v>952</v>
      </c>
      <c r="AB91" t="n">
        <v>3</v>
      </c>
      <c r="AC91" t="n">
        <v>4</v>
      </c>
      <c r="AD91" t="n">
        <v>21</v>
      </c>
      <c r="AE91" t="n">
        <v>27</v>
      </c>
      <c r="AF91" t="n">
        <v>6</v>
      </c>
      <c r="AG91" t="n">
        <v>9</v>
      </c>
      <c r="AH91" t="n">
        <v>7</v>
      </c>
      <c r="AI91" t="n">
        <v>8</v>
      </c>
      <c r="AJ91" t="n">
        <v>12</v>
      </c>
      <c r="AK91" t="n">
        <v>16</v>
      </c>
      <c r="AL91" t="n">
        <v>2</v>
      </c>
      <c r="AM91" t="n">
        <v>3</v>
      </c>
      <c r="AN91" t="n">
        <v>0</v>
      </c>
      <c r="AO91" t="n">
        <v>0</v>
      </c>
      <c r="AP91" t="inlineStr">
        <is>
          <t>No</t>
        </is>
      </c>
      <c r="AQ91" t="inlineStr">
        <is>
          <t>No</t>
        </is>
      </c>
      <c r="AS91">
        <f>HYPERLINK("https://creighton-primo.hosted.exlibrisgroup.com/primo-explore/search?tab=default_tab&amp;search_scope=EVERYTHING&amp;vid=01CRU&amp;lang=en_US&amp;offset=0&amp;query=any,contains,991001021619702656","Catalog Record")</f>
        <v/>
      </c>
      <c r="AT91">
        <f>HYPERLINK("http://www.worldcat.org/oclc/173801","WorldCat Record")</f>
        <v/>
      </c>
      <c r="AU91" t="inlineStr">
        <is>
          <t>3855330465:eng</t>
        </is>
      </c>
      <c r="AV91" t="inlineStr">
        <is>
          <t>173801</t>
        </is>
      </c>
      <c r="AW91" t="inlineStr">
        <is>
          <t>991001021619702656</t>
        </is>
      </c>
      <c r="AX91" t="inlineStr">
        <is>
          <t>991001021619702656</t>
        </is>
      </c>
      <c r="AY91" t="inlineStr">
        <is>
          <t>2268451480002656</t>
        </is>
      </c>
      <c r="AZ91" t="inlineStr">
        <is>
          <t>BOOK</t>
        </is>
      </c>
      <c r="BC91" t="inlineStr">
        <is>
          <t>32285002939402</t>
        </is>
      </c>
      <c r="BD91" t="inlineStr">
        <is>
          <t>893426257</t>
        </is>
      </c>
    </row>
    <row r="92">
      <c r="A92" t="inlineStr">
        <is>
          <t>No</t>
        </is>
      </c>
      <c r="B92" t="inlineStr">
        <is>
          <t>QL141 .D48 1982</t>
        </is>
      </c>
      <c r="C92" t="inlineStr">
        <is>
          <t>0                      QL 0141000D  48          1982</t>
        </is>
      </c>
      <c r="D92" t="inlineStr">
        <is>
          <t>Developmental biology of freshwater invertebrates / editors, Frederick W. Harrison, Ronald R. Cowden.</t>
        </is>
      </c>
      <c r="F92" t="inlineStr">
        <is>
          <t>No</t>
        </is>
      </c>
      <c r="G92" t="inlineStr">
        <is>
          <t>1</t>
        </is>
      </c>
      <c r="H92" t="inlineStr">
        <is>
          <t>No</t>
        </is>
      </c>
      <c r="I92" t="inlineStr">
        <is>
          <t>No</t>
        </is>
      </c>
      <c r="J92" t="inlineStr">
        <is>
          <t>0</t>
        </is>
      </c>
      <c r="L92" t="inlineStr">
        <is>
          <t>New York : Liss, c1982.</t>
        </is>
      </c>
      <c r="M92" t="inlineStr">
        <is>
          <t>1982</t>
        </is>
      </c>
      <c r="O92" t="inlineStr">
        <is>
          <t>eng</t>
        </is>
      </c>
      <c r="P92" t="inlineStr">
        <is>
          <t>nyu</t>
        </is>
      </c>
      <c r="R92" t="inlineStr">
        <is>
          <t xml:space="preserve">QL </t>
        </is>
      </c>
      <c r="S92" t="n">
        <v>7</v>
      </c>
      <c r="T92" t="n">
        <v>7</v>
      </c>
      <c r="U92" t="inlineStr">
        <is>
          <t>2002-04-08</t>
        </is>
      </c>
      <c r="V92" t="inlineStr">
        <is>
          <t>2002-04-08</t>
        </is>
      </c>
      <c r="W92" t="inlineStr">
        <is>
          <t>1993-05-21</t>
        </is>
      </c>
      <c r="X92" t="inlineStr">
        <is>
          <t>1993-05-21</t>
        </is>
      </c>
      <c r="Y92" t="n">
        <v>323</v>
      </c>
      <c r="Z92" t="n">
        <v>257</v>
      </c>
      <c r="AA92" t="n">
        <v>258</v>
      </c>
      <c r="AB92" t="n">
        <v>2</v>
      </c>
      <c r="AC92" t="n">
        <v>2</v>
      </c>
      <c r="AD92" t="n">
        <v>9</v>
      </c>
      <c r="AE92" t="n">
        <v>9</v>
      </c>
      <c r="AF92" t="n">
        <v>1</v>
      </c>
      <c r="AG92" t="n">
        <v>1</v>
      </c>
      <c r="AH92" t="n">
        <v>1</v>
      </c>
      <c r="AI92" t="n">
        <v>1</v>
      </c>
      <c r="AJ92" t="n">
        <v>7</v>
      </c>
      <c r="AK92" t="n">
        <v>7</v>
      </c>
      <c r="AL92" t="n">
        <v>1</v>
      </c>
      <c r="AM92" t="n">
        <v>1</v>
      </c>
      <c r="AN92" t="n">
        <v>0</v>
      </c>
      <c r="AO92" t="n">
        <v>0</v>
      </c>
      <c r="AP92" t="inlineStr">
        <is>
          <t>No</t>
        </is>
      </c>
      <c r="AQ92" t="inlineStr">
        <is>
          <t>Yes</t>
        </is>
      </c>
      <c r="AR92">
        <f>HYPERLINK("http://catalog.hathitrust.org/Record/000774210","HathiTrust Record")</f>
        <v/>
      </c>
      <c r="AS92">
        <f>HYPERLINK("https://creighton-primo.hosted.exlibrisgroup.com/primo-explore/search?tab=default_tab&amp;search_scope=EVERYTHING&amp;vid=01CRU&amp;lang=en_US&amp;offset=0&amp;query=any,contains,991000054639702656","Catalog Record")</f>
        <v/>
      </c>
      <c r="AT92">
        <f>HYPERLINK("http://www.worldcat.org/oclc/8708286","WorldCat Record")</f>
        <v/>
      </c>
      <c r="AU92" t="inlineStr">
        <is>
          <t>352985305:eng</t>
        </is>
      </c>
      <c r="AV92" t="inlineStr">
        <is>
          <t>8708286</t>
        </is>
      </c>
      <c r="AW92" t="inlineStr">
        <is>
          <t>991000054639702656</t>
        </is>
      </c>
      <c r="AX92" t="inlineStr">
        <is>
          <t>991000054639702656</t>
        </is>
      </c>
      <c r="AY92" t="inlineStr">
        <is>
          <t>2255520550002656</t>
        </is>
      </c>
      <c r="AZ92" t="inlineStr">
        <is>
          <t>BOOK</t>
        </is>
      </c>
      <c r="BB92" t="inlineStr">
        <is>
          <t>9780845102220</t>
        </is>
      </c>
      <c r="BC92" t="inlineStr">
        <is>
          <t>32285001686301</t>
        </is>
      </c>
      <c r="BD92" t="inlineStr">
        <is>
          <t>893419151</t>
        </is>
      </c>
    </row>
    <row r="93">
      <c r="A93" t="inlineStr">
        <is>
          <t>No</t>
        </is>
      </c>
      <c r="B93" t="inlineStr">
        <is>
          <t>QL141 .P45 1989</t>
        </is>
      </c>
      <c r="C93" t="inlineStr">
        <is>
          <t>0                      QL 0141000P  45          1989</t>
        </is>
      </c>
      <c r="D93" t="inlineStr">
        <is>
          <t>Fresh-water invertebrates of the United States : protozoa to mollusca / Robert W. Pennak.</t>
        </is>
      </c>
      <c r="F93" t="inlineStr">
        <is>
          <t>No</t>
        </is>
      </c>
      <c r="G93" t="inlineStr">
        <is>
          <t>1</t>
        </is>
      </c>
      <c r="H93" t="inlineStr">
        <is>
          <t>No</t>
        </is>
      </c>
      <c r="I93" t="inlineStr">
        <is>
          <t>No</t>
        </is>
      </c>
      <c r="J93" t="inlineStr">
        <is>
          <t>0</t>
        </is>
      </c>
      <c r="K93" t="inlineStr">
        <is>
          <t>Pennak, Robert W. (Robert William)</t>
        </is>
      </c>
      <c r="L93" t="inlineStr">
        <is>
          <t>New York : Wiley, c1989.</t>
        </is>
      </c>
      <c r="M93" t="inlineStr">
        <is>
          <t>1989</t>
        </is>
      </c>
      <c r="N93" t="inlineStr">
        <is>
          <t>3rd ed.</t>
        </is>
      </c>
      <c r="O93" t="inlineStr">
        <is>
          <t>eng</t>
        </is>
      </c>
      <c r="P93" t="inlineStr">
        <is>
          <t>nyu</t>
        </is>
      </c>
      <c r="R93" t="inlineStr">
        <is>
          <t xml:space="preserve">QL </t>
        </is>
      </c>
      <c r="S93" t="n">
        <v>32</v>
      </c>
      <c r="T93" t="n">
        <v>32</v>
      </c>
      <c r="U93" t="inlineStr">
        <is>
          <t>2010-11-09</t>
        </is>
      </c>
      <c r="V93" t="inlineStr">
        <is>
          <t>2010-11-09</t>
        </is>
      </c>
      <c r="W93" t="inlineStr">
        <is>
          <t>1992-06-11</t>
        </is>
      </c>
      <c r="X93" t="inlineStr">
        <is>
          <t>1992-06-11</t>
        </is>
      </c>
      <c r="Y93" t="n">
        <v>896</v>
      </c>
      <c r="Z93" t="n">
        <v>801</v>
      </c>
      <c r="AA93" t="n">
        <v>808</v>
      </c>
      <c r="AB93" t="n">
        <v>8</v>
      </c>
      <c r="AC93" t="n">
        <v>8</v>
      </c>
      <c r="AD93" t="n">
        <v>27</v>
      </c>
      <c r="AE93" t="n">
        <v>27</v>
      </c>
      <c r="AF93" t="n">
        <v>10</v>
      </c>
      <c r="AG93" t="n">
        <v>10</v>
      </c>
      <c r="AH93" t="n">
        <v>6</v>
      </c>
      <c r="AI93" t="n">
        <v>6</v>
      </c>
      <c r="AJ93" t="n">
        <v>11</v>
      </c>
      <c r="AK93" t="n">
        <v>11</v>
      </c>
      <c r="AL93" t="n">
        <v>6</v>
      </c>
      <c r="AM93" t="n">
        <v>6</v>
      </c>
      <c r="AN93" t="n">
        <v>0</v>
      </c>
      <c r="AO93" t="n">
        <v>0</v>
      </c>
      <c r="AP93" t="inlineStr">
        <is>
          <t>No</t>
        </is>
      </c>
      <c r="AQ93" t="inlineStr">
        <is>
          <t>Yes</t>
        </is>
      </c>
      <c r="AR93">
        <f>HYPERLINK("http://catalog.hathitrust.org/Record/001100685","HathiTrust Record")</f>
        <v/>
      </c>
      <c r="AS93">
        <f>HYPERLINK("https://creighton-primo.hosted.exlibrisgroup.com/primo-explore/search?tab=default_tab&amp;search_scope=EVERYTHING&amp;vid=01CRU&amp;lang=en_US&amp;offset=0&amp;query=any,contains,991001328549702656","Catalog Record")</f>
        <v/>
      </c>
      <c r="AT93">
        <f>HYPERLINK("http://www.worldcat.org/oclc/18292075","WorldCat Record")</f>
        <v/>
      </c>
      <c r="AU93" t="inlineStr">
        <is>
          <t>3943516701:eng</t>
        </is>
      </c>
      <c r="AV93" t="inlineStr">
        <is>
          <t>18292075</t>
        </is>
      </c>
      <c r="AW93" t="inlineStr">
        <is>
          <t>991001328549702656</t>
        </is>
      </c>
      <c r="AX93" t="inlineStr">
        <is>
          <t>991001328549702656</t>
        </is>
      </c>
      <c r="AY93" t="inlineStr">
        <is>
          <t>2264552690002656</t>
        </is>
      </c>
      <c r="AZ93" t="inlineStr">
        <is>
          <t>BOOK</t>
        </is>
      </c>
      <c r="BB93" t="inlineStr">
        <is>
          <t>9780471631187</t>
        </is>
      </c>
      <c r="BC93" t="inlineStr">
        <is>
          <t>32285001130961</t>
        </is>
      </c>
      <c r="BD93" t="inlineStr">
        <is>
          <t>893590202</t>
        </is>
      </c>
    </row>
    <row r="94">
      <c r="A94" t="inlineStr">
        <is>
          <t>No</t>
        </is>
      </c>
      <c r="B94" t="inlineStr">
        <is>
          <t>QL143 .E96</t>
        </is>
      </c>
      <c r="C94" t="inlineStr">
        <is>
          <t>0                      QL 0143000E  96</t>
        </is>
      </c>
      <c r="D94" t="inlineStr">
        <is>
          <t>Evolution and ecology of zooplankton communities / W. Charles Kerfoot, editor.</t>
        </is>
      </c>
      <c r="F94" t="inlineStr">
        <is>
          <t>No</t>
        </is>
      </c>
      <c r="G94" t="inlineStr">
        <is>
          <t>1</t>
        </is>
      </c>
      <c r="H94" t="inlineStr">
        <is>
          <t>No</t>
        </is>
      </c>
      <c r="I94" t="inlineStr">
        <is>
          <t>No</t>
        </is>
      </c>
      <c r="J94" t="inlineStr">
        <is>
          <t>0</t>
        </is>
      </c>
      <c r="L94" t="inlineStr">
        <is>
          <t>Hanover, N.H. : University Press of New England, 1980.</t>
        </is>
      </c>
      <c r="M94" t="inlineStr">
        <is>
          <t>1980</t>
        </is>
      </c>
      <c r="O94" t="inlineStr">
        <is>
          <t>eng</t>
        </is>
      </c>
      <c r="P94" t="inlineStr">
        <is>
          <t>nhu</t>
        </is>
      </c>
      <c r="R94" t="inlineStr">
        <is>
          <t xml:space="preserve">QL </t>
        </is>
      </c>
      <c r="S94" t="n">
        <v>7</v>
      </c>
      <c r="T94" t="n">
        <v>7</v>
      </c>
      <c r="U94" t="inlineStr">
        <is>
          <t>2008-03-13</t>
        </is>
      </c>
      <c r="V94" t="inlineStr">
        <is>
          <t>2008-03-13</t>
        </is>
      </c>
      <c r="W94" t="inlineStr">
        <is>
          <t>1993-05-21</t>
        </is>
      </c>
      <c r="X94" t="inlineStr">
        <is>
          <t>1993-05-21</t>
        </is>
      </c>
      <c r="Y94" t="n">
        <v>317</v>
      </c>
      <c r="Z94" t="n">
        <v>263</v>
      </c>
      <c r="AA94" t="n">
        <v>308</v>
      </c>
      <c r="AB94" t="n">
        <v>4</v>
      </c>
      <c r="AC94" t="n">
        <v>4</v>
      </c>
      <c r="AD94" t="n">
        <v>9</v>
      </c>
      <c r="AE94" t="n">
        <v>12</v>
      </c>
      <c r="AF94" t="n">
        <v>3</v>
      </c>
      <c r="AG94" t="n">
        <v>5</v>
      </c>
      <c r="AH94" t="n">
        <v>1</v>
      </c>
      <c r="AI94" t="n">
        <v>2</v>
      </c>
      <c r="AJ94" t="n">
        <v>4</v>
      </c>
      <c r="AK94" t="n">
        <v>6</v>
      </c>
      <c r="AL94" t="n">
        <v>3</v>
      </c>
      <c r="AM94" t="n">
        <v>3</v>
      </c>
      <c r="AN94" t="n">
        <v>0</v>
      </c>
      <c r="AO94" t="n">
        <v>0</v>
      </c>
      <c r="AP94" t="inlineStr">
        <is>
          <t>No</t>
        </is>
      </c>
      <c r="AQ94" t="inlineStr">
        <is>
          <t>Yes</t>
        </is>
      </c>
      <c r="AR94">
        <f>HYPERLINK("http://catalog.hathitrust.org/Record/007159729","HathiTrust Record")</f>
        <v/>
      </c>
      <c r="AS94">
        <f>HYPERLINK("https://creighton-primo.hosted.exlibrisgroup.com/primo-explore/search?tab=default_tab&amp;search_scope=EVERYTHING&amp;vid=01CRU&amp;lang=en_US&amp;offset=0&amp;query=any,contains,991005003879702656","Catalog Record")</f>
        <v/>
      </c>
      <c r="AT94">
        <f>HYPERLINK("http://www.worldcat.org/oclc/6555516","WorldCat Record")</f>
        <v/>
      </c>
      <c r="AU94" t="inlineStr">
        <is>
          <t>54646546:eng</t>
        </is>
      </c>
      <c r="AV94" t="inlineStr">
        <is>
          <t>6555516</t>
        </is>
      </c>
      <c r="AW94" t="inlineStr">
        <is>
          <t>991005003879702656</t>
        </is>
      </c>
      <c r="AX94" t="inlineStr">
        <is>
          <t>991005003879702656</t>
        </is>
      </c>
      <c r="AY94" t="inlineStr">
        <is>
          <t>2254846680002656</t>
        </is>
      </c>
      <c r="AZ94" t="inlineStr">
        <is>
          <t>BOOK</t>
        </is>
      </c>
      <c r="BB94" t="inlineStr">
        <is>
          <t>9780874511802</t>
        </is>
      </c>
      <c r="BC94" t="inlineStr">
        <is>
          <t>32285001686319</t>
        </is>
      </c>
      <c r="BD94" t="inlineStr">
        <is>
          <t>893248209</t>
        </is>
      </c>
    </row>
    <row r="95">
      <c r="A95" t="inlineStr">
        <is>
          <t>No</t>
        </is>
      </c>
      <c r="B95" t="inlineStr">
        <is>
          <t>QL143 .L48</t>
        </is>
      </c>
      <c r="C95" t="inlineStr">
        <is>
          <t>0                      QL 0143000L  48</t>
        </is>
      </c>
      <c r="D95" t="inlineStr">
        <is>
          <t>Zooplankton community analysis : studies on a tropical system / William M. Lewis, Jr.</t>
        </is>
      </c>
      <c r="F95" t="inlineStr">
        <is>
          <t>No</t>
        </is>
      </c>
      <c r="G95" t="inlineStr">
        <is>
          <t>1</t>
        </is>
      </c>
      <c r="H95" t="inlineStr">
        <is>
          <t>No</t>
        </is>
      </c>
      <c r="I95" t="inlineStr">
        <is>
          <t>No</t>
        </is>
      </c>
      <c r="J95" t="inlineStr">
        <is>
          <t>0</t>
        </is>
      </c>
      <c r="K95" t="inlineStr">
        <is>
          <t>Lewis, William M., Jr., 1945-</t>
        </is>
      </c>
      <c r="L95" t="inlineStr">
        <is>
          <t>New York : Springer-Verlag, c1979.</t>
        </is>
      </c>
      <c r="M95" t="inlineStr">
        <is>
          <t>1979</t>
        </is>
      </c>
      <c r="O95" t="inlineStr">
        <is>
          <t>eng</t>
        </is>
      </c>
      <c r="P95" t="inlineStr">
        <is>
          <t>nyu</t>
        </is>
      </c>
      <c r="R95" t="inlineStr">
        <is>
          <t xml:space="preserve">QL </t>
        </is>
      </c>
      <c r="S95" t="n">
        <v>10</v>
      </c>
      <c r="T95" t="n">
        <v>10</v>
      </c>
      <c r="U95" t="inlineStr">
        <is>
          <t>2008-04-11</t>
        </is>
      </c>
      <c r="V95" t="inlineStr">
        <is>
          <t>2008-04-11</t>
        </is>
      </c>
      <c r="W95" t="inlineStr">
        <is>
          <t>1993-05-21</t>
        </is>
      </c>
      <c r="X95" t="inlineStr">
        <is>
          <t>1993-05-21</t>
        </is>
      </c>
      <c r="Y95" t="n">
        <v>287</v>
      </c>
      <c r="Z95" t="n">
        <v>184</v>
      </c>
      <c r="AA95" t="n">
        <v>202</v>
      </c>
      <c r="AB95" t="n">
        <v>1</v>
      </c>
      <c r="AC95" t="n">
        <v>1</v>
      </c>
      <c r="AD95" t="n">
        <v>5</v>
      </c>
      <c r="AE95" t="n">
        <v>6</v>
      </c>
      <c r="AF95" t="n">
        <v>2</v>
      </c>
      <c r="AG95" t="n">
        <v>3</v>
      </c>
      <c r="AH95" t="n">
        <v>2</v>
      </c>
      <c r="AI95" t="n">
        <v>2</v>
      </c>
      <c r="AJ95" t="n">
        <v>3</v>
      </c>
      <c r="AK95" t="n">
        <v>4</v>
      </c>
      <c r="AL95" t="n">
        <v>0</v>
      </c>
      <c r="AM95" t="n">
        <v>0</v>
      </c>
      <c r="AN95" t="n">
        <v>0</v>
      </c>
      <c r="AO95" t="n">
        <v>0</v>
      </c>
      <c r="AP95" t="inlineStr">
        <is>
          <t>No</t>
        </is>
      </c>
      <c r="AQ95" t="inlineStr">
        <is>
          <t>Yes</t>
        </is>
      </c>
      <c r="AR95">
        <f>HYPERLINK("http://catalog.hathitrust.org/Record/000017516","HathiTrust Record")</f>
        <v/>
      </c>
      <c r="AS95">
        <f>HYPERLINK("https://creighton-primo.hosted.exlibrisgroup.com/primo-explore/search?tab=default_tab&amp;search_scope=EVERYTHING&amp;vid=01CRU&amp;lang=en_US&amp;offset=0&amp;query=any,contains,991004789839702656","Catalog Record")</f>
        <v/>
      </c>
      <c r="AT95">
        <f>HYPERLINK("http://www.worldcat.org/oclc/5170716","WorldCat Record")</f>
        <v/>
      </c>
      <c r="AU95" t="inlineStr">
        <is>
          <t>895890719:eng</t>
        </is>
      </c>
      <c r="AV95" t="inlineStr">
        <is>
          <t>5170716</t>
        </is>
      </c>
      <c r="AW95" t="inlineStr">
        <is>
          <t>991004789839702656</t>
        </is>
      </c>
      <c r="AX95" t="inlineStr">
        <is>
          <t>991004789839702656</t>
        </is>
      </c>
      <c r="AY95" t="inlineStr">
        <is>
          <t>2256992540002656</t>
        </is>
      </c>
      <c r="AZ95" t="inlineStr">
        <is>
          <t>BOOK</t>
        </is>
      </c>
      <c r="BB95" t="inlineStr">
        <is>
          <t>9780387904344</t>
        </is>
      </c>
      <c r="BC95" t="inlineStr">
        <is>
          <t>32285001686327</t>
        </is>
      </c>
      <c r="BD95" t="inlineStr">
        <is>
          <t>893260170</t>
        </is>
      </c>
    </row>
    <row r="96">
      <c r="A96" t="inlineStr">
        <is>
          <t>No</t>
        </is>
      </c>
      <c r="B96" t="inlineStr">
        <is>
          <t>QL15 .H38 1972</t>
        </is>
      </c>
      <c r="C96" t="inlineStr">
        <is>
          <t>0                      QL 0015000H  38          1972</t>
        </is>
      </c>
      <c r="D96" t="inlineStr">
        <is>
          <t>Birds, beasts, and men : a humanist history of zoology / by H. R. Hays.</t>
        </is>
      </c>
      <c r="F96" t="inlineStr">
        <is>
          <t>No</t>
        </is>
      </c>
      <c r="G96" t="inlineStr">
        <is>
          <t>1</t>
        </is>
      </c>
      <c r="H96" t="inlineStr">
        <is>
          <t>No</t>
        </is>
      </c>
      <c r="I96" t="inlineStr">
        <is>
          <t>No</t>
        </is>
      </c>
      <c r="J96" t="inlineStr">
        <is>
          <t>0</t>
        </is>
      </c>
      <c r="K96" t="inlineStr">
        <is>
          <t>Hays, H. R. (Hoffman Reynolds), 1904-1980.</t>
        </is>
      </c>
      <c r="L96" t="inlineStr">
        <is>
          <t>New York : Putnam, [1972]</t>
        </is>
      </c>
      <c r="M96" t="inlineStr">
        <is>
          <t>1972</t>
        </is>
      </c>
      <c r="O96" t="inlineStr">
        <is>
          <t>eng</t>
        </is>
      </c>
      <c r="P96" t="inlineStr">
        <is>
          <t>nyu</t>
        </is>
      </c>
      <c r="R96" t="inlineStr">
        <is>
          <t xml:space="preserve">QL </t>
        </is>
      </c>
      <c r="S96" t="n">
        <v>5</v>
      </c>
      <c r="T96" t="n">
        <v>5</v>
      </c>
      <c r="U96" t="inlineStr">
        <is>
          <t>1999-07-21</t>
        </is>
      </c>
      <c r="V96" t="inlineStr">
        <is>
          <t>1999-07-21</t>
        </is>
      </c>
      <c r="W96" t="inlineStr">
        <is>
          <t>1993-05-21</t>
        </is>
      </c>
      <c r="X96" t="inlineStr">
        <is>
          <t>1993-05-21</t>
        </is>
      </c>
      <c r="Y96" t="n">
        <v>532</v>
      </c>
      <c r="Z96" t="n">
        <v>474</v>
      </c>
      <c r="AA96" t="n">
        <v>519</v>
      </c>
      <c r="AB96" t="n">
        <v>3</v>
      </c>
      <c r="AC96" t="n">
        <v>3</v>
      </c>
      <c r="AD96" t="n">
        <v>11</v>
      </c>
      <c r="AE96" t="n">
        <v>14</v>
      </c>
      <c r="AF96" t="n">
        <v>3</v>
      </c>
      <c r="AG96" t="n">
        <v>5</v>
      </c>
      <c r="AH96" t="n">
        <v>2</v>
      </c>
      <c r="AI96" t="n">
        <v>3</v>
      </c>
      <c r="AJ96" t="n">
        <v>5</v>
      </c>
      <c r="AK96" t="n">
        <v>6</v>
      </c>
      <c r="AL96" t="n">
        <v>2</v>
      </c>
      <c r="AM96" t="n">
        <v>2</v>
      </c>
      <c r="AN96" t="n">
        <v>0</v>
      </c>
      <c r="AO96" t="n">
        <v>0</v>
      </c>
      <c r="AP96" t="inlineStr">
        <is>
          <t>No</t>
        </is>
      </c>
      <c r="AQ96" t="inlineStr">
        <is>
          <t>Yes</t>
        </is>
      </c>
      <c r="AR96">
        <f>HYPERLINK("http://catalog.hathitrust.org/Record/010155380","HathiTrust Record")</f>
        <v/>
      </c>
      <c r="AS96">
        <f>HYPERLINK("https://creighton-primo.hosted.exlibrisgroup.com/primo-explore/search?tab=default_tab&amp;search_scope=EVERYTHING&amp;vid=01CRU&amp;lang=en_US&amp;offset=0&amp;query=any,contains,991002228619702656","Catalog Record")</f>
        <v/>
      </c>
      <c r="AT96">
        <f>HYPERLINK("http://www.worldcat.org/oclc/292977","WorldCat Record")</f>
        <v/>
      </c>
      <c r="AU96" t="inlineStr">
        <is>
          <t>1481882:eng</t>
        </is>
      </c>
      <c r="AV96" t="inlineStr">
        <is>
          <t>292977</t>
        </is>
      </c>
      <c r="AW96" t="inlineStr">
        <is>
          <t>991002228619702656</t>
        </is>
      </c>
      <c r="AX96" t="inlineStr">
        <is>
          <t>991002228619702656</t>
        </is>
      </c>
      <c r="AY96" t="inlineStr">
        <is>
          <t>2265489120002656</t>
        </is>
      </c>
      <c r="AZ96" t="inlineStr">
        <is>
          <t>BOOK</t>
        </is>
      </c>
      <c r="BC96" t="inlineStr">
        <is>
          <t>32285001685956</t>
        </is>
      </c>
      <c r="BD96" t="inlineStr">
        <is>
          <t>893262162</t>
        </is>
      </c>
    </row>
    <row r="97">
      <c r="A97" t="inlineStr">
        <is>
          <t>No</t>
        </is>
      </c>
      <c r="B97" t="inlineStr">
        <is>
          <t>QL151 .A85</t>
        </is>
      </c>
      <c r="C97" t="inlineStr">
        <is>
          <t>0                      QL 0151000A  85</t>
        </is>
      </c>
      <c r="D97" t="inlineStr">
        <is>
          <t>Audubon's wildlife : with selections from the writings of John James Audubon / [editor:] Edwin Way Teale.</t>
        </is>
      </c>
      <c r="F97" t="inlineStr">
        <is>
          <t>No</t>
        </is>
      </c>
      <c r="G97" t="inlineStr">
        <is>
          <t>1</t>
        </is>
      </c>
      <c r="H97" t="inlineStr">
        <is>
          <t>No</t>
        </is>
      </c>
      <c r="I97" t="inlineStr">
        <is>
          <t>No</t>
        </is>
      </c>
      <c r="J97" t="inlineStr">
        <is>
          <t>0</t>
        </is>
      </c>
      <c r="K97" t="inlineStr">
        <is>
          <t>Audubon, John James, 1785-1851.</t>
        </is>
      </c>
      <c r="L97" t="inlineStr">
        <is>
          <t>New York : Viking Press, [1964]</t>
        </is>
      </c>
      <c r="M97" t="inlineStr">
        <is>
          <t>1964</t>
        </is>
      </c>
      <c r="O97" t="inlineStr">
        <is>
          <t>eng</t>
        </is>
      </c>
      <c r="P97" t="inlineStr">
        <is>
          <t>nyu</t>
        </is>
      </c>
      <c r="Q97" t="inlineStr">
        <is>
          <t>A Studio book</t>
        </is>
      </c>
      <c r="R97" t="inlineStr">
        <is>
          <t xml:space="preserve">QL </t>
        </is>
      </c>
      <c r="S97" t="n">
        <v>3</v>
      </c>
      <c r="T97" t="n">
        <v>3</v>
      </c>
      <c r="U97" t="inlineStr">
        <is>
          <t>2010-11-09</t>
        </is>
      </c>
      <c r="V97" t="inlineStr">
        <is>
          <t>2010-11-09</t>
        </is>
      </c>
      <c r="W97" t="inlineStr">
        <is>
          <t>1990-05-22</t>
        </is>
      </c>
      <c r="X97" t="inlineStr">
        <is>
          <t>1990-05-22</t>
        </is>
      </c>
      <c r="Y97" t="n">
        <v>478</v>
      </c>
      <c r="Z97" t="n">
        <v>459</v>
      </c>
      <c r="AA97" t="n">
        <v>542</v>
      </c>
      <c r="AB97" t="n">
        <v>2</v>
      </c>
      <c r="AC97" t="n">
        <v>2</v>
      </c>
      <c r="AD97" t="n">
        <v>7</v>
      </c>
      <c r="AE97" t="n">
        <v>9</v>
      </c>
      <c r="AF97" t="n">
        <v>3</v>
      </c>
      <c r="AG97" t="n">
        <v>4</v>
      </c>
      <c r="AH97" t="n">
        <v>2</v>
      </c>
      <c r="AI97" t="n">
        <v>3</v>
      </c>
      <c r="AJ97" t="n">
        <v>2</v>
      </c>
      <c r="AK97" t="n">
        <v>2</v>
      </c>
      <c r="AL97" t="n">
        <v>1</v>
      </c>
      <c r="AM97" t="n">
        <v>1</v>
      </c>
      <c r="AN97" t="n">
        <v>0</v>
      </c>
      <c r="AO97" t="n">
        <v>0</v>
      </c>
      <c r="AP97" t="inlineStr">
        <is>
          <t>No</t>
        </is>
      </c>
      <c r="AQ97" t="inlineStr">
        <is>
          <t>Yes</t>
        </is>
      </c>
      <c r="AR97">
        <f>HYPERLINK("http://catalog.hathitrust.org/Record/000458578","HathiTrust Record")</f>
        <v/>
      </c>
      <c r="AS97">
        <f>HYPERLINK("https://creighton-primo.hosted.exlibrisgroup.com/primo-explore/search?tab=default_tab&amp;search_scope=EVERYTHING&amp;vid=01CRU&amp;lang=en_US&amp;offset=0&amp;query=any,contains,991003712149702656","Catalog Record")</f>
        <v/>
      </c>
      <c r="AT97">
        <f>HYPERLINK("http://www.worldcat.org/oclc/1353570","WorldCat Record")</f>
        <v/>
      </c>
      <c r="AU97" t="inlineStr">
        <is>
          <t>32410926:eng</t>
        </is>
      </c>
      <c r="AV97" t="inlineStr">
        <is>
          <t>1353570</t>
        </is>
      </c>
      <c r="AW97" t="inlineStr">
        <is>
          <t>991003712149702656</t>
        </is>
      </c>
      <c r="AX97" t="inlineStr">
        <is>
          <t>991003712149702656</t>
        </is>
      </c>
      <c r="AY97" t="inlineStr">
        <is>
          <t>2262513110002656</t>
        </is>
      </c>
      <c r="AZ97" t="inlineStr">
        <is>
          <t>BOOK</t>
        </is>
      </c>
      <c r="BC97" t="inlineStr">
        <is>
          <t>32285000157668</t>
        </is>
      </c>
      <c r="BD97" t="inlineStr">
        <is>
          <t>893512266</t>
        </is>
      </c>
    </row>
    <row r="98">
      <c r="A98" t="inlineStr">
        <is>
          <t>No</t>
        </is>
      </c>
      <c r="B98" t="inlineStr">
        <is>
          <t>QL151 .K36 1995</t>
        </is>
      </c>
      <c r="C98" t="inlineStr">
        <is>
          <t>0                      QL 0151000K  36          1995</t>
        </is>
      </c>
      <c r="D98" t="inlineStr">
        <is>
          <t>Wild life : the remarkable lives of ordinary animals / Edward Kanze ; illustrated by Jennifer Harper.</t>
        </is>
      </c>
      <c r="F98" t="inlineStr">
        <is>
          <t>No</t>
        </is>
      </c>
      <c r="G98" t="inlineStr">
        <is>
          <t>1</t>
        </is>
      </c>
      <c r="H98" t="inlineStr">
        <is>
          <t>No</t>
        </is>
      </c>
      <c r="I98" t="inlineStr">
        <is>
          <t>No</t>
        </is>
      </c>
      <c r="J98" t="inlineStr">
        <is>
          <t>0</t>
        </is>
      </c>
      <c r="K98" t="inlineStr">
        <is>
          <t>Kanze, Edward.</t>
        </is>
      </c>
      <c r="L98" t="inlineStr">
        <is>
          <t>New York : Crown, c1995.</t>
        </is>
      </c>
      <c r="M98" t="inlineStr">
        <is>
          <t>1995</t>
        </is>
      </c>
      <c r="N98" t="inlineStr">
        <is>
          <t>1st ed.</t>
        </is>
      </c>
      <c r="O98" t="inlineStr">
        <is>
          <t>eng</t>
        </is>
      </c>
      <c r="P98" t="inlineStr">
        <is>
          <t>nyu</t>
        </is>
      </c>
      <c r="R98" t="inlineStr">
        <is>
          <t xml:space="preserve">QL </t>
        </is>
      </c>
      <c r="S98" t="n">
        <v>4</v>
      </c>
      <c r="T98" t="n">
        <v>4</v>
      </c>
      <c r="U98" t="inlineStr">
        <is>
          <t>2001-02-12</t>
        </is>
      </c>
      <c r="V98" t="inlineStr">
        <is>
          <t>2001-02-12</t>
        </is>
      </c>
      <c r="W98" t="inlineStr">
        <is>
          <t>1996-10-02</t>
        </is>
      </c>
      <c r="X98" t="inlineStr">
        <is>
          <t>1996-10-02</t>
        </is>
      </c>
      <c r="Y98" t="n">
        <v>217</v>
      </c>
      <c r="Z98" t="n">
        <v>211</v>
      </c>
      <c r="AA98" t="n">
        <v>213</v>
      </c>
      <c r="AB98" t="n">
        <v>1</v>
      </c>
      <c r="AC98" t="n">
        <v>1</v>
      </c>
      <c r="AD98" t="n">
        <v>1</v>
      </c>
      <c r="AE98" t="n">
        <v>1</v>
      </c>
      <c r="AF98" t="n">
        <v>0</v>
      </c>
      <c r="AG98" t="n">
        <v>0</v>
      </c>
      <c r="AH98" t="n">
        <v>0</v>
      </c>
      <c r="AI98" t="n">
        <v>0</v>
      </c>
      <c r="AJ98" t="n">
        <v>1</v>
      </c>
      <c r="AK98" t="n">
        <v>1</v>
      </c>
      <c r="AL98" t="n">
        <v>0</v>
      </c>
      <c r="AM98" t="n">
        <v>0</v>
      </c>
      <c r="AN98" t="n">
        <v>0</v>
      </c>
      <c r="AO98" t="n">
        <v>0</v>
      </c>
      <c r="AP98" t="inlineStr">
        <is>
          <t>No</t>
        </is>
      </c>
      <c r="AQ98" t="inlineStr">
        <is>
          <t>Yes</t>
        </is>
      </c>
      <c r="AR98">
        <f>HYPERLINK("http://catalog.hathitrust.org/Record/101965026","HathiTrust Record")</f>
        <v/>
      </c>
      <c r="AS98">
        <f>HYPERLINK("https://creighton-primo.hosted.exlibrisgroup.com/primo-explore/search?tab=default_tab&amp;search_scope=EVERYTHING&amp;vid=01CRU&amp;lang=en_US&amp;offset=0&amp;query=any,contains,991002461639702656","Catalog Record")</f>
        <v/>
      </c>
      <c r="AT98">
        <f>HYPERLINK("http://www.worldcat.org/oclc/32085304","WorldCat Record")</f>
        <v/>
      </c>
      <c r="AU98" t="inlineStr">
        <is>
          <t>4230280730:eng</t>
        </is>
      </c>
      <c r="AV98" t="inlineStr">
        <is>
          <t>32085304</t>
        </is>
      </c>
      <c r="AW98" t="inlineStr">
        <is>
          <t>991002461639702656</t>
        </is>
      </c>
      <c r="AX98" t="inlineStr">
        <is>
          <t>991002461639702656</t>
        </is>
      </c>
      <c r="AY98" t="inlineStr">
        <is>
          <t>2272299980002656</t>
        </is>
      </c>
      <c r="AZ98" t="inlineStr">
        <is>
          <t>BOOK</t>
        </is>
      </c>
      <c r="BB98" t="inlineStr">
        <is>
          <t>9780517701690</t>
        </is>
      </c>
      <c r="BC98" t="inlineStr">
        <is>
          <t>32285002322195</t>
        </is>
      </c>
      <c r="BD98" t="inlineStr">
        <is>
          <t>893530022</t>
        </is>
      </c>
    </row>
    <row r="99">
      <c r="A99" t="inlineStr">
        <is>
          <t>No</t>
        </is>
      </c>
      <c r="B99" t="inlineStr">
        <is>
          <t>QL151 .W65 1990</t>
        </is>
      </c>
      <c r="C99" t="inlineStr">
        <is>
          <t>0                      QL 0151000W  65          1990</t>
        </is>
      </c>
      <c r="D99" t="inlineStr">
        <is>
          <t>The kingdom : wildlife in North America / photographs by Art Wolfe ; text by Douglas Chadwick.</t>
        </is>
      </c>
      <c r="F99" t="inlineStr">
        <is>
          <t>No</t>
        </is>
      </c>
      <c r="G99" t="inlineStr">
        <is>
          <t>1</t>
        </is>
      </c>
      <c r="H99" t="inlineStr">
        <is>
          <t>No</t>
        </is>
      </c>
      <c r="I99" t="inlineStr">
        <is>
          <t>No</t>
        </is>
      </c>
      <c r="J99" t="inlineStr">
        <is>
          <t>0</t>
        </is>
      </c>
      <c r="K99" t="inlineStr">
        <is>
          <t>Wolfe, Art.</t>
        </is>
      </c>
      <c r="L99" t="inlineStr">
        <is>
          <t>San Francisco : Sierra Club Books ; Washington, D.C. : National Wildlife Federation, 1990.</t>
        </is>
      </c>
      <c r="M99" t="inlineStr">
        <is>
          <t>1990</t>
        </is>
      </c>
      <c r="O99" t="inlineStr">
        <is>
          <t>eng</t>
        </is>
      </c>
      <c r="P99" t="inlineStr">
        <is>
          <t>cau</t>
        </is>
      </c>
      <c r="R99" t="inlineStr">
        <is>
          <t xml:space="preserve">QL </t>
        </is>
      </c>
      <c r="S99" t="n">
        <v>12</v>
      </c>
      <c r="T99" t="n">
        <v>12</v>
      </c>
      <c r="U99" t="inlineStr">
        <is>
          <t>1994-03-19</t>
        </is>
      </c>
      <c r="V99" t="inlineStr">
        <is>
          <t>1994-03-19</t>
        </is>
      </c>
      <c r="W99" t="inlineStr">
        <is>
          <t>1991-07-03</t>
        </is>
      </c>
      <c r="X99" t="inlineStr">
        <is>
          <t>1991-07-03</t>
        </is>
      </c>
      <c r="Y99" t="n">
        <v>395</v>
      </c>
      <c r="Z99" t="n">
        <v>375</v>
      </c>
      <c r="AA99" t="n">
        <v>379</v>
      </c>
      <c r="AB99" t="n">
        <v>1</v>
      </c>
      <c r="AC99" t="n">
        <v>1</v>
      </c>
      <c r="AD99" t="n">
        <v>2</v>
      </c>
      <c r="AE99" t="n">
        <v>2</v>
      </c>
      <c r="AF99" t="n">
        <v>1</v>
      </c>
      <c r="AG99" t="n">
        <v>1</v>
      </c>
      <c r="AH99" t="n">
        <v>0</v>
      </c>
      <c r="AI99" t="n">
        <v>0</v>
      </c>
      <c r="AJ99" t="n">
        <v>1</v>
      </c>
      <c r="AK99" t="n">
        <v>1</v>
      </c>
      <c r="AL99" t="n">
        <v>0</v>
      </c>
      <c r="AM99" t="n">
        <v>0</v>
      </c>
      <c r="AN99" t="n">
        <v>0</v>
      </c>
      <c r="AO99" t="n">
        <v>0</v>
      </c>
      <c r="AP99" t="inlineStr">
        <is>
          <t>No</t>
        </is>
      </c>
      <c r="AQ99" t="inlineStr">
        <is>
          <t>No</t>
        </is>
      </c>
      <c r="AS99">
        <f>HYPERLINK("https://creighton-primo.hosted.exlibrisgroup.com/primo-explore/search?tab=default_tab&amp;search_scope=EVERYTHING&amp;vid=01CRU&amp;lang=en_US&amp;offset=0&amp;query=any,contains,991001676079702656","Catalog Record")</f>
        <v/>
      </c>
      <c r="AT99">
        <f>HYPERLINK("http://www.worldcat.org/oclc/21331178","WorldCat Record")</f>
        <v/>
      </c>
      <c r="AU99" t="inlineStr">
        <is>
          <t>22872716:eng</t>
        </is>
      </c>
      <c r="AV99" t="inlineStr">
        <is>
          <t>21331178</t>
        </is>
      </c>
      <c r="AW99" t="inlineStr">
        <is>
          <t>991001676079702656</t>
        </is>
      </c>
      <c r="AX99" t="inlineStr">
        <is>
          <t>991001676079702656</t>
        </is>
      </c>
      <c r="AY99" t="inlineStr">
        <is>
          <t>2261637810002656</t>
        </is>
      </c>
      <c r="AZ99" t="inlineStr">
        <is>
          <t>BOOK</t>
        </is>
      </c>
      <c r="BB99" t="inlineStr">
        <is>
          <t>9780871566171</t>
        </is>
      </c>
      <c r="BC99" t="inlineStr">
        <is>
          <t>32285000660117</t>
        </is>
      </c>
      <c r="BD99" t="inlineStr">
        <is>
          <t>893444757</t>
        </is>
      </c>
    </row>
    <row r="100">
      <c r="A100" t="inlineStr">
        <is>
          <t>No</t>
        </is>
      </c>
      <c r="B100" t="inlineStr">
        <is>
          <t>QL155 .E3 1982</t>
        </is>
      </c>
      <c r="C100" t="inlineStr">
        <is>
          <t>0                      QL 0155000E  3           1982</t>
        </is>
      </c>
      <c r="D100" t="inlineStr">
        <is>
          <t>Taxonomic keys to the common animals of the North Central States : exclusive of the parasitic worms, terrestrial insects, and birds / by Samuel Eddy, A. C. Hodson.</t>
        </is>
      </c>
      <c r="F100" t="inlineStr">
        <is>
          <t>No</t>
        </is>
      </c>
      <c r="G100" t="inlineStr">
        <is>
          <t>1</t>
        </is>
      </c>
      <c r="H100" t="inlineStr">
        <is>
          <t>No</t>
        </is>
      </c>
      <c r="I100" t="inlineStr">
        <is>
          <t>No</t>
        </is>
      </c>
      <c r="J100" t="inlineStr">
        <is>
          <t>0</t>
        </is>
      </c>
      <c r="K100" t="inlineStr">
        <is>
          <t>Eddy, Samuel, 1897-1972.</t>
        </is>
      </c>
      <c r="L100" t="inlineStr">
        <is>
          <t>Minneapolis : Burgess, c1982.</t>
        </is>
      </c>
      <c r="M100" t="inlineStr">
        <is>
          <t>1982</t>
        </is>
      </c>
      <c r="N100" t="inlineStr">
        <is>
          <t>4th ed. / rev. by James C. Underhill, William D. Schmid, Donald E. Gilbertson.</t>
        </is>
      </c>
      <c r="O100" t="inlineStr">
        <is>
          <t>eng</t>
        </is>
      </c>
      <c r="P100" t="inlineStr">
        <is>
          <t>mnu</t>
        </is>
      </c>
      <c r="R100" t="inlineStr">
        <is>
          <t xml:space="preserve">QL </t>
        </is>
      </c>
      <c r="S100" t="n">
        <v>10</v>
      </c>
      <c r="T100" t="n">
        <v>10</v>
      </c>
      <c r="U100" t="inlineStr">
        <is>
          <t>2010-11-09</t>
        </is>
      </c>
      <c r="V100" t="inlineStr">
        <is>
          <t>2010-11-09</t>
        </is>
      </c>
      <c r="W100" t="inlineStr">
        <is>
          <t>1993-05-25</t>
        </is>
      </c>
      <c r="X100" t="inlineStr">
        <is>
          <t>1993-05-25</t>
        </is>
      </c>
      <c r="Y100" t="n">
        <v>128</v>
      </c>
      <c r="Z100" t="n">
        <v>117</v>
      </c>
      <c r="AA100" t="n">
        <v>554</v>
      </c>
      <c r="AB100" t="n">
        <v>2</v>
      </c>
      <c r="AC100" t="n">
        <v>3</v>
      </c>
      <c r="AD100" t="n">
        <v>5</v>
      </c>
      <c r="AE100" t="n">
        <v>17</v>
      </c>
      <c r="AF100" t="n">
        <v>2</v>
      </c>
      <c r="AG100" t="n">
        <v>8</v>
      </c>
      <c r="AH100" t="n">
        <v>0</v>
      </c>
      <c r="AI100" t="n">
        <v>3</v>
      </c>
      <c r="AJ100" t="n">
        <v>3</v>
      </c>
      <c r="AK100" t="n">
        <v>9</v>
      </c>
      <c r="AL100" t="n">
        <v>1</v>
      </c>
      <c r="AM100" t="n">
        <v>2</v>
      </c>
      <c r="AN100" t="n">
        <v>0</v>
      </c>
      <c r="AO100" t="n">
        <v>0</v>
      </c>
      <c r="AP100" t="inlineStr">
        <is>
          <t>No</t>
        </is>
      </c>
      <c r="AQ100" t="inlineStr">
        <is>
          <t>Yes</t>
        </is>
      </c>
      <c r="AR100">
        <f>HYPERLINK("http://catalog.hathitrust.org/Record/007476487","HathiTrust Record")</f>
        <v/>
      </c>
      <c r="AS100">
        <f>HYPERLINK("https://creighton-primo.hosted.exlibrisgroup.com/primo-explore/search?tab=default_tab&amp;search_scope=EVERYTHING&amp;vid=01CRU&amp;lang=en_US&amp;offset=0&amp;query=any,contains,991005243839702656","Catalog Record")</f>
        <v/>
      </c>
      <c r="AT100">
        <f>HYPERLINK("http://www.worldcat.org/oclc/8440851","WorldCat Record")</f>
        <v/>
      </c>
      <c r="AU100" t="inlineStr">
        <is>
          <t>236788077:eng</t>
        </is>
      </c>
      <c r="AV100" t="inlineStr">
        <is>
          <t>8440851</t>
        </is>
      </c>
      <c r="AW100" t="inlineStr">
        <is>
          <t>991005243839702656</t>
        </is>
      </c>
      <c r="AX100" t="inlineStr">
        <is>
          <t>991005243839702656</t>
        </is>
      </c>
      <c r="AY100" t="inlineStr">
        <is>
          <t>2262197280002656</t>
        </is>
      </c>
      <c r="AZ100" t="inlineStr">
        <is>
          <t>BOOK</t>
        </is>
      </c>
      <c r="BB100" t="inlineStr">
        <is>
          <t>9780808722106</t>
        </is>
      </c>
      <c r="BC100" t="inlineStr">
        <is>
          <t>32285001686343</t>
        </is>
      </c>
      <c r="BD100" t="inlineStr">
        <is>
          <t>893625684</t>
        </is>
      </c>
    </row>
    <row r="101">
      <c r="A101" t="inlineStr">
        <is>
          <t>No</t>
        </is>
      </c>
      <c r="B101" t="inlineStr">
        <is>
          <t>QL155 .H6 1927</t>
        </is>
      </c>
      <c r="C101" t="inlineStr">
        <is>
          <t>0                      QL 0155000H  6           1927</t>
        </is>
      </c>
      <c r="D101" t="inlineStr">
        <is>
          <t>Hornaday's American natural history; a foundation of useful knowledge of the higher animals of North America.</t>
        </is>
      </c>
      <c r="F101" t="inlineStr">
        <is>
          <t>No</t>
        </is>
      </c>
      <c r="G101" t="inlineStr">
        <is>
          <t>1</t>
        </is>
      </c>
      <c r="H101" t="inlineStr">
        <is>
          <t>No</t>
        </is>
      </c>
      <c r="I101" t="inlineStr">
        <is>
          <t>No</t>
        </is>
      </c>
      <c r="J101" t="inlineStr">
        <is>
          <t>0</t>
        </is>
      </c>
      <c r="K101" t="inlineStr">
        <is>
          <t>Hornaday, William T. (William Temple), 1854-1937.</t>
        </is>
      </c>
      <c r="L101" t="inlineStr">
        <is>
          <t>New York, C. Scribner's sons, c1927.</t>
        </is>
      </c>
      <c r="M101" t="inlineStr">
        <is>
          <t>1927</t>
        </is>
      </c>
      <c r="N101" t="inlineStr">
        <is>
          <t>13th ed., rev.</t>
        </is>
      </c>
      <c r="O101" t="inlineStr">
        <is>
          <t>eng</t>
        </is>
      </c>
      <c r="P101" t="inlineStr">
        <is>
          <t xml:space="preserve">xx </t>
        </is>
      </c>
      <c r="R101" t="inlineStr">
        <is>
          <t xml:space="preserve">QL </t>
        </is>
      </c>
      <c r="S101" t="n">
        <v>3</v>
      </c>
      <c r="T101" t="n">
        <v>3</v>
      </c>
      <c r="U101" t="inlineStr">
        <is>
          <t>1999-02-19</t>
        </is>
      </c>
      <c r="V101" t="inlineStr">
        <is>
          <t>1999-02-19</t>
        </is>
      </c>
      <c r="W101" t="inlineStr">
        <is>
          <t>1997-07-19</t>
        </is>
      </c>
      <c r="X101" t="inlineStr">
        <is>
          <t>1997-07-19</t>
        </is>
      </c>
      <c r="Y101" t="n">
        <v>14</v>
      </c>
      <c r="Z101" t="n">
        <v>14</v>
      </c>
      <c r="AA101" t="n">
        <v>290</v>
      </c>
      <c r="AB101" t="n">
        <v>2</v>
      </c>
      <c r="AC101" t="n">
        <v>3</v>
      </c>
      <c r="AD101" t="n">
        <v>1</v>
      </c>
      <c r="AE101" t="n">
        <v>6</v>
      </c>
      <c r="AF101" t="n">
        <v>0</v>
      </c>
      <c r="AG101" t="n">
        <v>1</v>
      </c>
      <c r="AH101" t="n">
        <v>0</v>
      </c>
      <c r="AI101" t="n">
        <v>1</v>
      </c>
      <c r="AJ101" t="n">
        <v>0</v>
      </c>
      <c r="AK101" t="n">
        <v>3</v>
      </c>
      <c r="AL101" t="n">
        <v>1</v>
      </c>
      <c r="AM101" t="n">
        <v>2</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HYPERLINK("https://creighton-primo.hosted.exlibrisgroup.com/primo-explore/search?tab=default_tab&amp;search_scope=EVERYTHING&amp;vid=01CRU&amp;lang=en_US&amp;offset=0&amp;query=any,contains,991004781009702656","Catalog Record")</f>
        <v/>
      </c>
      <c r="AT101">
        <f>HYPERLINK("http://www.worldcat.org/oclc/5107653","WorldCat Record")</f>
        <v/>
      </c>
      <c r="AU101" t="inlineStr">
        <is>
          <t>3855369647:eng</t>
        </is>
      </c>
      <c r="AV101" t="inlineStr">
        <is>
          <t>5107653</t>
        </is>
      </c>
      <c r="AW101" t="inlineStr">
        <is>
          <t>991004781009702656</t>
        </is>
      </c>
      <c r="AX101" t="inlineStr">
        <is>
          <t>991004781009702656</t>
        </is>
      </c>
      <c r="AY101" t="inlineStr">
        <is>
          <t>2272589520002656</t>
        </is>
      </c>
      <c r="AZ101" t="inlineStr">
        <is>
          <t>BOOK</t>
        </is>
      </c>
      <c r="BC101" t="inlineStr">
        <is>
          <t>32285002939436</t>
        </is>
      </c>
      <c r="BD101" t="inlineStr">
        <is>
          <t>893901752</t>
        </is>
      </c>
    </row>
    <row r="102">
      <c r="A102" t="inlineStr">
        <is>
          <t>No</t>
        </is>
      </c>
      <c r="B102" t="inlineStr">
        <is>
          <t>QL155 .P7</t>
        </is>
      </c>
      <c r="C102" t="inlineStr">
        <is>
          <t>0                      QL 0155000P  7</t>
        </is>
      </c>
      <c r="D102" t="inlineStr">
        <is>
          <t>A manual of land and fresh water vertebrate animals of the United States (exclusive of birds) by Henry Sherring Pratt ... with 184 illustrations.</t>
        </is>
      </c>
      <c r="F102" t="inlineStr">
        <is>
          <t>No</t>
        </is>
      </c>
      <c r="G102" t="inlineStr">
        <is>
          <t>1</t>
        </is>
      </c>
      <c r="H102" t="inlineStr">
        <is>
          <t>No</t>
        </is>
      </c>
      <c r="I102" t="inlineStr">
        <is>
          <t>No</t>
        </is>
      </c>
      <c r="J102" t="inlineStr">
        <is>
          <t>0</t>
        </is>
      </c>
      <c r="K102" t="inlineStr">
        <is>
          <t>Pratt, Henry Sherring, 1859-1946.</t>
        </is>
      </c>
      <c r="L102" t="inlineStr">
        <is>
          <t>Philadelphia, Blakiston's [c1923]</t>
        </is>
      </c>
      <c r="M102" t="inlineStr">
        <is>
          <t>1923</t>
        </is>
      </c>
      <c r="O102" t="inlineStr">
        <is>
          <t>eng</t>
        </is>
      </c>
      <c r="P102" t="inlineStr">
        <is>
          <t>pau</t>
        </is>
      </c>
      <c r="R102" t="inlineStr">
        <is>
          <t xml:space="preserve">QL </t>
        </is>
      </c>
      <c r="S102" t="n">
        <v>2</v>
      </c>
      <c r="T102" t="n">
        <v>2</v>
      </c>
      <c r="U102" t="inlineStr">
        <is>
          <t>1999-11-29</t>
        </is>
      </c>
      <c r="V102" t="inlineStr">
        <is>
          <t>1999-11-29</t>
        </is>
      </c>
      <c r="W102" t="inlineStr">
        <is>
          <t>1997-07-19</t>
        </is>
      </c>
      <c r="X102" t="inlineStr">
        <is>
          <t>1997-07-19</t>
        </is>
      </c>
      <c r="Y102" t="n">
        <v>244</v>
      </c>
      <c r="Z102" t="n">
        <v>225</v>
      </c>
      <c r="AA102" t="n">
        <v>406</v>
      </c>
      <c r="AB102" t="n">
        <v>4</v>
      </c>
      <c r="AC102" t="n">
        <v>4</v>
      </c>
      <c r="AD102" t="n">
        <v>7</v>
      </c>
      <c r="AE102" t="n">
        <v>15</v>
      </c>
      <c r="AF102" t="n">
        <v>0</v>
      </c>
      <c r="AG102" t="n">
        <v>3</v>
      </c>
      <c r="AH102" t="n">
        <v>0</v>
      </c>
      <c r="AI102" t="n">
        <v>2</v>
      </c>
      <c r="AJ102" t="n">
        <v>4</v>
      </c>
      <c r="AK102" t="n">
        <v>10</v>
      </c>
      <c r="AL102" t="n">
        <v>3</v>
      </c>
      <c r="AM102" t="n">
        <v>3</v>
      </c>
      <c r="AN102" t="n">
        <v>0</v>
      </c>
      <c r="AO102" t="n">
        <v>0</v>
      </c>
      <c r="AP102" t="inlineStr">
        <is>
          <t>Yes</t>
        </is>
      </c>
      <c r="AQ102" t="inlineStr">
        <is>
          <t>No</t>
        </is>
      </c>
      <c r="AR102">
        <f>HYPERLINK("http://catalog.hathitrust.org/Record/001507986","HathiTrust Record")</f>
        <v/>
      </c>
      <c r="AS102">
        <f>HYPERLINK("https://creighton-primo.hosted.exlibrisgroup.com/primo-explore/search?tab=default_tab&amp;search_scope=EVERYTHING&amp;vid=01CRU&amp;lang=en_US&amp;offset=0&amp;query=any,contains,991003452489702656","Catalog Record")</f>
        <v/>
      </c>
      <c r="AT102">
        <f>HYPERLINK("http://www.worldcat.org/oclc/991373","WorldCat Record")</f>
        <v/>
      </c>
      <c r="AU102" t="inlineStr">
        <is>
          <t>1974069:eng</t>
        </is>
      </c>
      <c r="AV102" t="inlineStr">
        <is>
          <t>991373</t>
        </is>
      </c>
      <c r="AW102" t="inlineStr">
        <is>
          <t>991003452489702656</t>
        </is>
      </c>
      <c r="AX102" t="inlineStr">
        <is>
          <t>991003452489702656</t>
        </is>
      </c>
      <c r="AY102" t="inlineStr">
        <is>
          <t>2256900990002656</t>
        </is>
      </c>
      <c r="AZ102" t="inlineStr">
        <is>
          <t>BOOK</t>
        </is>
      </c>
      <c r="BC102" t="inlineStr">
        <is>
          <t>32285002939444</t>
        </is>
      </c>
      <c r="BD102" t="inlineStr">
        <is>
          <t>893422579</t>
        </is>
      </c>
    </row>
    <row r="103">
      <c r="A103" t="inlineStr">
        <is>
          <t>No</t>
        </is>
      </c>
      <c r="B103" t="inlineStr">
        <is>
          <t>QL161 .N42</t>
        </is>
      </c>
      <c r="C103" t="inlineStr">
        <is>
          <t>0                      QL 0161000N  42</t>
        </is>
      </c>
      <c r="D103" t="inlineStr">
        <is>
          <t>Report upon natural history collections made in Alaska between the years 1877 and 1881 / by Edward W. Nelson. ; Ed. by Henry W. Henshaw.</t>
        </is>
      </c>
      <c r="F103" t="inlineStr">
        <is>
          <t>No</t>
        </is>
      </c>
      <c r="G103" t="inlineStr">
        <is>
          <t>1</t>
        </is>
      </c>
      <c r="H103" t="inlineStr">
        <is>
          <t>No</t>
        </is>
      </c>
      <c r="I103" t="inlineStr">
        <is>
          <t>No</t>
        </is>
      </c>
      <c r="J103" t="inlineStr">
        <is>
          <t>0</t>
        </is>
      </c>
      <c r="K103" t="inlineStr">
        <is>
          <t>Nelson, Edward William, 1855-1934.</t>
        </is>
      </c>
      <c r="L103" t="inlineStr">
        <is>
          <t>Washington : Government Printing Office, 1887.</t>
        </is>
      </c>
      <c r="M103" t="inlineStr">
        <is>
          <t>1887</t>
        </is>
      </c>
      <c r="O103" t="inlineStr">
        <is>
          <t>eng</t>
        </is>
      </c>
      <c r="P103" t="inlineStr">
        <is>
          <t>___</t>
        </is>
      </c>
      <c r="Q103" t="inlineStr">
        <is>
          <t>Arctic series of publications issued in connection with the Signal Service, U.S. Army, no. III</t>
        </is>
      </c>
      <c r="R103" t="inlineStr">
        <is>
          <t xml:space="preserve">QL </t>
        </is>
      </c>
      <c r="S103" t="n">
        <v>0</v>
      </c>
      <c r="T103" t="n">
        <v>0</v>
      </c>
      <c r="U103" t="inlineStr">
        <is>
          <t>2001-10-24</t>
        </is>
      </c>
      <c r="V103" t="inlineStr">
        <is>
          <t>2001-10-24</t>
        </is>
      </c>
      <c r="W103" t="inlineStr">
        <is>
          <t>1993-05-25</t>
        </is>
      </c>
      <c r="X103" t="inlineStr">
        <is>
          <t>1993-05-25</t>
        </is>
      </c>
      <c r="Y103" t="n">
        <v>210</v>
      </c>
      <c r="Z103" t="n">
        <v>186</v>
      </c>
      <c r="AA103" t="n">
        <v>282</v>
      </c>
      <c r="AB103" t="n">
        <v>1</v>
      </c>
      <c r="AC103" t="n">
        <v>3</v>
      </c>
      <c r="AD103" t="n">
        <v>5</v>
      </c>
      <c r="AE103" t="n">
        <v>12</v>
      </c>
      <c r="AF103" t="n">
        <v>3</v>
      </c>
      <c r="AG103" t="n">
        <v>5</v>
      </c>
      <c r="AH103" t="n">
        <v>1</v>
      </c>
      <c r="AI103" t="n">
        <v>2</v>
      </c>
      <c r="AJ103" t="n">
        <v>2</v>
      </c>
      <c r="AK103" t="n">
        <v>5</v>
      </c>
      <c r="AL103" t="n">
        <v>0</v>
      </c>
      <c r="AM103" t="n">
        <v>2</v>
      </c>
      <c r="AN103" t="n">
        <v>0</v>
      </c>
      <c r="AO103" t="n">
        <v>1</v>
      </c>
      <c r="AP103" t="inlineStr">
        <is>
          <t>Yes</t>
        </is>
      </c>
      <c r="AQ103" t="inlineStr">
        <is>
          <t>No</t>
        </is>
      </c>
      <c r="AR103">
        <f>HYPERLINK("http://catalog.hathitrust.org/Record/001499080","HathiTrust Record")</f>
        <v/>
      </c>
      <c r="AS103">
        <f>HYPERLINK("https://creighton-primo.hosted.exlibrisgroup.com/primo-explore/search?tab=default_tab&amp;search_scope=EVERYTHING&amp;vid=01CRU&amp;lang=en_US&amp;offset=0&amp;query=any,contains,991003404539702656","Catalog Record")</f>
        <v/>
      </c>
      <c r="AT103">
        <f>HYPERLINK("http://www.worldcat.org/oclc/944162","WorldCat Record")</f>
        <v/>
      </c>
      <c r="AU103" t="inlineStr">
        <is>
          <t>347581347:eng</t>
        </is>
      </c>
      <c r="AV103" t="inlineStr">
        <is>
          <t>944162</t>
        </is>
      </c>
      <c r="AW103" t="inlineStr">
        <is>
          <t>991003404539702656</t>
        </is>
      </c>
      <c r="AX103" t="inlineStr">
        <is>
          <t>991003404539702656</t>
        </is>
      </c>
      <c r="AY103" t="inlineStr">
        <is>
          <t>2265333690002656</t>
        </is>
      </c>
      <c r="AZ103" t="inlineStr">
        <is>
          <t>BOOK</t>
        </is>
      </c>
      <c r="BC103" t="inlineStr">
        <is>
          <t>32285001686350</t>
        </is>
      </c>
      <c r="BD103" t="inlineStr">
        <is>
          <t>893881127</t>
        </is>
      </c>
    </row>
    <row r="104">
      <c r="A104" t="inlineStr">
        <is>
          <t>No</t>
        </is>
      </c>
      <c r="B104" t="inlineStr">
        <is>
          <t>QL207 .W38 1979</t>
        </is>
      </c>
      <c r="C104" t="inlineStr">
        <is>
          <t>0                      QL 0207000W  38          1979</t>
        </is>
      </c>
      <c r="D104" t="inlineStr">
        <is>
          <t>Naturalist's Big Bend : an introduction to the trees and shrubs, wildflowers, cacti, mammals, birds, reptiles and amphibians, fish, and insects / by Roland H. Wauer.</t>
        </is>
      </c>
      <c r="F104" t="inlineStr">
        <is>
          <t>No</t>
        </is>
      </c>
      <c r="G104" t="inlineStr">
        <is>
          <t>1</t>
        </is>
      </c>
      <c r="H104" t="inlineStr">
        <is>
          <t>No</t>
        </is>
      </c>
      <c r="I104" t="inlineStr">
        <is>
          <t>No</t>
        </is>
      </c>
      <c r="J104" t="inlineStr">
        <is>
          <t>0</t>
        </is>
      </c>
      <c r="K104" t="inlineStr">
        <is>
          <t>Wauer, Roland H.</t>
        </is>
      </c>
      <c r="L104" t="inlineStr">
        <is>
          <t>College Station : Texas A &amp; M University Press, 1980.</t>
        </is>
      </c>
      <c r="M104" t="inlineStr">
        <is>
          <t>1979</t>
        </is>
      </c>
      <c r="O104" t="inlineStr">
        <is>
          <t>eng</t>
        </is>
      </c>
      <c r="P104" t="inlineStr">
        <is>
          <t>txu</t>
        </is>
      </c>
      <c r="R104" t="inlineStr">
        <is>
          <t xml:space="preserve">QL </t>
        </is>
      </c>
      <c r="S104" t="n">
        <v>1</v>
      </c>
      <c r="T104" t="n">
        <v>1</v>
      </c>
      <c r="U104" t="inlineStr">
        <is>
          <t>1998-02-23</t>
        </is>
      </c>
      <c r="V104" t="inlineStr">
        <is>
          <t>1998-02-23</t>
        </is>
      </c>
      <c r="W104" t="inlineStr">
        <is>
          <t>1993-05-25</t>
        </is>
      </c>
      <c r="X104" t="inlineStr">
        <is>
          <t>1993-05-25</t>
        </is>
      </c>
      <c r="Y104" t="n">
        <v>303</v>
      </c>
      <c r="Z104" t="n">
        <v>296</v>
      </c>
      <c r="AA104" t="n">
        <v>466</v>
      </c>
      <c r="AB104" t="n">
        <v>6</v>
      </c>
      <c r="AC104" t="n">
        <v>6</v>
      </c>
      <c r="AD104" t="n">
        <v>6</v>
      </c>
      <c r="AE104" t="n">
        <v>9</v>
      </c>
      <c r="AF104" t="n">
        <v>1</v>
      </c>
      <c r="AG104" t="n">
        <v>2</v>
      </c>
      <c r="AH104" t="n">
        <v>0</v>
      </c>
      <c r="AI104" t="n">
        <v>0</v>
      </c>
      <c r="AJ104" t="n">
        <v>0</v>
      </c>
      <c r="AK104" t="n">
        <v>3</v>
      </c>
      <c r="AL104" t="n">
        <v>5</v>
      </c>
      <c r="AM104" t="n">
        <v>5</v>
      </c>
      <c r="AN104" t="n">
        <v>0</v>
      </c>
      <c r="AO104" t="n">
        <v>0</v>
      </c>
      <c r="AP104" t="inlineStr">
        <is>
          <t>No</t>
        </is>
      </c>
      <c r="AQ104" t="inlineStr">
        <is>
          <t>Yes</t>
        </is>
      </c>
      <c r="AR104">
        <f>HYPERLINK("http://catalog.hathitrust.org/Record/009518785","HathiTrust Record")</f>
        <v/>
      </c>
      <c r="AS104">
        <f>HYPERLINK("https://creighton-primo.hosted.exlibrisgroup.com/primo-explore/search?tab=default_tab&amp;search_scope=EVERYTHING&amp;vid=01CRU&amp;lang=en_US&amp;offset=0&amp;query=any,contains,991004856309702656","Catalog Record")</f>
        <v/>
      </c>
      <c r="AT104">
        <f>HYPERLINK("http://www.worldcat.org/oclc/5675262","WorldCat Record")</f>
        <v/>
      </c>
      <c r="AU104" t="inlineStr">
        <is>
          <t>796158108:eng</t>
        </is>
      </c>
      <c r="AV104" t="inlineStr">
        <is>
          <t>5675262</t>
        </is>
      </c>
      <c r="AW104" t="inlineStr">
        <is>
          <t>991004856309702656</t>
        </is>
      </c>
      <c r="AX104" t="inlineStr">
        <is>
          <t>991004856309702656</t>
        </is>
      </c>
      <c r="AY104" t="inlineStr">
        <is>
          <t>2260640210002656</t>
        </is>
      </c>
      <c r="AZ104" t="inlineStr">
        <is>
          <t>BOOK</t>
        </is>
      </c>
      <c r="BB104" t="inlineStr">
        <is>
          <t>9780890960691</t>
        </is>
      </c>
      <c r="BC104" t="inlineStr">
        <is>
          <t>32285001686376</t>
        </is>
      </c>
      <c r="BD104" t="inlineStr">
        <is>
          <t>893889377</t>
        </is>
      </c>
    </row>
    <row r="105">
      <c r="A105" t="inlineStr">
        <is>
          <t>No</t>
        </is>
      </c>
      <c r="B105" t="inlineStr">
        <is>
          <t>QL243 .C44 2008</t>
        </is>
      </c>
      <c r="C105" t="inlineStr">
        <is>
          <t>0                      QL 0243000C  44          2008</t>
        </is>
      </c>
      <c r="D105" t="inlineStr">
        <is>
          <t>A wildlife guide to Chile : continental Chile, Chilean Antarctica, Easter Island, Juan Fernandez Archipelago / Sharon Chester.</t>
        </is>
      </c>
      <c r="F105" t="inlineStr">
        <is>
          <t>No</t>
        </is>
      </c>
      <c r="G105" t="inlineStr">
        <is>
          <t>1</t>
        </is>
      </c>
      <c r="H105" t="inlineStr">
        <is>
          <t>No</t>
        </is>
      </c>
      <c r="I105" t="inlineStr">
        <is>
          <t>No</t>
        </is>
      </c>
      <c r="J105" t="inlineStr">
        <is>
          <t>0</t>
        </is>
      </c>
      <c r="K105" t="inlineStr">
        <is>
          <t>Chester, Sharon R.</t>
        </is>
      </c>
      <c r="L105" t="inlineStr">
        <is>
          <t>Princeton, N.J. : Princeton University Press, c2008.</t>
        </is>
      </c>
      <c r="M105" t="inlineStr">
        <is>
          <t>2008</t>
        </is>
      </c>
      <c r="O105" t="inlineStr">
        <is>
          <t>eng</t>
        </is>
      </c>
      <c r="P105" t="inlineStr">
        <is>
          <t>nju</t>
        </is>
      </c>
      <c r="R105" t="inlineStr">
        <is>
          <t xml:space="preserve">QL </t>
        </is>
      </c>
      <c r="S105" t="n">
        <v>2</v>
      </c>
      <c r="T105" t="n">
        <v>2</v>
      </c>
      <c r="U105" t="inlineStr">
        <is>
          <t>2009-01-20</t>
        </is>
      </c>
      <c r="V105" t="inlineStr">
        <is>
          <t>2009-01-20</t>
        </is>
      </c>
      <c r="W105" t="inlineStr">
        <is>
          <t>2009-01-20</t>
        </is>
      </c>
      <c r="X105" t="inlineStr">
        <is>
          <t>2009-01-20</t>
        </is>
      </c>
      <c r="Y105" t="n">
        <v>159</v>
      </c>
      <c r="Z105" t="n">
        <v>138</v>
      </c>
      <c r="AA105" t="n">
        <v>670</v>
      </c>
      <c r="AB105" t="n">
        <v>1</v>
      </c>
      <c r="AC105" t="n">
        <v>5</v>
      </c>
      <c r="AD105" t="n">
        <v>5</v>
      </c>
      <c r="AE105" t="n">
        <v>30</v>
      </c>
      <c r="AF105" t="n">
        <v>3</v>
      </c>
      <c r="AG105" t="n">
        <v>12</v>
      </c>
      <c r="AH105" t="n">
        <v>1</v>
      </c>
      <c r="AI105" t="n">
        <v>7</v>
      </c>
      <c r="AJ105" t="n">
        <v>2</v>
      </c>
      <c r="AK105" t="n">
        <v>13</v>
      </c>
      <c r="AL105" t="n">
        <v>0</v>
      </c>
      <c r="AM105" t="n">
        <v>4</v>
      </c>
      <c r="AN105" t="n">
        <v>0</v>
      </c>
      <c r="AO105" t="n">
        <v>1</v>
      </c>
      <c r="AP105" t="inlineStr">
        <is>
          <t>No</t>
        </is>
      </c>
      <c r="AQ105" t="inlineStr">
        <is>
          <t>No</t>
        </is>
      </c>
      <c r="AS105">
        <f>HYPERLINK("https://creighton-primo.hosted.exlibrisgroup.com/primo-explore/search?tab=default_tab&amp;search_scope=EVERYTHING&amp;vid=01CRU&amp;lang=en_US&amp;offset=0&amp;query=any,contains,991005282799702656","Catalog Record")</f>
        <v/>
      </c>
      <c r="AT105">
        <f>HYPERLINK("http://www.worldcat.org/oclc/173502714","WorldCat Record")</f>
        <v/>
      </c>
      <c r="AU105" t="inlineStr">
        <is>
          <t>263814238:eng</t>
        </is>
      </c>
      <c r="AV105" t="inlineStr">
        <is>
          <t>173502714</t>
        </is>
      </c>
      <c r="AW105" t="inlineStr">
        <is>
          <t>991005282799702656</t>
        </is>
      </c>
      <c r="AX105" t="inlineStr">
        <is>
          <t>991005282799702656</t>
        </is>
      </c>
      <c r="AY105" t="inlineStr">
        <is>
          <t>2268486840002656</t>
        </is>
      </c>
      <c r="AZ105" t="inlineStr">
        <is>
          <t>BOOK</t>
        </is>
      </c>
      <c r="BB105" t="inlineStr">
        <is>
          <t>9780691129754</t>
        </is>
      </c>
      <c r="BC105" t="inlineStr">
        <is>
          <t>32285005479935</t>
        </is>
      </c>
      <c r="BD105" t="inlineStr">
        <is>
          <t>893877238</t>
        </is>
      </c>
    </row>
    <row r="106">
      <c r="A106" t="inlineStr">
        <is>
          <t>No</t>
        </is>
      </c>
      <c r="B106" t="inlineStr">
        <is>
          <t>QL246 .B35 1925</t>
        </is>
      </c>
      <c r="C106" t="inlineStr">
        <is>
          <t>0                      QL 0246000B  35          1925</t>
        </is>
      </c>
      <c r="D106" t="inlineStr">
        <is>
          <t>Jungle days / by William Beebe.</t>
        </is>
      </c>
      <c r="F106" t="inlineStr">
        <is>
          <t>No</t>
        </is>
      </c>
      <c r="G106" t="inlineStr">
        <is>
          <t>1</t>
        </is>
      </c>
      <c r="H106" t="inlineStr">
        <is>
          <t>No</t>
        </is>
      </c>
      <c r="I106" t="inlineStr">
        <is>
          <t>No</t>
        </is>
      </c>
      <c r="J106" t="inlineStr">
        <is>
          <t>0</t>
        </is>
      </c>
      <c r="K106" t="inlineStr">
        <is>
          <t>Beebe, William, 1877-1962.</t>
        </is>
      </c>
      <c r="L106" t="inlineStr">
        <is>
          <t>New York ; London : G.P. Putnam's Sons, 1925.</t>
        </is>
      </c>
      <c r="M106" t="inlineStr">
        <is>
          <t>1925</t>
        </is>
      </c>
      <c r="O106" t="inlineStr">
        <is>
          <t>eng</t>
        </is>
      </c>
      <c r="P106" t="inlineStr">
        <is>
          <t>nyu</t>
        </is>
      </c>
      <c r="R106" t="inlineStr">
        <is>
          <t xml:space="preserve">QL </t>
        </is>
      </c>
      <c r="S106" t="n">
        <v>1</v>
      </c>
      <c r="T106" t="n">
        <v>1</v>
      </c>
      <c r="U106" t="inlineStr">
        <is>
          <t>2000-09-21</t>
        </is>
      </c>
      <c r="V106" t="inlineStr">
        <is>
          <t>2000-09-21</t>
        </is>
      </c>
      <c r="W106" t="inlineStr">
        <is>
          <t>2000-09-21</t>
        </is>
      </c>
      <c r="X106" t="inlineStr">
        <is>
          <t>2000-09-21</t>
        </is>
      </c>
      <c r="Y106" t="n">
        <v>412</v>
      </c>
      <c r="Z106" t="n">
        <v>372</v>
      </c>
      <c r="AA106" t="n">
        <v>533</v>
      </c>
      <c r="AB106" t="n">
        <v>5</v>
      </c>
      <c r="AC106" t="n">
        <v>6</v>
      </c>
      <c r="AD106" t="n">
        <v>11</v>
      </c>
      <c r="AE106" t="n">
        <v>23</v>
      </c>
      <c r="AF106" t="n">
        <v>1</v>
      </c>
      <c r="AG106" t="n">
        <v>6</v>
      </c>
      <c r="AH106" t="n">
        <v>3</v>
      </c>
      <c r="AI106" t="n">
        <v>3</v>
      </c>
      <c r="AJ106" t="n">
        <v>6</v>
      </c>
      <c r="AK106" t="n">
        <v>14</v>
      </c>
      <c r="AL106" t="n">
        <v>4</v>
      </c>
      <c r="AM106" t="n">
        <v>5</v>
      </c>
      <c r="AN106" t="n">
        <v>0</v>
      </c>
      <c r="AO106" t="n">
        <v>0</v>
      </c>
      <c r="AP106" t="inlineStr">
        <is>
          <t>No</t>
        </is>
      </c>
      <c r="AQ106" t="inlineStr">
        <is>
          <t>Yes</t>
        </is>
      </c>
      <c r="AR106">
        <f>HYPERLINK("http://catalog.hathitrust.org/Record/001499113","HathiTrust Record")</f>
        <v/>
      </c>
      <c r="AS106">
        <f>HYPERLINK("https://creighton-primo.hosted.exlibrisgroup.com/primo-explore/search?tab=default_tab&amp;search_scope=EVERYTHING&amp;vid=01CRU&amp;lang=en_US&amp;offset=0&amp;query=any,contains,991003289669702656","Catalog Record")</f>
        <v/>
      </c>
      <c r="AT106">
        <f>HYPERLINK("http://www.worldcat.org/oclc/556835","WorldCat Record")</f>
        <v/>
      </c>
      <c r="AU106" t="inlineStr">
        <is>
          <t>1909048881:eng</t>
        </is>
      </c>
      <c r="AV106" t="inlineStr">
        <is>
          <t>556835</t>
        </is>
      </c>
      <c r="AW106" t="inlineStr">
        <is>
          <t>991003289669702656</t>
        </is>
      </c>
      <c r="AX106" t="inlineStr">
        <is>
          <t>991003289669702656</t>
        </is>
      </c>
      <c r="AY106" t="inlineStr">
        <is>
          <t>2259936980002656</t>
        </is>
      </c>
      <c r="AZ106" t="inlineStr">
        <is>
          <t>BOOK</t>
        </is>
      </c>
      <c r="BC106" t="inlineStr">
        <is>
          <t>32285003763975</t>
        </is>
      </c>
      <c r="BD106" t="inlineStr">
        <is>
          <t>893258268</t>
        </is>
      </c>
    </row>
    <row r="107">
      <c r="A107" t="inlineStr">
        <is>
          <t>No</t>
        </is>
      </c>
      <c r="B107" t="inlineStr">
        <is>
          <t>QL26 .L426 2010</t>
        </is>
      </c>
      <c r="C107" t="inlineStr">
        <is>
          <t>0                      QL 0026000L  426         2010</t>
        </is>
      </c>
      <c r="D107" t="inlineStr">
        <is>
          <t>Leaders in animal behavior : the second generation / edited by Lee Drickamer, Donald Dewsbury.</t>
        </is>
      </c>
      <c r="F107" t="inlineStr">
        <is>
          <t>No</t>
        </is>
      </c>
      <c r="G107" t="inlineStr">
        <is>
          <t>1</t>
        </is>
      </c>
      <c r="H107" t="inlineStr">
        <is>
          <t>No</t>
        </is>
      </c>
      <c r="I107" t="inlineStr">
        <is>
          <t>No</t>
        </is>
      </c>
      <c r="J107" t="inlineStr">
        <is>
          <t>0</t>
        </is>
      </c>
      <c r="L107" t="inlineStr">
        <is>
          <t>New York : Cambridge University Press, 2010.</t>
        </is>
      </c>
      <c r="M107" t="inlineStr">
        <is>
          <t>2010</t>
        </is>
      </c>
      <c r="O107" t="inlineStr">
        <is>
          <t>eng</t>
        </is>
      </c>
      <c r="P107" t="inlineStr">
        <is>
          <t>nyu</t>
        </is>
      </c>
      <c r="R107" t="inlineStr">
        <is>
          <t xml:space="preserve">QL </t>
        </is>
      </c>
      <c r="S107" t="n">
        <v>1</v>
      </c>
      <c r="T107" t="n">
        <v>1</v>
      </c>
      <c r="U107" t="inlineStr">
        <is>
          <t>2010-04-12</t>
        </is>
      </c>
      <c r="V107" t="inlineStr">
        <is>
          <t>2010-04-12</t>
        </is>
      </c>
      <c r="W107" t="inlineStr">
        <is>
          <t>2010-04-12</t>
        </is>
      </c>
      <c r="X107" t="inlineStr">
        <is>
          <t>2010-04-12</t>
        </is>
      </c>
      <c r="Y107" t="n">
        <v>283</v>
      </c>
      <c r="Z107" t="n">
        <v>223</v>
      </c>
      <c r="AA107" t="n">
        <v>223</v>
      </c>
      <c r="AB107" t="n">
        <v>3</v>
      </c>
      <c r="AC107" t="n">
        <v>3</v>
      </c>
      <c r="AD107" t="n">
        <v>11</v>
      </c>
      <c r="AE107" t="n">
        <v>11</v>
      </c>
      <c r="AF107" t="n">
        <v>4</v>
      </c>
      <c r="AG107" t="n">
        <v>4</v>
      </c>
      <c r="AH107" t="n">
        <v>4</v>
      </c>
      <c r="AI107" t="n">
        <v>4</v>
      </c>
      <c r="AJ107" t="n">
        <v>4</v>
      </c>
      <c r="AK107" t="n">
        <v>4</v>
      </c>
      <c r="AL107" t="n">
        <v>2</v>
      </c>
      <c r="AM107" t="n">
        <v>2</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HYPERLINK("https://creighton-primo.hosted.exlibrisgroup.com/primo-explore/search?tab=default_tab&amp;search_scope=EVERYTHING&amp;vid=01CRU&amp;lang=en_US&amp;offset=0&amp;query=any,contains,991005379439702656","Catalog Record")</f>
        <v/>
      </c>
      <c r="AT107">
        <f>HYPERLINK("http://www.worldcat.org/oclc/351331776","WorldCat Record")</f>
        <v/>
      </c>
      <c r="AU107" t="inlineStr">
        <is>
          <t>1028062182:eng</t>
        </is>
      </c>
      <c r="AV107" t="inlineStr">
        <is>
          <t>351331776</t>
        </is>
      </c>
      <c r="AW107" t="inlineStr">
        <is>
          <t>991005379439702656</t>
        </is>
      </c>
      <c r="AX107" t="inlineStr">
        <is>
          <t>991005379439702656</t>
        </is>
      </c>
      <c r="AY107" t="inlineStr">
        <is>
          <t>2258905840002656</t>
        </is>
      </c>
      <c r="AZ107" t="inlineStr">
        <is>
          <t>BOOK</t>
        </is>
      </c>
      <c r="BB107" t="inlineStr">
        <is>
          <t>9780521517584</t>
        </is>
      </c>
      <c r="BC107" t="inlineStr">
        <is>
          <t>32285005562870</t>
        </is>
      </c>
      <c r="BD107" t="inlineStr">
        <is>
          <t>893248830</t>
        </is>
      </c>
    </row>
    <row r="108">
      <c r="A108" t="inlineStr">
        <is>
          <t>No</t>
        </is>
      </c>
      <c r="B108" t="inlineStr">
        <is>
          <t>QL26 .L43 1985</t>
        </is>
      </c>
      <c r="C108" t="inlineStr">
        <is>
          <t>0                      QL 0026000L  43          1985</t>
        </is>
      </c>
      <c r="D108" t="inlineStr">
        <is>
          <t>Leaders in the study of animal behavior : autobiographical perspectives / edited by Donald A. Dewsbury.</t>
        </is>
      </c>
      <c r="F108" t="inlineStr">
        <is>
          <t>No</t>
        </is>
      </c>
      <c r="G108" t="inlineStr">
        <is>
          <t>1</t>
        </is>
      </c>
      <c r="H108" t="inlineStr">
        <is>
          <t>No</t>
        </is>
      </c>
      <c r="I108" t="inlineStr">
        <is>
          <t>No</t>
        </is>
      </c>
      <c r="J108" t="inlineStr">
        <is>
          <t>0</t>
        </is>
      </c>
      <c r="L108" t="inlineStr">
        <is>
          <t>Lewisburg [Pa.] : Bucknell University Press ; London : Associated University Presses, c1985.</t>
        </is>
      </c>
      <c r="M108" t="inlineStr">
        <is>
          <t>1985</t>
        </is>
      </c>
      <c r="O108" t="inlineStr">
        <is>
          <t>eng</t>
        </is>
      </c>
      <c r="P108" t="inlineStr">
        <is>
          <t>pau</t>
        </is>
      </c>
      <c r="Q108" t="inlineStr">
        <is>
          <t>Animal behavior series</t>
        </is>
      </c>
      <c r="R108" t="inlineStr">
        <is>
          <t xml:space="preserve">QL </t>
        </is>
      </c>
      <c r="S108" t="n">
        <v>5</v>
      </c>
      <c r="T108" t="n">
        <v>5</v>
      </c>
      <c r="U108" t="inlineStr">
        <is>
          <t>2009-10-26</t>
        </is>
      </c>
      <c r="V108" t="inlineStr">
        <is>
          <t>2009-10-26</t>
        </is>
      </c>
      <c r="W108" t="inlineStr">
        <is>
          <t>1993-05-21</t>
        </is>
      </c>
      <c r="X108" t="inlineStr">
        <is>
          <t>1993-05-21</t>
        </is>
      </c>
      <c r="Y108" t="n">
        <v>336</v>
      </c>
      <c r="Z108" t="n">
        <v>291</v>
      </c>
      <c r="AA108" t="n">
        <v>291</v>
      </c>
      <c r="AB108" t="n">
        <v>3</v>
      </c>
      <c r="AC108" t="n">
        <v>3</v>
      </c>
      <c r="AD108" t="n">
        <v>13</v>
      </c>
      <c r="AE108" t="n">
        <v>13</v>
      </c>
      <c r="AF108" t="n">
        <v>3</v>
      </c>
      <c r="AG108" t="n">
        <v>3</v>
      </c>
      <c r="AH108" t="n">
        <v>4</v>
      </c>
      <c r="AI108" t="n">
        <v>4</v>
      </c>
      <c r="AJ108" t="n">
        <v>6</v>
      </c>
      <c r="AK108" t="n">
        <v>6</v>
      </c>
      <c r="AL108" t="n">
        <v>2</v>
      </c>
      <c r="AM108" t="n">
        <v>2</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HYPERLINK("https://creighton-primo.hosted.exlibrisgroup.com/primo-explore/search?tab=default_tab&amp;search_scope=EVERYTHING&amp;vid=01CRU&amp;lang=en_US&amp;offset=0&amp;query=any,contains,991000478369702656","Catalog Record")</f>
        <v/>
      </c>
      <c r="AT108">
        <f>HYPERLINK("http://www.worldcat.org/oclc/11043774","WorldCat Record")</f>
        <v/>
      </c>
      <c r="AU108" t="inlineStr">
        <is>
          <t>3855271971:eng</t>
        </is>
      </c>
      <c r="AV108" t="inlineStr">
        <is>
          <t>11043774</t>
        </is>
      </c>
      <c r="AW108" t="inlineStr">
        <is>
          <t>991000478369702656</t>
        </is>
      </c>
      <c r="AX108" t="inlineStr">
        <is>
          <t>991000478369702656</t>
        </is>
      </c>
      <c r="AY108" t="inlineStr">
        <is>
          <t>2261747670002656</t>
        </is>
      </c>
      <c r="AZ108" t="inlineStr">
        <is>
          <t>BOOK</t>
        </is>
      </c>
      <c r="BB108" t="inlineStr">
        <is>
          <t>9780838750520</t>
        </is>
      </c>
      <c r="BC108" t="inlineStr">
        <is>
          <t>32285001685964</t>
        </is>
      </c>
      <c r="BD108" t="inlineStr">
        <is>
          <t>893702137</t>
        </is>
      </c>
    </row>
    <row r="109">
      <c r="A109" t="inlineStr">
        <is>
          <t>No</t>
        </is>
      </c>
      <c r="B109" t="inlineStr">
        <is>
          <t>QL31.A9 H3 2004</t>
        </is>
      </c>
      <c r="C109" t="inlineStr">
        <is>
          <t>0                      QL 0031000A  9                  H  3           2004</t>
        </is>
      </c>
      <c r="D109" t="inlineStr">
        <is>
          <t>Audubon's elephant : America's greatest naturalist and the making of the Birds of America / Duff Hart-Davis.</t>
        </is>
      </c>
      <c r="F109" t="inlineStr">
        <is>
          <t>No</t>
        </is>
      </c>
      <c r="G109" t="inlineStr">
        <is>
          <t>1</t>
        </is>
      </c>
      <c r="H109" t="inlineStr">
        <is>
          <t>No</t>
        </is>
      </c>
      <c r="I109" t="inlineStr">
        <is>
          <t>No</t>
        </is>
      </c>
      <c r="J109" t="inlineStr">
        <is>
          <t>0</t>
        </is>
      </c>
      <c r="K109" t="inlineStr">
        <is>
          <t>Hart-Davis, Duff.</t>
        </is>
      </c>
      <c r="L109" t="inlineStr">
        <is>
          <t>New York : H. Holt, 2004.</t>
        </is>
      </c>
      <c r="M109" t="inlineStr">
        <is>
          <t>2004</t>
        </is>
      </c>
      <c r="N109" t="inlineStr">
        <is>
          <t>1st American ed.</t>
        </is>
      </c>
      <c r="O109" t="inlineStr">
        <is>
          <t>eng</t>
        </is>
      </c>
      <c r="P109" t="inlineStr">
        <is>
          <t>nyu</t>
        </is>
      </c>
      <c r="R109" t="inlineStr">
        <is>
          <t xml:space="preserve">QL </t>
        </is>
      </c>
      <c r="S109" t="n">
        <v>1</v>
      </c>
      <c r="T109" t="n">
        <v>1</v>
      </c>
      <c r="U109" t="inlineStr">
        <is>
          <t>2004-11-29</t>
        </is>
      </c>
      <c r="V109" t="inlineStr">
        <is>
          <t>2004-11-29</t>
        </is>
      </c>
      <c r="W109" t="inlineStr">
        <is>
          <t>2004-11-29</t>
        </is>
      </c>
      <c r="X109" t="inlineStr">
        <is>
          <t>2004-11-29</t>
        </is>
      </c>
      <c r="Y109" t="n">
        <v>506</v>
      </c>
      <c r="Z109" t="n">
        <v>488</v>
      </c>
      <c r="AA109" t="n">
        <v>517</v>
      </c>
      <c r="AB109" t="n">
        <v>4</v>
      </c>
      <c r="AC109" t="n">
        <v>4</v>
      </c>
      <c r="AD109" t="n">
        <v>10</v>
      </c>
      <c r="AE109" t="n">
        <v>10</v>
      </c>
      <c r="AF109" t="n">
        <v>3</v>
      </c>
      <c r="AG109" t="n">
        <v>3</v>
      </c>
      <c r="AH109" t="n">
        <v>2</v>
      </c>
      <c r="AI109" t="n">
        <v>2</v>
      </c>
      <c r="AJ109" t="n">
        <v>4</v>
      </c>
      <c r="AK109" t="n">
        <v>4</v>
      </c>
      <c r="AL109" t="n">
        <v>2</v>
      </c>
      <c r="AM109" t="n">
        <v>2</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HYPERLINK("https://creighton-primo.hosted.exlibrisgroup.com/primo-explore/search?tab=default_tab&amp;search_scope=EVERYTHING&amp;vid=01CRU&amp;lang=en_US&amp;offset=0&amp;query=any,contains,991004413249702656","Catalog Record")</f>
        <v/>
      </c>
      <c r="AT109">
        <f>HYPERLINK("http://www.worldcat.org/oclc/52858489","WorldCat Record")</f>
        <v/>
      </c>
      <c r="AU109" t="inlineStr">
        <is>
          <t>3372241741:eng</t>
        </is>
      </c>
      <c r="AV109" t="inlineStr">
        <is>
          <t>52858489</t>
        </is>
      </c>
      <c r="AW109" t="inlineStr">
        <is>
          <t>991004413249702656</t>
        </is>
      </c>
      <c r="AX109" t="inlineStr">
        <is>
          <t>991004413249702656</t>
        </is>
      </c>
      <c r="AY109" t="inlineStr">
        <is>
          <t>2260716910002656</t>
        </is>
      </c>
      <c r="AZ109" t="inlineStr">
        <is>
          <t>BOOK</t>
        </is>
      </c>
      <c r="BB109" t="inlineStr">
        <is>
          <t>9780805075687</t>
        </is>
      </c>
      <c r="BC109" t="inlineStr">
        <is>
          <t>32285005012967</t>
        </is>
      </c>
      <c r="BD109" t="inlineStr">
        <is>
          <t>893423766</t>
        </is>
      </c>
    </row>
    <row r="110">
      <c r="A110" t="inlineStr">
        <is>
          <t>No</t>
        </is>
      </c>
      <c r="B110" t="inlineStr">
        <is>
          <t>QL31.A9 S68 2004</t>
        </is>
      </c>
      <c r="C110" t="inlineStr">
        <is>
          <t>0                      QL 0031000A  9                  S  68          2004</t>
        </is>
      </c>
      <c r="D110" t="inlineStr">
        <is>
          <t>Under a wild sky : John James Audubon and the making of the Birds of America / William Souder.</t>
        </is>
      </c>
      <c r="F110" t="inlineStr">
        <is>
          <t>No</t>
        </is>
      </c>
      <c r="G110" t="inlineStr">
        <is>
          <t>1</t>
        </is>
      </c>
      <c r="H110" t="inlineStr">
        <is>
          <t>No</t>
        </is>
      </c>
      <c r="I110" t="inlineStr">
        <is>
          <t>No</t>
        </is>
      </c>
      <c r="J110" t="inlineStr">
        <is>
          <t>0</t>
        </is>
      </c>
      <c r="K110" t="inlineStr">
        <is>
          <t>Souder, William, 1949-</t>
        </is>
      </c>
      <c r="L110" t="inlineStr">
        <is>
          <t>New York : North Point Press, 2004.</t>
        </is>
      </c>
      <c r="M110" t="inlineStr">
        <is>
          <t>2004</t>
        </is>
      </c>
      <c r="N110" t="inlineStr">
        <is>
          <t>1st ed.</t>
        </is>
      </c>
      <c r="O110" t="inlineStr">
        <is>
          <t>eng</t>
        </is>
      </c>
      <c r="P110" t="inlineStr">
        <is>
          <t>nyu</t>
        </is>
      </c>
      <c r="R110" t="inlineStr">
        <is>
          <t xml:space="preserve">QL </t>
        </is>
      </c>
      <c r="S110" t="n">
        <v>1</v>
      </c>
      <c r="T110" t="n">
        <v>1</v>
      </c>
      <c r="U110" t="inlineStr">
        <is>
          <t>2004-11-30</t>
        </is>
      </c>
      <c r="V110" t="inlineStr">
        <is>
          <t>2004-11-30</t>
        </is>
      </c>
      <c r="W110" t="inlineStr">
        <is>
          <t>2004-11-30</t>
        </is>
      </c>
      <c r="X110" t="inlineStr">
        <is>
          <t>2004-11-30</t>
        </is>
      </c>
      <c r="Y110" t="n">
        <v>755</v>
      </c>
      <c r="Z110" t="n">
        <v>715</v>
      </c>
      <c r="AA110" t="n">
        <v>1004</v>
      </c>
      <c r="AB110" t="n">
        <v>6</v>
      </c>
      <c r="AC110" t="n">
        <v>7</v>
      </c>
      <c r="AD110" t="n">
        <v>15</v>
      </c>
      <c r="AE110" t="n">
        <v>27</v>
      </c>
      <c r="AF110" t="n">
        <v>6</v>
      </c>
      <c r="AG110" t="n">
        <v>13</v>
      </c>
      <c r="AH110" t="n">
        <v>5</v>
      </c>
      <c r="AI110" t="n">
        <v>8</v>
      </c>
      <c r="AJ110" t="n">
        <v>4</v>
      </c>
      <c r="AK110" t="n">
        <v>8</v>
      </c>
      <c r="AL110" t="n">
        <v>2</v>
      </c>
      <c r="AM110" t="n">
        <v>3</v>
      </c>
      <c r="AN110" t="n">
        <v>0</v>
      </c>
      <c r="AO110" t="n">
        <v>1</v>
      </c>
      <c r="AP110" t="inlineStr">
        <is>
          <t>No</t>
        </is>
      </c>
      <c r="AQ110" t="inlineStr">
        <is>
          <t>No</t>
        </is>
      </c>
      <c r="AS110">
        <f>HYPERLINK("https://creighton-primo.hosted.exlibrisgroup.com/primo-explore/search?tab=default_tab&amp;search_scope=EVERYTHING&amp;vid=01CRU&amp;lang=en_US&amp;offset=0&amp;query=any,contains,991004413219702656","Catalog Record")</f>
        <v/>
      </c>
      <c r="AT110">
        <f>HYPERLINK("http://www.worldcat.org/oclc/53839872","WorldCat Record")</f>
        <v/>
      </c>
      <c r="AU110" t="inlineStr">
        <is>
          <t>83375:eng</t>
        </is>
      </c>
      <c r="AV110" t="inlineStr">
        <is>
          <t>53839872</t>
        </is>
      </c>
      <c r="AW110" t="inlineStr">
        <is>
          <t>991004413219702656</t>
        </is>
      </c>
      <c r="AX110" t="inlineStr">
        <is>
          <t>991004413219702656</t>
        </is>
      </c>
      <c r="AY110" t="inlineStr">
        <is>
          <t>2271102110002656</t>
        </is>
      </c>
      <c r="AZ110" t="inlineStr">
        <is>
          <t>BOOK</t>
        </is>
      </c>
      <c r="BB110" t="inlineStr">
        <is>
          <t>9780865476714</t>
        </is>
      </c>
      <c r="BC110" t="inlineStr">
        <is>
          <t>32285005013932</t>
        </is>
      </c>
      <c r="BD110" t="inlineStr">
        <is>
          <t>893349970</t>
        </is>
      </c>
    </row>
    <row r="111">
      <c r="A111" t="inlineStr">
        <is>
          <t>No</t>
        </is>
      </c>
      <c r="B111" t="inlineStr">
        <is>
          <t>QL31.C34 D38 2007</t>
        </is>
      </c>
      <c r="C111" t="inlineStr">
        <is>
          <t>0                      QL 0031000C  34                 D  38          2007</t>
        </is>
      </c>
      <c r="D111" t="inlineStr">
        <is>
          <t>The man who saved sea turtles : Archie Carr and the origins of conservation biology / Frederick Rowe Davis.</t>
        </is>
      </c>
      <c r="F111" t="inlineStr">
        <is>
          <t>No</t>
        </is>
      </c>
      <c r="G111" t="inlineStr">
        <is>
          <t>1</t>
        </is>
      </c>
      <c r="H111" t="inlineStr">
        <is>
          <t>No</t>
        </is>
      </c>
      <c r="I111" t="inlineStr">
        <is>
          <t>No</t>
        </is>
      </c>
      <c r="J111" t="inlineStr">
        <is>
          <t>0</t>
        </is>
      </c>
      <c r="K111" t="inlineStr">
        <is>
          <t>Davis, Frederick Rowe, 1965-</t>
        </is>
      </c>
      <c r="L111" t="inlineStr">
        <is>
          <t>Oxford ; New York : Oxford University Press, 2007.</t>
        </is>
      </c>
      <c r="M111" t="inlineStr">
        <is>
          <t>2007</t>
        </is>
      </c>
      <c r="O111" t="inlineStr">
        <is>
          <t>eng</t>
        </is>
      </c>
      <c r="P111" t="inlineStr">
        <is>
          <t>enk</t>
        </is>
      </c>
      <c r="R111" t="inlineStr">
        <is>
          <t xml:space="preserve">QL </t>
        </is>
      </c>
      <c r="S111" t="n">
        <v>1</v>
      </c>
      <c r="T111" t="n">
        <v>1</v>
      </c>
      <c r="U111" t="inlineStr">
        <is>
          <t>2008-03-17</t>
        </is>
      </c>
      <c r="V111" t="inlineStr">
        <is>
          <t>2008-03-17</t>
        </is>
      </c>
      <c r="W111" t="inlineStr">
        <is>
          <t>2008-03-17</t>
        </is>
      </c>
      <c r="X111" t="inlineStr">
        <is>
          <t>2008-03-17</t>
        </is>
      </c>
      <c r="Y111" t="n">
        <v>348</v>
      </c>
      <c r="Z111" t="n">
        <v>300</v>
      </c>
      <c r="AA111" t="n">
        <v>380</v>
      </c>
      <c r="AB111" t="n">
        <v>2</v>
      </c>
      <c r="AC111" t="n">
        <v>3</v>
      </c>
      <c r="AD111" t="n">
        <v>14</v>
      </c>
      <c r="AE111" t="n">
        <v>17</v>
      </c>
      <c r="AF111" t="n">
        <v>7</v>
      </c>
      <c r="AG111" t="n">
        <v>7</v>
      </c>
      <c r="AH111" t="n">
        <v>3</v>
      </c>
      <c r="AI111" t="n">
        <v>5</v>
      </c>
      <c r="AJ111" t="n">
        <v>4</v>
      </c>
      <c r="AK111" t="n">
        <v>5</v>
      </c>
      <c r="AL111" t="n">
        <v>1</v>
      </c>
      <c r="AM111" t="n">
        <v>2</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HYPERLINK("https://creighton-primo.hosted.exlibrisgroup.com/primo-explore/search?tab=default_tab&amp;search_scope=EVERYTHING&amp;vid=01CRU&amp;lang=en_US&amp;offset=0&amp;query=any,contains,991005183559702656","Catalog Record")</f>
        <v/>
      </c>
      <c r="AT111">
        <f>HYPERLINK("http://www.worldcat.org/oclc/71312826","WorldCat Record")</f>
        <v/>
      </c>
      <c r="AU111" t="inlineStr">
        <is>
          <t>202132617:eng</t>
        </is>
      </c>
      <c r="AV111" t="inlineStr">
        <is>
          <t>71312826</t>
        </is>
      </c>
      <c r="AW111" t="inlineStr">
        <is>
          <t>991005183559702656</t>
        </is>
      </c>
      <c r="AX111" t="inlineStr">
        <is>
          <t>991005183559702656</t>
        </is>
      </c>
      <c r="AY111" t="inlineStr">
        <is>
          <t>2266347720002656</t>
        </is>
      </c>
      <c r="AZ111" t="inlineStr">
        <is>
          <t>BOOK</t>
        </is>
      </c>
      <c r="BB111" t="inlineStr">
        <is>
          <t>9780195310771</t>
        </is>
      </c>
      <c r="BC111" t="inlineStr">
        <is>
          <t>32285005397244</t>
        </is>
      </c>
      <c r="BD111" t="inlineStr">
        <is>
          <t>893701153</t>
        </is>
      </c>
    </row>
    <row r="112">
      <c r="A112" t="inlineStr">
        <is>
          <t>No</t>
        </is>
      </c>
      <c r="B112" t="inlineStr">
        <is>
          <t>QL31.C54 A3 1962</t>
        </is>
      </c>
      <c r="C112" t="inlineStr">
        <is>
          <t>0                      QL 0031000C  54                 A  3           1962</t>
        </is>
      </c>
      <c r="D112" t="inlineStr">
        <is>
          <t>Three thousand coyotes and I : memoirs of a zoology professor, State University of South Dakota / by Edward P. Churchill.</t>
        </is>
      </c>
      <c r="F112" t="inlineStr">
        <is>
          <t>No</t>
        </is>
      </c>
      <c r="G112" t="inlineStr">
        <is>
          <t>1</t>
        </is>
      </c>
      <c r="H112" t="inlineStr">
        <is>
          <t>No</t>
        </is>
      </c>
      <c r="I112" t="inlineStr">
        <is>
          <t>No</t>
        </is>
      </c>
      <c r="J112" t="inlineStr">
        <is>
          <t>0</t>
        </is>
      </c>
      <c r="K112" t="inlineStr">
        <is>
          <t>Churchill, E. P. (Edward Perry), 1882-1976.</t>
        </is>
      </c>
      <c r="L112" t="inlineStr">
        <is>
          <t>Vermillion : State University of South Dakota, 1962.</t>
        </is>
      </c>
      <c r="M112" t="inlineStr">
        <is>
          <t>1962</t>
        </is>
      </c>
      <c r="O112" t="inlineStr">
        <is>
          <t>eng</t>
        </is>
      </c>
      <c r="P112" t="inlineStr">
        <is>
          <t>sdu</t>
        </is>
      </c>
      <c r="R112" t="inlineStr">
        <is>
          <t xml:space="preserve">QL </t>
        </is>
      </c>
      <c r="S112" t="n">
        <v>1</v>
      </c>
      <c r="T112" t="n">
        <v>1</v>
      </c>
      <c r="U112" t="inlineStr">
        <is>
          <t>2003-06-03</t>
        </is>
      </c>
      <c r="V112" t="inlineStr">
        <is>
          <t>2003-06-03</t>
        </is>
      </c>
      <c r="W112" t="inlineStr">
        <is>
          <t>2003-06-03</t>
        </is>
      </c>
      <c r="X112" t="inlineStr">
        <is>
          <t>2003-06-03</t>
        </is>
      </c>
      <c r="Y112" t="n">
        <v>31</v>
      </c>
      <c r="Z112" t="n">
        <v>30</v>
      </c>
      <c r="AA112" t="n">
        <v>37</v>
      </c>
      <c r="AB112" t="n">
        <v>1</v>
      </c>
      <c r="AC112" t="n">
        <v>1</v>
      </c>
      <c r="AD112" t="n">
        <v>0</v>
      </c>
      <c r="AE112" t="n">
        <v>0</v>
      </c>
      <c r="AF112" t="n">
        <v>0</v>
      </c>
      <c r="AG112" t="n">
        <v>0</v>
      </c>
      <c r="AH112" t="n">
        <v>0</v>
      </c>
      <c r="AI112" t="n">
        <v>0</v>
      </c>
      <c r="AJ112" t="n">
        <v>0</v>
      </c>
      <c r="AK112" t="n">
        <v>0</v>
      </c>
      <c r="AL112" t="n">
        <v>0</v>
      </c>
      <c r="AM112" t="n">
        <v>0</v>
      </c>
      <c r="AN112" t="n">
        <v>0</v>
      </c>
      <c r="AO112" t="n">
        <v>0</v>
      </c>
      <c r="AP112" t="inlineStr">
        <is>
          <t>No</t>
        </is>
      </c>
      <c r="AQ112" t="inlineStr">
        <is>
          <t>Yes</t>
        </is>
      </c>
      <c r="AR112">
        <f>HYPERLINK("http://catalog.hathitrust.org/Record/102785592","HathiTrust Record")</f>
        <v/>
      </c>
      <c r="AS112">
        <f>HYPERLINK("https://creighton-primo.hosted.exlibrisgroup.com/primo-explore/search?tab=default_tab&amp;search_scope=EVERYTHING&amp;vid=01CRU&amp;lang=en_US&amp;offset=0&amp;query=any,contains,991004069199702656","Catalog Record")</f>
        <v/>
      </c>
      <c r="AT112">
        <f>HYPERLINK("http://www.worldcat.org/oclc/5718039","WorldCat Record")</f>
        <v/>
      </c>
      <c r="AU112" t="inlineStr">
        <is>
          <t>19742136:eng</t>
        </is>
      </c>
      <c r="AV112" t="inlineStr">
        <is>
          <t>5718039</t>
        </is>
      </c>
      <c r="AW112" t="inlineStr">
        <is>
          <t>991004069199702656</t>
        </is>
      </c>
      <c r="AX112" t="inlineStr">
        <is>
          <t>991004069199702656</t>
        </is>
      </c>
      <c r="AY112" t="inlineStr">
        <is>
          <t>2261362780002656</t>
        </is>
      </c>
      <c r="AZ112" t="inlineStr">
        <is>
          <t>BOOK</t>
        </is>
      </c>
      <c r="BC112" t="inlineStr">
        <is>
          <t>32285004750179</t>
        </is>
      </c>
      <c r="BD112" t="inlineStr">
        <is>
          <t>893593231</t>
        </is>
      </c>
    </row>
    <row r="113">
      <c r="A113" t="inlineStr">
        <is>
          <t>No</t>
        </is>
      </c>
      <c r="B113" t="inlineStr">
        <is>
          <t>QL31.E79 A3 2000</t>
        </is>
      </c>
      <c r="C113" t="inlineStr">
        <is>
          <t>0                      QL 0031000E  79                 A  3           2000</t>
        </is>
      </c>
      <c r="D113" t="inlineStr">
        <is>
          <t>Maggots, murder, and men : memories and reflections of a forensic entomologist / Zakaria Erzin*clio*glu.</t>
        </is>
      </c>
      <c r="F113" t="inlineStr">
        <is>
          <t>No</t>
        </is>
      </c>
      <c r="G113" t="inlineStr">
        <is>
          <t>1</t>
        </is>
      </c>
      <c r="H113" t="inlineStr">
        <is>
          <t>No</t>
        </is>
      </c>
      <c r="I113" t="inlineStr">
        <is>
          <t>No</t>
        </is>
      </c>
      <c r="J113" t="inlineStr">
        <is>
          <t>0</t>
        </is>
      </c>
      <c r="K113" t="inlineStr">
        <is>
          <t>Erzinçlioğlu, Zakaria.</t>
        </is>
      </c>
      <c r="L113" t="inlineStr">
        <is>
          <t>Colchester, Essex, England : Harley Books, c2000.</t>
        </is>
      </c>
      <c r="M113" t="inlineStr">
        <is>
          <t>2000</t>
        </is>
      </c>
      <c r="O113" t="inlineStr">
        <is>
          <t>eng</t>
        </is>
      </c>
      <c r="P113" t="inlineStr">
        <is>
          <t>enk</t>
        </is>
      </c>
      <c r="R113" t="inlineStr">
        <is>
          <t xml:space="preserve">QL </t>
        </is>
      </c>
      <c r="S113" t="n">
        <v>4</v>
      </c>
      <c r="T113" t="n">
        <v>4</v>
      </c>
      <c r="U113" t="inlineStr">
        <is>
          <t>2008-11-21</t>
        </is>
      </c>
      <c r="V113" t="inlineStr">
        <is>
          <t>2008-11-21</t>
        </is>
      </c>
      <c r="W113" t="inlineStr">
        <is>
          <t>2001-12-11</t>
        </is>
      </c>
      <c r="X113" t="inlineStr">
        <is>
          <t>2001-12-11</t>
        </is>
      </c>
      <c r="Y113" t="n">
        <v>134</v>
      </c>
      <c r="Z113" t="n">
        <v>53</v>
      </c>
      <c r="AA113" t="n">
        <v>405</v>
      </c>
      <c r="AB113" t="n">
        <v>3</v>
      </c>
      <c r="AC113" t="n">
        <v>3</v>
      </c>
      <c r="AD113" t="n">
        <v>3</v>
      </c>
      <c r="AE113" t="n">
        <v>7</v>
      </c>
      <c r="AF113" t="n">
        <v>0</v>
      </c>
      <c r="AG113" t="n">
        <v>1</v>
      </c>
      <c r="AH113" t="n">
        <v>1</v>
      </c>
      <c r="AI113" t="n">
        <v>1</v>
      </c>
      <c r="AJ113" t="n">
        <v>0</v>
      </c>
      <c r="AK113" t="n">
        <v>2</v>
      </c>
      <c r="AL113" t="n">
        <v>2</v>
      </c>
      <c r="AM113" t="n">
        <v>2</v>
      </c>
      <c r="AN113" t="n">
        <v>0</v>
      </c>
      <c r="AO113" t="n">
        <v>1</v>
      </c>
      <c r="AP113" t="inlineStr">
        <is>
          <t>No</t>
        </is>
      </c>
      <c r="AQ113" t="inlineStr">
        <is>
          <t>Yes</t>
        </is>
      </c>
      <c r="AR113">
        <f>HYPERLINK("http://catalog.hathitrust.org/Record/004156619","HathiTrust Record")</f>
        <v/>
      </c>
      <c r="AS113">
        <f>HYPERLINK("https://creighton-primo.hosted.exlibrisgroup.com/primo-explore/search?tab=default_tab&amp;search_scope=EVERYTHING&amp;vid=01CRU&amp;lang=en_US&amp;offset=0&amp;query=any,contains,991003666159702656","Catalog Record")</f>
        <v/>
      </c>
      <c r="AT113">
        <f>HYPERLINK("http://www.worldcat.org/oclc/45767518","WorldCat Record")</f>
        <v/>
      </c>
      <c r="AU113" t="inlineStr">
        <is>
          <t>675496:eng</t>
        </is>
      </c>
      <c r="AV113" t="inlineStr">
        <is>
          <t>45767518</t>
        </is>
      </c>
      <c r="AW113" t="inlineStr">
        <is>
          <t>991003666159702656</t>
        </is>
      </c>
      <c r="AX113" t="inlineStr">
        <is>
          <t>991003666159702656</t>
        </is>
      </c>
      <c r="AY113" t="inlineStr">
        <is>
          <t>2266880000002656</t>
        </is>
      </c>
      <c r="AZ113" t="inlineStr">
        <is>
          <t>BOOK</t>
        </is>
      </c>
      <c r="BB113" t="inlineStr">
        <is>
          <t>9780946589654</t>
        </is>
      </c>
      <c r="BC113" t="inlineStr">
        <is>
          <t>32285004427364</t>
        </is>
      </c>
      <c r="BD113" t="inlineStr">
        <is>
          <t>893611290</t>
        </is>
      </c>
    </row>
    <row r="114">
      <c r="A114" t="inlineStr">
        <is>
          <t>No</t>
        </is>
      </c>
      <c r="B114" t="inlineStr">
        <is>
          <t>QL31.F65 H39 1990</t>
        </is>
      </c>
      <c r="C114" t="inlineStr">
        <is>
          <t>0                      QL 0031000F  65                 H  39          1990</t>
        </is>
      </c>
      <c r="D114" t="inlineStr">
        <is>
          <t>The dark romance of Dian Fossey / Harold T.P. Hayes.</t>
        </is>
      </c>
      <c r="F114" t="inlineStr">
        <is>
          <t>No</t>
        </is>
      </c>
      <c r="G114" t="inlineStr">
        <is>
          <t>1</t>
        </is>
      </c>
      <c r="H114" t="inlineStr">
        <is>
          <t>No</t>
        </is>
      </c>
      <c r="I114" t="inlineStr">
        <is>
          <t>No</t>
        </is>
      </c>
      <c r="J114" t="inlineStr">
        <is>
          <t>0</t>
        </is>
      </c>
      <c r="K114" t="inlineStr">
        <is>
          <t>Hayes, Harold.</t>
        </is>
      </c>
      <c r="L114" t="inlineStr">
        <is>
          <t>New York : Simon and Schuster, c1990.</t>
        </is>
      </c>
      <c r="M114" t="inlineStr">
        <is>
          <t>1990</t>
        </is>
      </c>
      <c r="O114" t="inlineStr">
        <is>
          <t>eng</t>
        </is>
      </c>
      <c r="P114" t="inlineStr">
        <is>
          <t>nyu</t>
        </is>
      </c>
      <c r="R114" t="inlineStr">
        <is>
          <t xml:space="preserve">QL </t>
        </is>
      </c>
      <c r="S114" t="n">
        <v>10</v>
      </c>
      <c r="T114" t="n">
        <v>10</v>
      </c>
      <c r="U114" t="inlineStr">
        <is>
          <t>1997-02-24</t>
        </is>
      </c>
      <c r="V114" t="inlineStr">
        <is>
          <t>1997-02-24</t>
        </is>
      </c>
      <c r="W114" t="inlineStr">
        <is>
          <t>1990-09-20</t>
        </is>
      </c>
      <c r="X114" t="inlineStr">
        <is>
          <t>1990-09-20</t>
        </is>
      </c>
      <c r="Y114" t="n">
        <v>1177</v>
      </c>
      <c r="Z114" t="n">
        <v>1123</v>
      </c>
      <c r="AA114" t="n">
        <v>1142</v>
      </c>
      <c r="AB114" t="n">
        <v>5</v>
      </c>
      <c r="AC114" t="n">
        <v>5</v>
      </c>
      <c r="AD114" t="n">
        <v>12</v>
      </c>
      <c r="AE114" t="n">
        <v>12</v>
      </c>
      <c r="AF114" t="n">
        <v>6</v>
      </c>
      <c r="AG114" t="n">
        <v>6</v>
      </c>
      <c r="AH114" t="n">
        <v>0</v>
      </c>
      <c r="AI114" t="n">
        <v>0</v>
      </c>
      <c r="AJ114" t="n">
        <v>8</v>
      </c>
      <c r="AK114" t="n">
        <v>8</v>
      </c>
      <c r="AL114" t="n">
        <v>0</v>
      </c>
      <c r="AM114" t="n">
        <v>0</v>
      </c>
      <c r="AN114" t="n">
        <v>0</v>
      </c>
      <c r="AO114" t="n">
        <v>0</v>
      </c>
      <c r="AP114" t="inlineStr">
        <is>
          <t>No</t>
        </is>
      </c>
      <c r="AQ114" t="inlineStr">
        <is>
          <t>Yes</t>
        </is>
      </c>
      <c r="AR114">
        <f>HYPERLINK("http://catalog.hathitrust.org/Record/009159117","HathiTrust Record")</f>
        <v/>
      </c>
      <c r="AS114">
        <f>HYPERLINK("https://creighton-primo.hosted.exlibrisgroup.com/primo-explore/search?tab=default_tab&amp;search_scope=EVERYTHING&amp;vid=01CRU&amp;lang=en_US&amp;offset=0&amp;query=any,contains,991001682899702656","Catalog Record")</f>
        <v/>
      </c>
      <c r="AT114">
        <f>HYPERLINK("http://www.worldcat.org/oclc/21374370","WorldCat Record")</f>
        <v/>
      </c>
      <c r="AU114" t="inlineStr">
        <is>
          <t>18952360:eng</t>
        </is>
      </c>
      <c r="AV114" t="inlineStr">
        <is>
          <t>21374370</t>
        </is>
      </c>
      <c r="AW114" t="inlineStr">
        <is>
          <t>991001682899702656</t>
        </is>
      </c>
      <c r="AX114" t="inlineStr">
        <is>
          <t>991001682899702656</t>
        </is>
      </c>
      <c r="AY114" t="inlineStr">
        <is>
          <t>2262942770002656</t>
        </is>
      </c>
      <c r="AZ114" t="inlineStr">
        <is>
          <t>BOOK</t>
        </is>
      </c>
      <c r="BB114" t="inlineStr">
        <is>
          <t>9780671633394</t>
        </is>
      </c>
      <c r="BC114" t="inlineStr">
        <is>
          <t>32285000277466</t>
        </is>
      </c>
      <c r="BD114" t="inlineStr">
        <is>
          <t>893261906</t>
        </is>
      </c>
    </row>
    <row r="115">
      <c r="A115" t="inlineStr">
        <is>
          <t>No</t>
        </is>
      </c>
      <c r="B115" t="inlineStr">
        <is>
          <t>QL31.F65 M69 1987</t>
        </is>
      </c>
      <c r="C115" t="inlineStr">
        <is>
          <t>0                      QL 0031000F  65                 M  69          1987</t>
        </is>
      </c>
      <c r="D115" t="inlineStr">
        <is>
          <t>Woman in the mists : the story of Dian Fossey and the mountain gorillas of Africa / Farley Mowat.</t>
        </is>
      </c>
      <c r="F115" t="inlineStr">
        <is>
          <t>No</t>
        </is>
      </c>
      <c r="G115" t="inlineStr">
        <is>
          <t>1</t>
        </is>
      </c>
      <c r="H115" t="inlineStr">
        <is>
          <t>No</t>
        </is>
      </c>
      <c r="I115" t="inlineStr">
        <is>
          <t>No</t>
        </is>
      </c>
      <c r="J115" t="inlineStr">
        <is>
          <t>0</t>
        </is>
      </c>
      <c r="K115" t="inlineStr">
        <is>
          <t>Mowat, Farley.</t>
        </is>
      </c>
      <c r="L115" t="inlineStr">
        <is>
          <t>New York, NY : Warner Books, c1987.</t>
        </is>
      </c>
      <c r="M115" t="inlineStr">
        <is>
          <t>1987</t>
        </is>
      </c>
      <c r="O115" t="inlineStr">
        <is>
          <t>eng</t>
        </is>
      </c>
      <c r="P115" t="inlineStr">
        <is>
          <t>nyu</t>
        </is>
      </c>
      <c r="R115" t="inlineStr">
        <is>
          <t xml:space="preserve">QL </t>
        </is>
      </c>
      <c r="S115" t="n">
        <v>12</v>
      </c>
      <c r="T115" t="n">
        <v>12</v>
      </c>
      <c r="U115" t="inlineStr">
        <is>
          <t>2007-04-25</t>
        </is>
      </c>
      <c r="V115" t="inlineStr">
        <is>
          <t>2007-04-25</t>
        </is>
      </c>
      <c r="W115" t="inlineStr">
        <is>
          <t>1991-10-28</t>
        </is>
      </c>
      <c r="X115" t="inlineStr">
        <is>
          <t>1991-10-28</t>
        </is>
      </c>
      <c r="Y115" t="n">
        <v>1938</v>
      </c>
      <c r="Z115" t="n">
        <v>1880</v>
      </c>
      <c r="AA115" t="n">
        <v>2093</v>
      </c>
      <c r="AB115" t="n">
        <v>13</v>
      </c>
      <c r="AC115" t="n">
        <v>14</v>
      </c>
      <c r="AD115" t="n">
        <v>28</v>
      </c>
      <c r="AE115" t="n">
        <v>28</v>
      </c>
      <c r="AF115" t="n">
        <v>12</v>
      </c>
      <c r="AG115" t="n">
        <v>12</v>
      </c>
      <c r="AH115" t="n">
        <v>3</v>
      </c>
      <c r="AI115" t="n">
        <v>3</v>
      </c>
      <c r="AJ115" t="n">
        <v>12</v>
      </c>
      <c r="AK115" t="n">
        <v>12</v>
      </c>
      <c r="AL115" t="n">
        <v>4</v>
      </c>
      <c r="AM115" t="n">
        <v>4</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HYPERLINK("https://creighton-primo.hosted.exlibrisgroup.com/primo-explore/search?tab=default_tab&amp;search_scope=EVERYTHING&amp;vid=01CRU&amp;lang=en_US&amp;offset=0&amp;query=any,contains,991001094039702656","Catalog Record")</f>
        <v/>
      </c>
      <c r="AT115">
        <f>HYPERLINK("http://www.worldcat.org/oclc/16227410","WorldCat Record")</f>
        <v/>
      </c>
      <c r="AU115" t="inlineStr">
        <is>
          <t>12288758:eng</t>
        </is>
      </c>
      <c r="AV115" t="inlineStr">
        <is>
          <t>16227410</t>
        </is>
      </c>
      <c r="AW115" t="inlineStr">
        <is>
          <t>991001094039702656</t>
        </is>
      </c>
      <c r="AX115" t="inlineStr">
        <is>
          <t>991001094039702656</t>
        </is>
      </c>
      <c r="AY115" t="inlineStr">
        <is>
          <t>2264870080002656</t>
        </is>
      </c>
      <c r="AZ115" t="inlineStr">
        <is>
          <t>BOOK</t>
        </is>
      </c>
      <c r="BB115" t="inlineStr">
        <is>
          <t>9780446513609</t>
        </is>
      </c>
      <c r="BC115" t="inlineStr">
        <is>
          <t>32285000801927</t>
        </is>
      </c>
      <c r="BD115" t="inlineStr">
        <is>
          <t>893891296</t>
        </is>
      </c>
    </row>
    <row r="116">
      <c r="A116" t="inlineStr">
        <is>
          <t>No</t>
        </is>
      </c>
      <c r="B116" t="inlineStr">
        <is>
          <t>QL31.G34 A3 1995</t>
        </is>
      </c>
      <c r="C116" t="inlineStr">
        <is>
          <t>0                      QL 0031000G  34                 A  3           1995</t>
        </is>
      </c>
      <c r="D116" t="inlineStr">
        <is>
          <t>Reflections of Eden : my years with the orangutans of Borneo / Biruté M.F. Galdikas.</t>
        </is>
      </c>
      <c r="F116" t="inlineStr">
        <is>
          <t>No</t>
        </is>
      </c>
      <c r="G116" t="inlineStr">
        <is>
          <t>1</t>
        </is>
      </c>
      <c r="H116" t="inlineStr">
        <is>
          <t>No</t>
        </is>
      </c>
      <c r="I116" t="inlineStr">
        <is>
          <t>No</t>
        </is>
      </c>
      <c r="J116" t="inlineStr">
        <is>
          <t>0</t>
        </is>
      </c>
      <c r="K116" t="inlineStr">
        <is>
          <t>Galdikas, Biruté Marija Filomena.</t>
        </is>
      </c>
      <c r="L116" t="inlineStr">
        <is>
          <t>Boston : Little, Brown, c1995.</t>
        </is>
      </c>
      <c r="M116" t="inlineStr">
        <is>
          <t>1995</t>
        </is>
      </c>
      <c r="N116" t="inlineStr">
        <is>
          <t>1st ed.</t>
        </is>
      </c>
      <c r="O116" t="inlineStr">
        <is>
          <t>eng</t>
        </is>
      </c>
      <c r="P116" t="inlineStr">
        <is>
          <t>mau</t>
        </is>
      </c>
      <c r="R116" t="inlineStr">
        <is>
          <t xml:space="preserve">QL </t>
        </is>
      </c>
      <c r="S116" t="n">
        <v>2</v>
      </c>
      <c r="T116" t="n">
        <v>2</v>
      </c>
      <c r="U116" t="inlineStr">
        <is>
          <t>1995-02-28</t>
        </is>
      </c>
      <c r="V116" t="inlineStr">
        <is>
          <t>1995-02-28</t>
        </is>
      </c>
      <c r="W116" t="inlineStr">
        <is>
          <t>1995-02-13</t>
        </is>
      </c>
      <c r="X116" t="inlineStr">
        <is>
          <t>1995-02-13</t>
        </is>
      </c>
      <c r="Y116" t="n">
        <v>1107</v>
      </c>
      <c r="Z116" t="n">
        <v>1013</v>
      </c>
      <c r="AA116" t="n">
        <v>1030</v>
      </c>
      <c r="AB116" t="n">
        <v>7</v>
      </c>
      <c r="AC116" t="n">
        <v>7</v>
      </c>
      <c r="AD116" t="n">
        <v>22</v>
      </c>
      <c r="AE116" t="n">
        <v>22</v>
      </c>
      <c r="AF116" t="n">
        <v>6</v>
      </c>
      <c r="AG116" t="n">
        <v>6</v>
      </c>
      <c r="AH116" t="n">
        <v>6</v>
      </c>
      <c r="AI116" t="n">
        <v>6</v>
      </c>
      <c r="AJ116" t="n">
        <v>14</v>
      </c>
      <c r="AK116" t="n">
        <v>14</v>
      </c>
      <c r="AL116" t="n">
        <v>3</v>
      </c>
      <c r="AM116" t="n">
        <v>3</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HYPERLINK("https://creighton-primo.hosted.exlibrisgroup.com/primo-explore/search?tab=default_tab&amp;search_scope=EVERYTHING&amp;vid=01CRU&amp;lang=en_US&amp;offset=0&amp;query=any,contains,991002380279702656","Catalog Record")</f>
        <v/>
      </c>
      <c r="AT116">
        <f>HYPERLINK("http://www.worldcat.org/oclc/30919372","WorldCat Record")</f>
        <v/>
      </c>
      <c r="AU116" t="inlineStr">
        <is>
          <t>24135287:eng</t>
        </is>
      </c>
      <c r="AV116" t="inlineStr">
        <is>
          <t>30919372</t>
        </is>
      </c>
      <c r="AW116" t="inlineStr">
        <is>
          <t>991002380279702656</t>
        </is>
      </c>
      <c r="AX116" t="inlineStr">
        <is>
          <t>991002380279702656</t>
        </is>
      </c>
      <c r="AY116" t="inlineStr">
        <is>
          <t>2264810380002656</t>
        </is>
      </c>
      <c r="AZ116" t="inlineStr">
        <is>
          <t>BOOK</t>
        </is>
      </c>
      <c r="BB116" t="inlineStr">
        <is>
          <t>9780316301817</t>
        </is>
      </c>
      <c r="BC116" t="inlineStr">
        <is>
          <t>32285001998318</t>
        </is>
      </c>
      <c r="BD116" t="inlineStr">
        <is>
          <t>893440090</t>
        </is>
      </c>
    </row>
    <row r="117">
      <c r="A117" t="inlineStr">
        <is>
          <t>No</t>
        </is>
      </c>
      <c r="B117" t="inlineStr">
        <is>
          <t>QL31.H42 A33 1984</t>
        </is>
      </c>
      <c r="C117" t="inlineStr">
        <is>
          <t>0                      QL 0031000H  42                 A  33          1984</t>
        </is>
      </c>
      <c r="D117" t="inlineStr">
        <is>
          <t>In a patch of fireweed / Bernd Heinrich.</t>
        </is>
      </c>
      <c r="F117" t="inlineStr">
        <is>
          <t>No</t>
        </is>
      </c>
      <c r="G117" t="inlineStr">
        <is>
          <t>1</t>
        </is>
      </c>
      <c r="H117" t="inlineStr">
        <is>
          <t>No</t>
        </is>
      </c>
      <c r="I117" t="inlineStr">
        <is>
          <t>No</t>
        </is>
      </c>
      <c r="J117" t="inlineStr">
        <is>
          <t>0</t>
        </is>
      </c>
      <c r="K117" t="inlineStr">
        <is>
          <t>Heinrich, Bernd, 1940-</t>
        </is>
      </c>
      <c r="L117" t="inlineStr">
        <is>
          <t>Cambridge, Mass. : Harvard University Press, 1984.</t>
        </is>
      </c>
      <c r="M117" t="inlineStr">
        <is>
          <t>1984</t>
        </is>
      </c>
      <c r="O117" t="inlineStr">
        <is>
          <t>eng</t>
        </is>
      </c>
      <c r="P117" t="inlineStr">
        <is>
          <t>mau</t>
        </is>
      </c>
      <c r="R117" t="inlineStr">
        <is>
          <t xml:space="preserve">QL </t>
        </is>
      </c>
      <c r="S117" t="n">
        <v>3</v>
      </c>
      <c r="T117" t="n">
        <v>3</v>
      </c>
      <c r="U117" t="inlineStr">
        <is>
          <t>2006-10-09</t>
        </is>
      </c>
      <c r="V117" t="inlineStr">
        <is>
          <t>2006-10-09</t>
        </is>
      </c>
      <c r="W117" t="inlineStr">
        <is>
          <t>1993-05-21</t>
        </is>
      </c>
      <c r="X117" t="inlineStr">
        <is>
          <t>1993-05-21</t>
        </is>
      </c>
      <c r="Y117" t="n">
        <v>706</v>
      </c>
      <c r="Z117" t="n">
        <v>658</v>
      </c>
      <c r="AA117" t="n">
        <v>685</v>
      </c>
      <c r="AB117" t="n">
        <v>3</v>
      </c>
      <c r="AC117" t="n">
        <v>3</v>
      </c>
      <c r="AD117" t="n">
        <v>15</v>
      </c>
      <c r="AE117" t="n">
        <v>16</v>
      </c>
      <c r="AF117" t="n">
        <v>5</v>
      </c>
      <c r="AG117" t="n">
        <v>5</v>
      </c>
      <c r="AH117" t="n">
        <v>4</v>
      </c>
      <c r="AI117" t="n">
        <v>4</v>
      </c>
      <c r="AJ117" t="n">
        <v>7</v>
      </c>
      <c r="AK117" t="n">
        <v>8</v>
      </c>
      <c r="AL117" t="n">
        <v>2</v>
      </c>
      <c r="AM117" t="n">
        <v>2</v>
      </c>
      <c r="AN117" t="n">
        <v>0</v>
      </c>
      <c r="AO117" t="n">
        <v>0</v>
      </c>
      <c r="AP117" t="inlineStr">
        <is>
          <t>No</t>
        </is>
      </c>
      <c r="AQ117" t="inlineStr">
        <is>
          <t>Yes</t>
        </is>
      </c>
      <c r="AR117">
        <f>HYPERLINK("http://catalog.hathitrust.org/Record/000283488","HathiTrust Record")</f>
        <v/>
      </c>
      <c r="AS117">
        <f>HYPERLINK("https://creighton-primo.hosted.exlibrisgroup.com/primo-explore/search?tab=default_tab&amp;search_scope=EVERYTHING&amp;vid=01CRU&amp;lang=en_US&amp;offset=0&amp;query=any,contains,991000277439702656","Catalog Record")</f>
        <v/>
      </c>
      <c r="AT117">
        <f>HYPERLINK("http://www.worldcat.org/oclc/9896517","WorldCat Record")</f>
        <v/>
      </c>
      <c r="AU117" t="inlineStr">
        <is>
          <t>138466918:eng</t>
        </is>
      </c>
      <c r="AV117" t="inlineStr">
        <is>
          <t>9896517</t>
        </is>
      </c>
      <c r="AW117" t="inlineStr">
        <is>
          <t>991000277439702656</t>
        </is>
      </c>
      <c r="AX117" t="inlineStr">
        <is>
          <t>991000277439702656</t>
        </is>
      </c>
      <c r="AY117" t="inlineStr">
        <is>
          <t>2264310760002656</t>
        </is>
      </c>
      <c r="AZ117" t="inlineStr">
        <is>
          <t>BOOK</t>
        </is>
      </c>
      <c r="BB117" t="inlineStr">
        <is>
          <t>9780674445482</t>
        </is>
      </c>
      <c r="BC117" t="inlineStr">
        <is>
          <t>32285001685980</t>
        </is>
      </c>
      <c r="BD117" t="inlineStr">
        <is>
          <t>893407071</t>
        </is>
      </c>
    </row>
    <row r="118">
      <c r="A118" t="inlineStr">
        <is>
          <t>No</t>
        </is>
      </c>
      <c r="B118" t="inlineStr">
        <is>
          <t>QL31.H85 A3</t>
        </is>
      </c>
      <c r="C118" t="inlineStr">
        <is>
          <t>0                      QL 0031000H  85                 A  3</t>
        </is>
      </c>
      <c r="D118" t="inlineStr">
        <is>
          <t>Far away and long ago : a history of my early life / by W. H. Hudson.</t>
        </is>
      </c>
      <c r="F118" t="inlineStr">
        <is>
          <t>No</t>
        </is>
      </c>
      <c r="G118" t="inlineStr">
        <is>
          <t>1</t>
        </is>
      </c>
      <c r="H118" t="inlineStr">
        <is>
          <t>No</t>
        </is>
      </c>
      <c r="I118" t="inlineStr">
        <is>
          <t>No</t>
        </is>
      </c>
      <c r="J118" t="inlineStr">
        <is>
          <t>0</t>
        </is>
      </c>
      <c r="K118" t="inlineStr">
        <is>
          <t>Hudson, W. H. (William Henry), 1841-1922.</t>
        </is>
      </c>
      <c r="L118" t="inlineStr">
        <is>
          <t>New York : Dutton, 1925, c1918.</t>
        </is>
      </c>
      <c r="M118" t="inlineStr">
        <is>
          <t>1925</t>
        </is>
      </c>
      <c r="N118" t="inlineStr">
        <is>
          <t>Special school ed.</t>
        </is>
      </c>
      <c r="O118" t="inlineStr">
        <is>
          <t>eng</t>
        </is>
      </c>
      <c r="P118" t="inlineStr">
        <is>
          <t>nyu</t>
        </is>
      </c>
      <c r="R118" t="inlineStr">
        <is>
          <t xml:space="preserve">QL </t>
        </is>
      </c>
      <c r="S118" t="n">
        <v>1</v>
      </c>
      <c r="T118" t="n">
        <v>1</v>
      </c>
      <c r="U118" t="inlineStr">
        <is>
          <t>2006-07-07</t>
        </is>
      </c>
      <c r="V118" t="inlineStr">
        <is>
          <t>2006-07-07</t>
        </is>
      </c>
      <c r="W118" t="inlineStr">
        <is>
          <t>1997-07-18</t>
        </is>
      </c>
      <c r="X118" t="inlineStr">
        <is>
          <t>1997-07-18</t>
        </is>
      </c>
      <c r="Y118" t="n">
        <v>47</v>
      </c>
      <c r="Z118" t="n">
        <v>47</v>
      </c>
      <c r="AA118" t="n">
        <v>800</v>
      </c>
      <c r="AB118" t="n">
        <v>1</v>
      </c>
      <c r="AC118" t="n">
        <v>6</v>
      </c>
      <c r="AD118" t="n">
        <v>1</v>
      </c>
      <c r="AE118" t="n">
        <v>23</v>
      </c>
      <c r="AF118" t="n">
        <v>0</v>
      </c>
      <c r="AG118" t="n">
        <v>7</v>
      </c>
      <c r="AH118" t="n">
        <v>0</v>
      </c>
      <c r="AI118" t="n">
        <v>7</v>
      </c>
      <c r="AJ118" t="n">
        <v>1</v>
      </c>
      <c r="AK118" t="n">
        <v>14</v>
      </c>
      <c r="AL118" t="n">
        <v>0</v>
      </c>
      <c r="AM118" t="n">
        <v>3</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HYPERLINK("https://creighton-primo.hosted.exlibrisgroup.com/primo-explore/search?tab=default_tab&amp;search_scope=EVERYTHING&amp;vid=01CRU&amp;lang=en_US&amp;offset=0&amp;query=any,contains,991004450279702656","Catalog Record")</f>
        <v/>
      </c>
      <c r="AT118">
        <f>HYPERLINK("http://www.worldcat.org/oclc/3507256","WorldCat Record")</f>
        <v/>
      </c>
      <c r="AU118" t="inlineStr">
        <is>
          <t>474578:eng</t>
        </is>
      </c>
      <c r="AV118" t="inlineStr">
        <is>
          <t>3507256</t>
        </is>
      </c>
      <c r="AW118" t="inlineStr">
        <is>
          <t>991004450279702656</t>
        </is>
      </c>
      <c r="AX118" t="inlineStr">
        <is>
          <t>991004450279702656</t>
        </is>
      </c>
      <c r="AY118" t="inlineStr">
        <is>
          <t>2255916420002656</t>
        </is>
      </c>
      <c r="AZ118" t="inlineStr">
        <is>
          <t>BOOK</t>
        </is>
      </c>
      <c r="BC118" t="inlineStr">
        <is>
          <t>32285002938537</t>
        </is>
      </c>
      <c r="BD118" t="inlineStr">
        <is>
          <t>893506857</t>
        </is>
      </c>
    </row>
    <row r="119">
      <c r="A119" t="inlineStr">
        <is>
          <t>No</t>
        </is>
      </c>
      <c r="B119" t="inlineStr">
        <is>
          <t>QL31.J56 J36 2008</t>
        </is>
      </c>
      <c r="C119" t="inlineStr">
        <is>
          <t>0                      QL 0031000J  56                 J  36          2008</t>
        </is>
      </c>
      <c r="D119" t="inlineStr">
        <is>
          <t>The snake charmer : a life and death in pursuit of knowledge / Jamie James.</t>
        </is>
      </c>
      <c r="F119" t="inlineStr">
        <is>
          <t>No</t>
        </is>
      </c>
      <c r="G119" t="inlineStr">
        <is>
          <t>1</t>
        </is>
      </c>
      <c r="H119" t="inlineStr">
        <is>
          <t>No</t>
        </is>
      </c>
      <c r="I119" t="inlineStr">
        <is>
          <t>No</t>
        </is>
      </c>
      <c r="J119" t="inlineStr">
        <is>
          <t>0</t>
        </is>
      </c>
      <c r="K119" t="inlineStr">
        <is>
          <t>James, Jamie.</t>
        </is>
      </c>
      <c r="L119" t="inlineStr">
        <is>
          <t>New York : Hyperion, c2008.</t>
        </is>
      </c>
      <c r="M119" t="inlineStr">
        <is>
          <t>2008</t>
        </is>
      </c>
      <c r="N119" t="inlineStr">
        <is>
          <t>1st ed.</t>
        </is>
      </c>
      <c r="O119" t="inlineStr">
        <is>
          <t>eng</t>
        </is>
      </c>
      <c r="P119" t="inlineStr">
        <is>
          <t>nyu</t>
        </is>
      </c>
      <c r="R119" t="inlineStr">
        <is>
          <t xml:space="preserve">QL </t>
        </is>
      </c>
      <c r="S119" t="n">
        <v>1</v>
      </c>
      <c r="T119" t="n">
        <v>1</v>
      </c>
      <c r="U119" t="inlineStr">
        <is>
          <t>2008-09-29</t>
        </is>
      </c>
      <c r="V119" t="inlineStr">
        <is>
          <t>2008-09-29</t>
        </is>
      </c>
      <c r="W119" t="inlineStr">
        <is>
          <t>2008-09-29</t>
        </is>
      </c>
      <c r="X119" t="inlineStr">
        <is>
          <t>2008-09-29</t>
        </is>
      </c>
      <c r="Y119" t="n">
        <v>551</v>
      </c>
      <c r="Z119" t="n">
        <v>508</v>
      </c>
      <c r="AA119" t="n">
        <v>531</v>
      </c>
      <c r="AB119" t="n">
        <v>3</v>
      </c>
      <c r="AC119" t="n">
        <v>3</v>
      </c>
      <c r="AD119" t="n">
        <v>4</v>
      </c>
      <c r="AE119" t="n">
        <v>4</v>
      </c>
      <c r="AF119" t="n">
        <v>2</v>
      </c>
      <c r="AG119" t="n">
        <v>2</v>
      </c>
      <c r="AH119" t="n">
        <v>1</v>
      </c>
      <c r="AI119" t="n">
        <v>1</v>
      </c>
      <c r="AJ119" t="n">
        <v>2</v>
      </c>
      <c r="AK119" t="n">
        <v>2</v>
      </c>
      <c r="AL119" t="n">
        <v>0</v>
      </c>
      <c r="AM119" t="n">
        <v>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HYPERLINK("https://creighton-primo.hosted.exlibrisgroup.com/primo-explore/search?tab=default_tab&amp;search_scope=EVERYTHING&amp;vid=01CRU&amp;lang=en_US&amp;offset=0&amp;query=any,contains,991005267119702656","Catalog Record")</f>
        <v/>
      </c>
      <c r="AT119">
        <f>HYPERLINK("http://www.worldcat.org/oclc/166372889","WorldCat Record")</f>
        <v/>
      </c>
      <c r="AU119" t="inlineStr">
        <is>
          <t>865658950:eng</t>
        </is>
      </c>
      <c r="AV119" t="inlineStr">
        <is>
          <t>166372889</t>
        </is>
      </c>
      <c r="AW119" t="inlineStr">
        <is>
          <t>991005267119702656</t>
        </is>
      </c>
      <c r="AX119" t="inlineStr">
        <is>
          <t>991005267119702656</t>
        </is>
      </c>
      <c r="AY119" t="inlineStr">
        <is>
          <t>2266992860002656</t>
        </is>
      </c>
      <c r="AZ119" t="inlineStr">
        <is>
          <t>BOOK</t>
        </is>
      </c>
      <c r="BB119" t="inlineStr">
        <is>
          <t>9781401302139</t>
        </is>
      </c>
      <c r="BC119" t="inlineStr">
        <is>
          <t>32285005460976</t>
        </is>
      </c>
      <c r="BD119" t="inlineStr">
        <is>
          <t>893520742</t>
        </is>
      </c>
    </row>
    <row r="120">
      <c r="A120" t="inlineStr">
        <is>
          <t>No</t>
        </is>
      </c>
      <c r="B120" t="inlineStr">
        <is>
          <t>QL31.L76 G74 2009</t>
        </is>
      </c>
      <c r="C120" t="inlineStr">
        <is>
          <t>0                      QL 0031000L  76                 G  74          2009</t>
        </is>
      </c>
      <c r="D120" t="inlineStr">
        <is>
          <t>The goose man : the story of Konrad Lorenz / Elaine Greenstein.</t>
        </is>
      </c>
      <c r="F120" t="inlineStr">
        <is>
          <t>No</t>
        </is>
      </c>
      <c r="G120" t="inlineStr">
        <is>
          <t>1</t>
        </is>
      </c>
      <c r="H120" t="inlineStr">
        <is>
          <t>No</t>
        </is>
      </c>
      <c r="I120" t="inlineStr">
        <is>
          <t>No</t>
        </is>
      </c>
      <c r="J120" t="inlineStr">
        <is>
          <t>0</t>
        </is>
      </c>
      <c r="K120" t="inlineStr">
        <is>
          <t>Greenstein, Elaine.</t>
        </is>
      </c>
      <c r="L120" t="inlineStr">
        <is>
          <t>Boston : Clarion Books, 2009.</t>
        </is>
      </c>
      <c r="M120" t="inlineStr">
        <is>
          <t>2009</t>
        </is>
      </c>
      <c r="O120" t="inlineStr">
        <is>
          <t>eng</t>
        </is>
      </c>
      <c r="P120" t="inlineStr">
        <is>
          <t>mau</t>
        </is>
      </c>
      <c r="R120" t="inlineStr">
        <is>
          <t xml:space="preserve">QL </t>
        </is>
      </c>
      <c r="S120" t="n">
        <v>1</v>
      </c>
      <c r="T120" t="n">
        <v>1</v>
      </c>
      <c r="U120" t="inlineStr">
        <is>
          <t>2010-02-10</t>
        </is>
      </c>
      <c r="V120" t="inlineStr">
        <is>
          <t>2010-02-10</t>
        </is>
      </c>
      <c r="W120" t="inlineStr">
        <is>
          <t>2010-02-10</t>
        </is>
      </c>
      <c r="X120" t="inlineStr">
        <is>
          <t>2010-02-10</t>
        </is>
      </c>
      <c r="Y120" t="n">
        <v>2299</v>
      </c>
      <c r="Z120" t="n">
        <v>2285</v>
      </c>
      <c r="AA120" t="n">
        <v>2285</v>
      </c>
      <c r="AB120" t="n">
        <v>21</v>
      </c>
      <c r="AC120" t="n">
        <v>21</v>
      </c>
      <c r="AD120" t="n">
        <v>4</v>
      </c>
      <c r="AE120" t="n">
        <v>4</v>
      </c>
      <c r="AF120" t="n">
        <v>0</v>
      </c>
      <c r="AG120" t="n">
        <v>0</v>
      </c>
      <c r="AH120" t="n">
        <v>0</v>
      </c>
      <c r="AI120" t="n">
        <v>0</v>
      </c>
      <c r="AJ120" t="n">
        <v>2</v>
      </c>
      <c r="AK120" t="n">
        <v>2</v>
      </c>
      <c r="AL120" t="n">
        <v>2</v>
      </c>
      <c r="AM120" t="n">
        <v>2</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HYPERLINK("https://creighton-primo.hosted.exlibrisgroup.com/primo-explore/search?tab=default_tab&amp;search_scope=EVERYTHING&amp;vid=01CRU&amp;lang=en_US&amp;offset=0&amp;query=any,contains,991005363909702656","Catalog Record")</f>
        <v/>
      </c>
      <c r="AT120">
        <f>HYPERLINK("http://www.worldcat.org/oclc/263146948","WorldCat Record")</f>
        <v/>
      </c>
      <c r="AU120" t="inlineStr">
        <is>
          <t>155024172:eng</t>
        </is>
      </c>
      <c r="AV120" t="inlineStr">
        <is>
          <t>263146948</t>
        </is>
      </c>
      <c r="AW120" t="inlineStr">
        <is>
          <t>991005363909702656</t>
        </is>
      </c>
      <c r="AX120" t="inlineStr">
        <is>
          <t>991005363909702656</t>
        </is>
      </c>
      <c r="AY120" t="inlineStr">
        <is>
          <t>2265563320002656</t>
        </is>
      </c>
      <c r="AZ120" t="inlineStr">
        <is>
          <t>BOOK</t>
        </is>
      </c>
      <c r="BB120" t="inlineStr">
        <is>
          <t>9780547084596</t>
        </is>
      </c>
      <c r="BC120" t="inlineStr">
        <is>
          <t>32285005572879</t>
        </is>
      </c>
      <c r="BD120" t="inlineStr">
        <is>
          <t>893862409</t>
        </is>
      </c>
    </row>
    <row r="121">
      <c r="A121" t="inlineStr">
        <is>
          <t>No</t>
        </is>
      </c>
      <c r="B121" t="inlineStr">
        <is>
          <t>QL31.M63 A3 2008</t>
        </is>
      </c>
      <c r="C121" t="inlineStr">
        <is>
          <t>0                      QL 0031000M  63                 A  3           2008</t>
        </is>
      </c>
      <c r="D121" t="inlineStr">
        <is>
          <t>The soul of a rhino : a Nepali adventure with kings and elephant drivers, billionaires and bureaucrats, shamans and scientists, and the Indian rhinoceros / Hemanta R. Mishra with Jim Ottaway, Jr. ; with forewords by Bruce Babbitt and Jim Fowler.</t>
        </is>
      </c>
      <c r="F121" t="inlineStr">
        <is>
          <t>No</t>
        </is>
      </c>
      <c r="G121" t="inlineStr">
        <is>
          <t>1</t>
        </is>
      </c>
      <c r="H121" t="inlineStr">
        <is>
          <t>No</t>
        </is>
      </c>
      <c r="I121" t="inlineStr">
        <is>
          <t>No</t>
        </is>
      </c>
      <c r="J121" t="inlineStr">
        <is>
          <t>0</t>
        </is>
      </c>
      <c r="K121" t="inlineStr">
        <is>
          <t>Mishra, Hemanta R.</t>
        </is>
      </c>
      <c r="L121" t="inlineStr">
        <is>
          <t>Guilford, Conn. : Lyons Press, 2008.</t>
        </is>
      </c>
      <c r="M121" t="inlineStr">
        <is>
          <t>2008</t>
        </is>
      </c>
      <c r="O121" t="inlineStr">
        <is>
          <t>eng</t>
        </is>
      </c>
      <c r="P121" t="inlineStr">
        <is>
          <t>ctu</t>
        </is>
      </c>
      <c r="R121" t="inlineStr">
        <is>
          <t xml:space="preserve">QL </t>
        </is>
      </c>
      <c r="S121" t="n">
        <v>1</v>
      </c>
      <c r="T121" t="n">
        <v>1</v>
      </c>
      <c r="U121" t="inlineStr">
        <is>
          <t>2010-03-29</t>
        </is>
      </c>
      <c r="V121" t="inlineStr">
        <is>
          <t>2010-03-29</t>
        </is>
      </c>
      <c r="W121" t="inlineStr">
        <is>
          <t>2008-06-04</t>
        </is>
      </c>
      <c r="X121" t="inlineStr">
        <is>
          <t>2008-06-04</t>
        </is>
      </c>
      <c r="Y121" t="n">
        <v>190</v>
      </c>
      <c r="Z121" t="n">
        <v>176</v>
      </c>
      <c r="AA121" t="n">
        <v>272</v>
      </c>
      <c r="AB121" t="n">
        <v>2</v>
      </c>
      <c r="AC121" t="n">
        <v>2</v>
      </c>
      <c r="AD121" t="n">
        <v>2</v>
      </c>
      <c r="AE121" t="n">
        <v>3</v>
      </c>
      <c r="AF121" t="n">
        <v>0</v>
      </c>
      <c r="AG121" t="n">
        <v>1</v>
      </c>
      <c r="AH121" t="n">
        <v>1</v>
      </c>
      <c r="AI121" t="n">
        <v>2</v>
      </c>
      <c r="AJ121" t="n">
        <v>0</v>
      </c>
      <c r="AK121" t="n">
        <v>0</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HYPERLINK("https://creighton-primo.hosted.exlibrisgroup.com/primo-explore/search?tab=default_tab&amp;search_scope=EVERYTHING&amp;vid=01CRU&amp;lang=en_US&amp;offset=0&amp;query=any,contains,991005222349702656","Catalog Record")</f>
        <v/>
      </c>
      <c r="AT121">
        <f>HYPERLINK("http://www.worldcat.org/oclc/167499336","WorldCat Record")</f>
        <v/>
      </c>
      <c r="AU121" t="inlineStr">
        <is>
          <t>3855921248:eng</t>
        </is>
      </c>
      <c r="AV121" t="inlineStr">
        <is>
          <t>167499336</t>
        </is>
      </c>
      <c r="AW121" t="inlineStr">
        <is>
          <t>991005222349702656</t>
        </is>
      </c>
      <c r="AX121" t="inlineStr">
        <is>
          <t>991005222349702656</t>
        </is>
      </c>
      <c r="AY121" t="inlineStr">
        <is>
          <t>2272142000002656</t>
        </is>
      </c>
      <c r="AZ121" t="inlineStr">
        <is>
          <t>BOOK</t>
        </is>
      </c>
      <c r="BB121" t="inlineStr">
        <is>
          <t>9781599211466</t>
        </is>
      </c>
      <c r="BC121" t="inlineStr">
        <is>
          <t>32285005441992</t>
        </is>
      </c>
      <c r="BD121" t="inlineStr">
        <is>
          <t>893412523</t>
        </is>
      </c>
    </row>
    <row r="122">
      <c r="A122" t="inlineStr">
        <is>
          <t>No</t>
        </is>
      </c>
      <c r="B122" t="inlineStr">
        <is>
          <t>QL31.N23 J644 1999</t>
        </is>
      </c>
      <c r="C122" t="inlineStr">
        <is>
          <t>0                      QL 0031000N  23                 J  644         1999</t>
        </is>
      </c>
      <c r="D122" t="inlineStr">
        <is>
          <t>Nabokov's blues : the scientific odyssey of a literary genius / Kurt Johnson, Steve Coates.</t>
        </is>
      </c>
      <c r="F122" t="inlineStr">
        <is>
          <t>No</t>
        </is>
      </c>
      <c r="G122" t="inlineStr">
        <is>
          <t>1</t>
        </is>
      </c>
      <c r="H122" t="inlineStr">
        <is>
          <t>No</t>
        </is>
      </c>
      <c r="I122" t="inlineStr">
        <is>
          <t>No</t>
        </is>
      </c>
      <c r="J122" t="inlineStr">
        <is>
          <t>0</t>
        </is>
      </c>
      <c r="K122" t="inlineStr">
        <is>
          <t>Johnson, Kurt.</t>
        </is>
      </c>
      <c r="L122" t="inlineStr">
        <is>
          <t>Cambridge, Mass. : Zoland Books, 1999.</t>
        </is>
      </c>
      <c r="M122" t="inlineStr">
        <is>
          <t>1999</t>
        </is>
      </c>
      <c r="N122" t="inlineStr">
        <is>
          <t>1st ed.</t>
        </is>
      </c>
      <c r="O122" t="inlineStr">
        <is>
          <t>eng</t>
        </is>
      </c>
      <c r="P122" t="inlineStr">
        <is>
          <t>mau</t>
        </is>
      </c>
      <c r="R122" t="inlineStr">
        <is>
          <t xml:space="preserve">QL </t>
        </is>
      </c>
      <c r="S122" t="n">
        <v>2</v>
      </c>
      <c r="T122" t="n">
        <v>2</v>
      </c>
      <c r="U122" t="inlineStr">
        <is>
          <t>2000-09-19</t>
        </is>
      </c>
      <c r="V122" t="inlineStr">
        <is>
          <t>2000-09-19</t>
        </is>
      </c>
      <c r="W122" t="inlineStr">
        <is>
          <t>2000-07-26</t>
        </is>
      </c>
      <c r="X122" t="inlineStr">
        <is>
          <t>2000-07-26</t>
        </is>
      </c>
      <c r="Y122" t="n">
        <v>617</v>
      </c>
      <c r="Z122" t="n">
        <v>550</v>
      </c>
      <c r="AA122" t="n">
        <v>635</v>
      </c>
      <c r="AB122" t="n">
        <v>5</v>
      </c>
      <c r="AC122" t="n">
        <v>5</v>
      </c>
      <c r="AD122" t="n">
        <v>22</v>
      </c>
      <c r="AE122" t="n">
        <v>24</v>
      </c>
      <c r="AF122" t="n">
        <v>8</v>
      </c>
      <c r="AG122" t="n">
        <v>9</v>
      </c>
      <c r="AH122" t="n">
        <v>5</v>
      </c>
      <c r="AI122" t="n">
        <v>5</v>
      </c>
      <c r="AJ122" t="n">
        <v>12</v>
      </c>
      <c r="AK122" t="n">
        <v>13</v>
      </c>
      <c r="AL122" t="n">
        <v>4</v>
      </c>
      <c r="AM122" t="n">
        <v>4</v>
      </c>
      <c r="AN122" t="n">
        <v>0</v>
      </c>
      <c r="AO122" t="n">
        <v>0</v>
      </c>
      <c r="AP122" t="inlineStr">
        <is>
          <t>No</t>
        </is>
      </c>
      <c r="AQ122" t="inlineStr">
        <is>
          <t>Yes</t>
        </is>
      </c>
      <c r="AR122">
        <f>HYPERLINK("http://catalog.hathitrust.org/Record/004067815","HathiTrust Record")</f>
        <v/>
      </c>
      <c r="AS122">
        <f>HYPERLINK("https://creighton-primo.hosted.exlibrisgroup.com/primo-explore/search?tab=default_tab&amp;search_scope=EVERYTHING&amp;vid=01CRU&amp;lang=en_US&amp;offset=0&amp;query=any,contains,991003220149702656","Catalog Record")</f>
        <v/>
      </c>
      <c r="AT122">
        <f>HYPERLINK("http://www.worldcat.org/oclc/41346998","WorldCat Record")</f>
        <v/>
      </c>
      <c r="AU122" t="inlineStr">
        <is>
          <t>35049294:eng</t>
        </is>
      </c>
      <c r="AV122" t="inlineStr">
        <is>
          <t>41346998</t>
        </is>
      </c>
      <c r="AW122" t="inlineStr">
        <is>
          <t>991003220149702656</t>
        </is>
      </c>
      <c r="AX122" t="inlineStr">
        <is>
          <t>991003220149702656</t>
        </is>
      </c>
      <c r="AY122" t="inlineStr">
        <is>
          <t>2264231340002656</t>
        </is>
      </c>
      <c r="AZ122" t="inlineStr">
        <is>
          <t>BOOK</t>
        </is>
      </c>
      <c r="BB122" t="inlineStr">
        <is>
          <t>9781581950090</t>
        </is>
      </c>
      <c r="BC122" t="inlineStr">
        <is>
          <t>32285003742557</t>
        </is>
      </c>
      <c r="BD122" t="inlineStr">
        <is>
          <t>893227813</t>
        </is>
      </c>
    </row>
    <row r="123">
      <c r="A123" t="inlineStr">
        <is>
          <t>No</t>
        </is>
      </c>
      <c r="B123" t="inlineStr">
        <is>
          <t>QL31.P15 A3 1994</t>
        </is>
      </c>
      <c r="C123" t="inlineStr">
        <is>
          <t>0                      QL 0031000P  15                 A  3           1994</t>
        </is>
      </c>
      <c r="D123" t="inlineStr">
        <is>
          <t>Into Africa / Craig Packer.</t>
        </is>
      </c>
      <c r="F123" t="inlineStr">
        <is>
          <t>No</t>
        </is>
      </c>
      <c r="G123" t="inlineStr">
        <is>
          <t>1</t>
        </is>
      </c>
      <c r="H123" t="inlineStr">
        <is>
          <t>No</t>
        </is>
      </c>
      <c r="I123" t="inlineStr">
        <is>
          <t>No</t>
        </is>
      </c>
      <c r="J123" t="inlineStr">
        <is>
          <t>0</t>
        </is>
      </c>
      <c r="K123" t="inlineStr">
        <is>
          <t>Packer, Craig.</t>
        </is>
      </c>
      <c r="L123" t="inlineStr">
        <is>
          <t>Chicago : University of Chicago Press, 1994.</t>
        </is>
      </c>
      <c r="M123" t="inlineStr">
        <is>
          <t>1994</t>
        </is>
      </c>
      <c r="O123" t="inlineStr">
        <is>
          <t>eng</t>
        </is>
      </c>
      <c r="P123" t="inlineStr">
        <is>
          <t>ilu</t>
        </is>
      </c>
      <c r="R123" t="inlineStr">
        <is>
          <t xml:space="preserve">QL </t>
        </is>
      </c>
      <c r="S123" t="n">
        <v>6</v>
      </c>
      <c r="T123" t="n">
        <v>6</v>
      </c>
      <c r="U123" t="inlineStr">
        <is>
          <t>2006-02-26</t>
        </is>
      </c>
      <c r="V123" t="inlineStr">
        <is>
          <t>2006-02-26</t>
        </is>
      </c>
      <c r="W123" t="inlineStr">
        <is>
          <t>1995-04-10</t>
        </is>
      </c>
      <c r="X123" t="inlineStr">
        <is>
          <t>1995-04-10</t>
        </is>
      </c>
      <c r="Y123" t="n">
        <v>435</v>
      </c>
      <c r="Z123" t="n">
        <v>387</v>
      </c>
      <c r="AA123" t="n">
        <v>451</v>
      </c>
      <c r="AB123" t="n">
        <v>3</v>
      </c>
      <c r="AC123" t="n">
        <v>3</v>
      </c>
      <c r="AD123" t="n">
        <v>5</v>
      </c>
      <c r="AE123" t="n">
        <v>9</v>
      </c>
      <c r="AF123" t="n">
        <v>3</v>
      </c>
      <c r="AG123" t="n">
        <v>5</v>
      </c>
      <c r="AH123" t="n">
        <v>0</v>
      </c>
      <c r="AI123" t="n">
        <v>2</v>
      </c>
      <c r="AJ123" t="n">
        <v>3</v>
      </c>
      <c r="AK123" t="n">
        <v>4</v>
      </c>
      <c r="AL123" t="n">
        <v>1</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HYPERLINK("https://creighton-primo.hosted.exlibrisgroup.com/primo-explore/search?tab=default_tab&amp;search_scope=EVERYTHING&amp;vid=01CRU&amp;lang=en_US&amp;offset=0&amp;query=any,contains,991002308609702656","Catalog Record")</f>
        <v/>
      </c>
      <c r="AT123">
        <f>HYPERLINK("http://www.worldcat.org/oclc/29952612","WorldCat Record")</f>
        <v/>
      </c>
      <c r="AU123" t="inlineStr">
        <is>
          <t>3901395471:eng</t>
        </is>
      </c>
      <c r="AV123" t="inlineStr">
        <is>
          <t>29952612</t>
        </is>
      </c>
      <c r="AW123" t="inlineStr">
        <is>
          <t>991002308609702656</t>
        </is>
      </c>
      <c r="AX123" t="inlineStr">
        <is>
          <t>991002308609702656</t>
        </is>
      </c>
      <c r="AY123" t="inlineStr">
        <is>
          <t>2263369150002656</t>
        </is>
      </c>
      <c r="AZ123" t="inlineStr">
        <is>
          <t>BOOK</t>
        </is>
      </c>
      <c r="BB123" t="inlineStr">
        <is>
          <t>9780226644295</t>
        </is>
      </c>
      <c r="BC123" t="inlineStr">
        <is>
          <t>32285002017415</t>
        </is>
      </c>
      <c r="BD123" t="inlineStr">
        <is>
          <t>893328920</t>
        </is>
      </c>
    </row>
    <row r="124">
      <c r="A124" t="inlineStr">
        <is>
          <t>No</t>
        </is>
      </c>
      <c r="B124" t="inlineStr">
        <is>
          <t>QL31.P45 R67 2008</t>
        </is>
      </c>
      <c r="C124" t="inlineStr">
        <is>
          <t>0                      QL 0031000P  45                 R  67          2008</t>
        </is>
      </c>
      <c r="D124" t="inlineStr">
        <is>
          <t>Birdwatcher : the life of Roger Tory Peterson / Elizabeth J. Rosenthal.</t>
        </is>
      </c>
      <c r="F124" t="inlineStr">
        <is>
          <t>No</t>
        </is>
      </c>
      <c r="G124" t="inlineStr">
        <is>
          <t>1</t>
        </is>
      </c>
      <c r="H124" t="inlineStr">
        <is>
          <t>No</t>
        </is>
      </c>
      <c r="I124" t="inlineStr">
        <is>
          <t>No</t>
        </is>
      </c>
      <c r="J124" t="inlineStr">
        <is>
          <t>0</t>
        </is>
      </c>
      <c r="K124" t="inlineStr">
        <is>
          <t>Rosenthal, Elizabeth J.</t>
        </is>
      </c>
      <c r="L124" t="inlineStr">
        <is>
          <t>Guilford, Conn. : Lyons Press, c2008.</t>
        </is>
      </c>
      <c r="M124" t="inlineStr">
        <is>
          <t>2008</t>
        </is>
      </c>
      <c r="O124" t="inlineStr">
        <is>
          <t>eng</t>
        </is>
      </c>
      <c r="P124" t="inlineStr">
        <is>
          <t>ctu</t>
        </is>
      </c>
      <c r="R124" t="inlineStr">
        <is>
          <t xml:space="preserve">QL </t>
        </is>
      </c>
      <c r="S124" t="n">
        <v>1</v>
      </c>
      <c r="T124" t="n">
        <v>1</v>
      </c>
      <c r="U124" t="inlineStr">
        <is>
          <t>2009-06-11</t>
        </is>
      </c>
      <c r="V124" t="inlineStr">
        <is>
          <t>2009-06-11</t>
        </is>
      </c>
      <c r="W124" t="inlineStr">
        <is>
          <t>2009-06-11</t>
        </is>
      </c>
      <c r="X124" t="inlineStr">
        <is>
          <t>2009-06-11</t>
        </is>
      </c>
      <c r="Y124" t="n">
        <v>277</v>
      </c>
      <c r="Z124" t="n">
        <v>261</v>
      </c>
      <c r="AA124" t="n">
        <v>277</v>
      </c>
      <c r="AB124" t="n">
        <v>6</v>
      </c>
      <c r="AC124" t="n">
        <v>6</v>
      </c>
      <c r="AD124" t="n">
        <v>3</v>
      </c>
      <c r="AE124" t="n">
        <v>4</v>
      </c>
      <c r="AF124" t="n">
        <v>1</v>
      </c>
      <c r="AG124" t="n">
        <v>2</v>
      </c>
      <c r="AH124" t="n">
        <v>0</v>
      </c>
      <c r="AI124" t="n">
        <v>1</v>
      </c>
      <c r="AJ124" t="n">
        <v>1</v>
      </c>
      <c r="AK124" t="n">
        <v>1</v>
      </c>
      <c r="AL124" t="n">
        <v>1</v>
      </c>
      <c r="AM124" t="n">
        <v>1</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HYPERLINK("https://creighton-primo.hosted.exlibrisgroup.com/primo-explore/search?tab=default_tab&amp;search_scope=EVERYTHING&amp;vid=01CRU&amp;lang=en_US&amp;offset=0&amp;query=any,contains,991005319509702656","Catalog Record")</f>
        <v/>
      </c>
      <c r="AT124">
        <f>HYPERLINK("http://www.worldcat.org/oclc/176926490","WorldCat Record")</f>
        <v/>
      </c>
      <c r="AU124" t="inlineStr">
        <is>
          <t>312829545:eng</t>
        </is>
      </c>
      <c r="AV124" t="inlineStr">
        <is>
          <t>176926490</t>
        </is>
      </c>
      <c r="AW124" t="inlineStr">
        <is>
          <t>991005319509702656</t>
        </is>
      </c>
      <c r="AX124" t="inlineStr">
        <is>
          <t>991005319509702656</t>
        </is>
      </c>
      <c r="AY124" t="inlineStr">
        <is>
          <t>2258267580002656</t>
        </is>
      </c>
      <c r="AZ124" t="inlineStr">
        <is>
          <t>BOOK</t>
        </is>
      </c>
      <c r="BB124" t="inlineStr">
        <is>
          <t>9781599212944</t>
        </is>
      </c>
      <c r="BC124" t="inlineStr">
        <is>
          <t>32285005534549</t>
        </is>
      </c>
      <c r="BD124" t="inlineStr">
        <is>
          <t>893870887</t>
        </is>
      </c>
    </row>
    <row r="125">
      <c r="A125" t="inlineStr">
        <is>
          <t>No</t>
        </is>
      </c>
      <c r="B125" t="inlineStr">
        <is>
          <t>QL31.P68 A3 1996</t>
        </is>
      </c>
      <c r="C125" t="inlineStr">
        <is>
          <t>0                      QL 0031000P  68                 A  3           1996</t>
        </is>
      </c>
      <c r="D125" t="inlineStr">
        <is>
          <t>Coming of age with elephants : a memoir / by Joyce Poole.</t>
        </is>
      </c>
      <c r="F125" t="inlineStr">
        <is>
          <t>No</t>
        </is>
      </c>
      <c r="G125" t="inlineStr">
        <is>
          <t>1</t>
        </is>
      </c>
      <c r="H125" t="inlineStr">
        <is>
          <t>No</t>
        </is>
      </c>
      <c r="I125" t="inlineStr">
        <is>
          <t>No</t>
        </is>
      </c>
      <c r="J125" t="inlineStr">
        <is>
          <t>0</t>
        </is>
      </c>
      <c r="K125" t="inlineStr">
        <is>
          <t>Poole, Joyce, 1956-</t>
        </is>
      </c>
      <c r="L125" t="inlineStr">
        <is>
          <t>New York : Hyperion, c1996.</t>
        </is>
      </c>
      <c r="M125" t="inlineStr">
        <is>
          <t>1996</t>
        </is>
      </c>
      <c r="N125" t="inlineStr">
        <is>
          <t>1st ed.</t>
        </is>
      </c>
      <c r="O125" t="inlineStr">
        <is>
          <t>eng</t>
        </is>
      </c>
      <c r="P125" t="inlineStr">
        <is>
          <t>nyu</t>
        </is>
      </c>
      <c r="R125" t="inlineStr">
        <is>
          <t xml:space="preserve">QL </t>
        </is>
      </c>
      <c r="S125" t="n">
        <v>4</v>
      </c>
      <c r="T125" t="n">
        <v>4</v>
      </c>
      <c r="U125" t="inlineStr">
        <is>
          <t>2003-02-20</t>
        </is>
      </c>
      <c r="V125" t="inlineStr">
        <is>
          <t>2003-02-20</t>
        </is>
      </c>
      <c r="W125" t="inlineStr">
        <is>
          <t>1996-04-16</t>
        </is>
      </c>
      <c r="X125" t="inlineStr">
        <is>
          <t>1996-04-16</t>
        </is>
      </c>
      <c r="Y125" t="n">
        <v>597</v>
      </c>
      <c r="Z125" t="n">
        <v>568</v>
      </c>
      <c r="AA125" t="n">
        <v>582</v>
      </c>
      <c r="AB125" t="n">
        <v>7</v>
      </c>
      <c r="AC125" t="n">
        <v>7</v>
      </c>
      <c r="AD125" t="n">
        <v>16</v>
      </c>
      <c r="AE125" t="n">
        <v>16</v>
      </c>
      <c r="AF125" t="n">
        <v>6</v>
      </c>
      <c r="AG125" t="n">
        <v>6</v>
      </c>
      <c r="AH125" t="n">
        <v>6</v>
      </c>
      <c r="AI125" t="n">
        <v>6</v>
      </c>
      <c r="AJ125" t="n">
        <v>5</v>
      </c>
      <c r="AK125" t="n">
        <v>5</v>
      </c>
      <c r="AL125" t="n">
        <v>4</v>
      </c>
      <c r="AM125" t="n">
        <v>4</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HYPERLINK("https://creighton-primo.hosted.exlibrisgroup.com/primo-explore/search?tab=default_tab&amp;search_scope=EVERYTHING&amp;vid=01CRU&amp;lang=en_US&amp;offset=0&amp;query=any,contains,991002557469702656","Catalog Record")</f>
        <v/>
      </c>
      <c r="AT125">
        <f>HYPERLINK("http://www.worldcat.org/oclc/33244376","WorldCat Record")</f>
        <v/>
      </c>
      <c r="AU125" t="inlineStr">
        <is>
          <t>43781400:eng</t>
        </is>
      </c>
      <c r="AV125" t="inlineStr">
        <is>
          <t>33244376</t>
        </is>
      </c>
      <c r="AW125" t="inlineStr">
        <is>
          <t>991002557469702656</t>
        </is>
      </c>
      <c r="AX125" t="inlineStr">
        <is>
          <t>991002557469702656</t>
        </is>
      </c>
      <c r="AY125" t="inlineStr">
        <is>
          <t>2255910360002656</t>
        </is>
      </c>
      <c r="AZ125" t="inlineStr">
        <is>
          <t>BOOK</t>
        </is>
      </c>
      <c r="BB125" t="inlineStr">
        <is>
          <t>9780786860951</t>
        </is>
      </c>
      <c r="BC125" t="inlineStr">
        <is>
          <t>32285002153608</t>
        </is>
      </c>
      <c r="BD125" t="inlineStr">
        <is>
          <t>893239207</t>
        </is>
      </c>
    </row>
    <row r="126">
      <c r="A126" t="inlineStr">
        <is>
          <t>No</t>
        </is>
      </c>
      <c r="B126" t="inlineStr">
        <is>
          <t>QL31.S18 A3 2008</t>
        </is>
      </c>
      <c r="C126" t="inlineStr">
        <is>
          <t>0                      QL 0031000S  18                 A  3           2008</t>
        </is>
      </c>
      <c r="D126" t="inlineStr">
        <is>
          <t>Chico, George, the birds, and me : the Mexican travelogue of a woman naturalist, 1948-1949 / by Dorothy Chapman Saunders ; edited and annotated by Henry M. Reeves and Roy E. Tomlinson ; epilogue by Jesús G. Franco Pizaña.</t>
        </is>
      </c>
      <c r="F126" t="inlineStr">
        <is>
          <t>No</t>
        </is>
      </c>
      <c r="G126" t="inlineStr">
        <is>
          <t>1</t>
        </is>
      </c>
      <c r="H126" t="inlineStr">
        <is>
          <t>No</t>
        </is>
      </c>
      <c r="I126" t="inlineStr">
        <is>
          <t>No</t>
        </is>
      </c>
      <c r="J126" t="inlineStr">
        <is>
          <t>0</t>
        </is>
      </c>
      <c r="K126" t="inlineStr">
        <is>
          <t>Saunders, Dorothy Chapman.</t>
        </is>
      </c>
      <c r="L126" t="inlineStr">
        <is>
          <t>College Station : Texas A&amp;M University Press, c2008.</t>
        </is>
      </c>
      <c r="M126" t="inlineStr">
        <is>
          <t>2008</t>
        </is>
      </c>
      <c r="N126" t="inlineStr">
        <is>
          <t>1st ed.</t>
        </is>
      </c>
      <c r="O126" t="inlineStr">
        <is>
          <t>eng</t>
        </is>
      </c>
      <c r="P126" t="inlineStr">
        <is>
          <t>txu</t>
        </is>
      </c>
      <c r="Q126" t="inlineStr">
        <is>
          <t>Louise Lindsey Merrick natural environment series ; no. 43</t>
        </is>
      </c>
      <c r="R126" t="inlineStr">
        <is>
          <t xml:space="preserve">QL </t>
        </is>
      </c>
      <c r="S126" t="n">
        <v>1</v>
      </c>
      <c r="T126" t="n">
        <v>1</v>
      </c>
      <c r="U126" t="inlineStr">
        <is>
          <t>2008-12-01</t>
        </is>
      </c>
      <c r="V126" t="inlineStr">
        <is>
          <t>2008-12-01</t>
        </is>
      </c>
      <c r="W126" t="inlineStr">
        <is>
          <t>2008-12-01</t>
        </is>
      </c>
      <c r="X126" t="inlineStr">
        <is>
          <t>2008-12-01</t>
        </is>
      </c>
      <c r="Y126" t="n">
        <v>102</v>
      </c>
      <c r="Z126" t="n">
        <v>92</v>
      </c>
      <c r="AA126" t="n">
        <v>92</v>
      </c>
      <c r="AB126" t="n">
        <v>1</v>
      </c>
      <c r="AC126" t="n">
        <v>1</v>
      </c>
      <c r="AD126" t="n">
        <v>3</v>
      </c>
      <c r="AE126" t="n">
        <v>3</v>
      </c>
      <c r="AF126" t="n">
        <v>1</v>
      </c>
      <c r="AG126" t="n">
        <v>1</v>
      </c>
      <c r="AH126" t="n">
        <v>1</v>
      </c>
      <c r="AI126" t="n">
        <v>1</v>
      </c>
      <c r="AJ126" t="n">
        <v>2</v>
      </c>
      <c r="AK126" t="n">
        <v>2</v>
      </c>
      <c r="AL126" t="n">
        <v>0</v>
      </c>
      <c r="AM126" t="n">
        <v>0</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HYPERLINK("https://creighton-primo.hosted.exlibrisgroup.com/primo-explore/search?tab=default_tab&amp;search_scope=EVERYTHING&amp;vid=01CRU&amp;lang=en_US&amp;offset=0&amp;query=any,contains,991005276309702656","Catalog Record")</f>
        <v/>
      </c>
      <c r="AT126">
        <f>HYPERLINK("http://www.worldcat.org/oclc/191882094","WorldCat Record")</f>
        <v/>
      </c>
      <c r="AU126" t="inlineStr">
        <is>
          <t>119812461:eng</t>
        </is>
      </c>
      <c r="AV126" t="inlineStr">
        <is>
          <t>191882094</t>
        </is>
      </c>
      <c r="AW126" t="inlineStr">
        <is>
          <t>991005276309702656</t>
        </is>
      </c>
      <c r="AX126" t="inlineStr">
        <is>
          <t>991005276309702656</t>
        </is>
      </c>
      <c r="AY126" t="inlineStr">
        <is>
          <t>2255823170002656</t>
        </is>
      </c>
      <c r="AZ126" t="inlineStr">
        <is>
          <t>BOOK</t>
        </is>
      </c>
      <c r="BB126" t="inlineStr">
        <is>
          <t>9781603440615</t>
        </is>
      </c>
      <c r="BC126" t="inlineStr">
        <is>
          <t>32285005469175</t>
        </is>
      </c>
      <c r="BD126" t="inlineStr">
        <is>
          <t>893242476</t>
        </is>
      </c>
    </row>
    <row r="127">
      <c r="A127" t="inlineStr">
        <is>
          <t>No</t>
        </is>
      </c>
      <c r="B127" t="inlineStr">
        <is>
          <t>QL31.S36 A36</t>
        </is>
      </c>
      <c r="C127" t="inlineStr">
        <is>
          <t>0                      QL 0031000S  36                 A  36</t>
        </is>
      </c>
      <c r="D127" t="inlineStr">
        <is>
          <t>Observations of wildlife / Peter Scott.</t>
        </is>
      </c>
      <c r="F127" t="inlineStr">
        <is>
          <t>No</t>
        </is>
      </c>
      <c r="G127" t="inlineStr">
        <is>
          <t>1</t>
        </is>
      </c>
      <c r="H127" t="inlineStr">
        <is>
          <t>No</t>
        </is>
      </c>
      <c r="I127" t="inlineStr">
        <is>
          <t>No</t>
        </is>
      </c>
      <c r="J127" t="inlineStr">
        <is>
          <t>0</t>
        </is>
      </c>
      <c r="K127" t="inlineStr">
        <is>
          <t>Scott, Peter, 1909-1989.</t>
        </is>
      </c>
      <c r="L127" t="inlineStr">
        <is>
          <t>Ithaca, N.Y. : Cornell University Press, 1980.</t>
        </is>
      </c>
      <c r="M127" t="inlineStr">
        <is>
          <t>1980</t>
        </is>
      </c>
      <c r="O127" t="inlineStr">
        <is>
          <t>eng</t>
        </is>
      </c>
      <c r="P127" t="inlineStr">
        <is>
          <t>nyu</t>
        </is>
      </c>
      <c r="R127" t="inlineStr">
        <is>
          <t xml:space="preserve">QL </t>
        </is>
      </c>
      <c r="S127" t="n">
        <v>2</v>
      </c>
      <c r="T127" t="n">
        <v>2</v>
      </c>
      <c r="U127" t="inlineStr">
        <is>
          <t>1994-10-25</t>
        </is>
      </c>
      <c r="V127" t="inlineStr">
        <is>
          <t>1994-10-25</t>
        </is>
      </c>
      <c r="W127" t="inlineStr">
        <is>
          <t>1993-05-21</t>
        </is>
      </c>
      <c r="X127" t="inlineStr">
        <is>
          <t>1993-05-21</t>
        </is>
      </c>
      <c r="Y127" t="n">
        <v>247</v>
      </c>
      <c r="Z127" t="n">
        <v>226</v>
      </c>
      <c r="AA127" t="n">
        <v>250</v>
      </c>
      <c r="AB127" t="n">
        <v>1</v>
      </c>
      <c r="AC127" t="n">
        <v>1</v>
      </c>
      <c r="AD127" t="n">
        <v>4</v>
      </c>
      <c r="AE127" t="n">
        <v>5</v>
      </c>
      <c r="AF127" t="n">
        <v>1</v>
      </c>
      <c r="AG127" t="n">
        <v>2</v>
      </c>
      <c r="AH127" t="n">
        <v>2</v>
      </c>
      <c r="AI127" t="n">
        <v>3</v>
      </c>
      <c r="AJ127" t="n">
        <v>2</v>
      </c>
      <c r="AK127" t="n">
        <v>2</v>
      </c>
      <c r="AL127" t="n">
        <v>0</v>
      </c>
      <c r="AM127" t="n">
        <v>0</v>
      </c>
      <c r="AN127" t="n">
        <v>0</v>
      </c>
      <c r="AO127" t="n">
        <v>0</v>
      </c>
      <c r="AP127" t="inlineStr">
        <is>
          <t>No</t>
        </is>
      </c>
      <c r="AQ127" t="inlineStr">
        <is>
          <t>Yes</t>
        </is>
      </c>
      <c r="AR127">
        <f>HYPERLINK("http://catalog.hathitrust.org/Record/000264813","HathiTrust Record")</f>
        <v/>
      </c>
      <c r="AS127">
        <f>HYPERLINK("https://creighton-primo.hosted.exlibrisgroup.com/primo-explore/search?tab=default_tab&amp;search_scope=EVERYTHING&amp;vid=01CRU&amp;lang=en_US&amp;offset=0&amp;query=any,contains,991005047489702656","Catalog Record")</f>
        <v/>
      </c>
      <c r="AT127">
        <f>HYPERLINK("http://www.worldcat.org/oclc/6857801","WorldCat Record")</f>
        <v/>
      </c>
      <c r="AU127" t="inlineStr">
        <is>
          <t>62479296:eng</t>
        </is>
      </c>
      <c r="AV127" t="inlineStr">
        <is>
          <t>6857801</t>
        </is>
      </c>
      <c r="AW127" t="inlineStr">
        <is>
          <t>991005047489702656</t>
        </is>
      </c>
      <c r="AX127" t="inlineStr">
        <is>
          <t>991005047489702656</t>
        </is>
      </c>
      <c r="AY127" t="inlineStr">
        <is>
          <t>2259578780002656</t>
        </is>
      </c>
      <c r="AZ127" t="inlineStr">
        <is>
          <t>BOOK</t>
        </is>
      </c>
      <c r="BB127" t="inlineStr">
        <is>
          <t>9780801413414</t>
        </is>
      </c>
      <c r="BC127" t="inlineStr">
        <is>
          <t>32285001686038</t>
        </is>
      </c>
      <c r="BD127" t="inlineStr">
        <is>
          <t>893344563</t>
        </is>
      </c>
    </row>
    <row r="128">
      <c r="A128" t="inlineStr">
        <is>
          <t>No</t>
        </is>
      </c>
      <c r="B128" t="inlineStr">
        <is>
          <t>QL31.T56 K78 2003</t>
        </is>
      </c>
      <c r="C128" t="inlineStr">
        <is>
          <t>0                      QL 0031000T  56                 K  78          2003</t>
        </is>
      </c>
      <c r="D128" t="inlineStr">
        <is>
          <t>Niko's nature : the life of Niko Tinbergen and his science of animal behaviour / Hans Kruuk ; with drawings and photographs by Niko Tinbergen.</t>
        </is>
      </c>
      <c r="F128" t="inlineStr">
        <is>
          <t>No</t>
        </is>
      </c>
      <c r="G128" t="inlineStr">
        <is>
          <t>1</t>
        </is>
      </c>
      <c r="H128" t="inlineStr">
        <is>
          <t>No</t>
        </is>
      </c>
      <c r="I128" t="inlineStr">
        <is>
          <t>No</t>
        </is>
      </c>
      <c r="J128" t="inlineStr">
        <is>
          <t>0</t>
        </is>
      </c>
      <c r="K128" t="inlineStr">
        <is>
          <t>Kruuk, H. (Hans)</t>
        </is>
      </c>
      <c r="L128" t="inlineStr">
        <is>
          <t>Oxford ; New York : Oxford University Press, 2003.</t>
        </is>
      </c>
      <c r="M128" t="inlineStr">
        <is>
          <t>2003</t>
        </is>
      </c>
      <c r="O128" t="inlineStr">
        <is>
          <t>eng</t>
        </is>
      </c>
      <c r="P128" t="inlineStr">
        <is>
          <t>enk</t>
        </is>
      </c>
      <c r="R128" t="inlineStr">
        <is>
          <t xml:space="preserve">QL </t>
        </is>
      </c>
      <c r="S128" t="n">
        <v>5</v>
      </c>
      <c r="T128" t="n">
        <v>5</v>
      </c>
      <c r="U128" t="inlineStr">
        <is>
          <t>2009-09-28</t>
        </is>
      </c>
      <c r="V128" t="inlineStr">
        <is>
          <t>2009-09-28</t>
        </is>
      </c>
      <c r="W128" t="inlineStr">
        <is>
          <t>2004-04-15</t>
        </is>
      </c>
      <c r="X128" t="inlineStr">
        <is>
          <t>2004-04-15</t>
        </is>
      </c>
      <c r="Y128" t="n">
        <v>365</v>
      </c>
      <c r="Z128" t="n">
        <v>278</v>
      </c>
      <c r="AA128" t="n">
        <v>294</v>
      </c>
      <c r="AB128" t="n">
        <v>1</v>
      </c>
      <c r="AC128" t="n">
        <v>2</v>
      </c>
      <c r="AD128" t="n">
        <v>7</v>
      </c>
      <c r="AE128" t="n">
        <v>8</v>
      </c>
      <c r="AF128" t="n">
        <v>1</v>
      </c>
      <c r="AG128" t="n">
        <v>1</v>
      </c>
      <c r="AH128" t="n">
        <v>3</v>
      </c>
      <c r="AI128" t="n">
        <v>3</v>
      </c>
      <c r="AJ128" t="n">
        <v>4</v>
      </c>
      <c r="AK128" t="n">
        <v>4</v>
      </c>
      <c r="AL128" t="n">
        <v>0</v>
      </c>
      <c r="AM128" t="n">
        <v>1</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HYPERLINK("https://creighton-primo.hosted.exlibrisgroup.com/primo-explore/search?tab=default_tab&amp;search_scope=EVERYTHING&amp;vid=01CRU&amp;lang=en_US&amp;offset=0&amp;query=any,contains,991004276429702656","Catalog Record")</f>
        <v/>
      </c>
      <c r="AT128">
        <f>HYPERLINK("http://www.worldcat.org/oclc/52830553","WorldCat Record")</f>
        <v/>
      </c>
      <c r="AU128" t="inlineStr">
        <is>
          <t>840641737:eng</t>
        </is>
      </c>
      <c r="AV128" t="inlineStr">
        <is>
          <t>52830553</t>
        </is>
      </c>
      <c r="AW128" t="inlineStr">
        <is>
          <t>991004276429702656</t>
        </is>
      </c>
      <c r="AX128" t="inlineStr">
        <is>
          <t>991004276429702656</t>
        </is>
      </c>
      <c r="AY128" t="inlineStr">
        <is>
          <t>2254807130002656</t>
        </is>
      </c>
      <c r="AZ128" t="inlineStr">
        <is>
          <t>BOOK</t>
        </is>
      </c>
      <c r="BB128" t="inlineStr">
        <is>
          <t>9780198515586</t>
        </is>
      </c>
      <c r="BC128" t="inlineStr">
        <is>
          <t>32285004899620</t>
        </is>
      </c>
      <c r="BD128" t="inlineStr">
        <is>
          <t>893532212</t>
        </is>
      </c>
    </row>
    <row r="129">
      <c r="A129" t="inlineStr">
        <is>
          <t>No</t>
        </is>
      </c>
      <c r="B129" t="inlineStr">
        <is>
          <t>QL31.W7 C3</t>
        </is>
      </c>
      <c r="C129" t="inlineStr">
        <is>
          <t>0                      QL 0031000W  7                  C  3</t>
        </is>
      </c>
      <c r="D129" t="inlineStr">
        <is>
          <t>Alexander Wilson: naturalist and pioneer, a biography. With decorations by Robert Ball.</t>
        </is>
      </c>
      <c r="F129" t="inlineStr">
        <is>
          <t>No</t>
        </is>
      </c>
      <c r="G129" t="inlineStr">
        <is>
          <t>1</t>
        </is>
      </c>
      <c r="H129" t="inlineStr">
        <is>
          <t>No</t>
        </is>
      </c>
      <c r="I129" t="inlineStr">
        <is>
          <t>No</t>
        </is>
      </c>
      <c r="J129" t="inlineStr">
        <is>
          <t>0</t>
        </is>
      </c>
      <c r="K129" t="inlineStr">
        <is>
          <t>Cantwell, Robert, 1908-1978.</t>
        </is>
      </c>
      <c r="L129" t="inlineStr">
        <is>
          <t>Philadelphia, Lippincott [1961]</t>
        </is>
      </c>
      <c r="M129" t="inlineStr">
        <is>
          <t>1961</t>
        </is>
      </c>
      <c r="N129" t="inlineStr">
        <is>
          <t>[1st ed.].</t>
        </is>
      </c>
      <c r="O129" t="inlineStr">
        <is>
          <t>eng</t>
        </is>
      </c>
      <c r="P129" t="inlineStr">
        <is>
          <t>pau</t>
        </is>
      </c>
      <c r="R129" t="inlineStr">
        <is>
          <t xml:space="preserve">QL </t>
        </is>
      </c>
      <c r="S129" t="n">
        <v>3</v>
      </c>
      <c r="T129" t="n">
        <v>3</v>
      </c>
      <c r="U129" t="inlineStr">
        <is>
          <t>2008-05-12</t>
        </is>
      </c>
      <c r="V129" t="inlineStr">
        <is>
          <t>2008-05-12</t>
        </is>
      </c>
      <c r="W129" t="inlineStr">
        <is>
          <t>1997-07-18</t>
        </is>
      </c>
      <c r="X129" t="inlineStr">
        <is>
          <t>1997-07-18</t>
        </is>
      </c>
      <c r="Y129" t="n">
        <v>585</v>
      </c>
      <c r="Z129" t="n">
        <v>552</v>
      </c>
      <c r="AA129" t="n">
        <v>557</v>
      </c>
      <c r="AB129" t="n">
        <v>2</v>
      </c>
      <c r="AC129" t="n">
        <v>2</v>
      </c>
      <c r="AD129" t="n">
        <v>10</v>
      </c>
      <c r="AE129" t="n">
        <v>10</v>
      </c>
      <c r="AF129" t="n">
        <v>5</v>
      </c>
      <c r="AG129" t="n">
        <v>5</v>
      </c>
      <c r="AH129" t="n">
        <v>3</v>
      </c>
      <c r="AI129" t="n">
        <v>3</v>
      </c>
      <c r="AJ129" t="n">
        <v>6</v>
      </c>
      <c r="AK129" t="n">
        <v>6</v>
      </c>
      <c r="AL129" t="n">
        <v>0</v>
      </c>
      <c r="AM129" t="n">
        <v>0</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HYPERLINK("https://creighton-primo.hosted.exlibrisgroup.com/primo-explore/search?tab=default_tab&amp;search_scope=EVERYTHING&amp;vid=01CRU&amp;lang=en_US&amp;offset=0&amp;query=any,contains,991002661149702656","Catalog Record")</f>
        <v/>
      </c>
      <c r="AT129">
        <f>HYPERLINK("http://www.worldcat.org/oclc/391517","WorldCat Record")</f>
        <v/>
      </c>
      <c r="AU129" t="inlineStr">
        <is>
          <t>1527061:eng</t>
        </is>
      </c>
      <c r="AV129" t="inlineStr">
        <is>
          <t>391517</t>
        </is>
      </c>
      <c r="AW129" t="inlineStr">
        <is>
          <t>991002661149702656</t>
        </is>
      </c>
      <c r="AX129" t="inlineStr">
        <is>
          <t>991002661149702656</t>
        </is>
      </c>
      <c r="AY129" t="inlineStr">
        <is>
          <t>2263075580002656</t>
        </is>
      </c>
      <c r="AZ129" t="inlineStr">
        <is>
          <t>BOOK</t>
        </is>
      </c>
      <c r="BC129" t="inlineStr">
        <is>
          <t>32285002938586</t>
        </is>
      </c>
      <c r="BD129" t="inlineStr">
        <is>
          <t>893710528</t>
        </is>
      </c>
    </row>
    <row r="130">
      <c r="A130" t="inlineStr">
        <is>
          <t>No</t>
        </is>
      </c>
      <c r="B130" t="inlineStr">
        <is>
          <t>QL337.K3 O95 1984</t>
        </is>
      </c>
      <c r="C130" t="inlineStr">
        <is>
          <t>0                      QL 0337000K  3                  O  95          1984</t>
        </is>
      </c>
      <c r="D130" t="inlineStr">
        <is>
          <t>Cry of the Kalahari / Mark and Delia Owens.</t>
        </is>
      </c>
      <c r="F130" t="inlineStr">
        <is>
          <t>No</t>
        </is>
      </c>
      <c r="G130" t="inlineStr">
        <is>
          <t>1</t>
        </is>
      </c>
      <c r="H130" t="inlineStr">
        <is>
          <t>No</t>
        </is>
      </c>
      <c r="I130" t="inlineStr">
        <is>
          <t>No</t>
        </is>
      </c>
      <c r="J130" t="inlineStr">
        <is>
          <t>0</t>
        </is>
      </c>
      <c r="K130" t="inlineStr">
        <is>
          <t>Owens, Mark, 1944-</t>
        </is>
      </c>
      <c r="L130" t="inlineStr">
        <is>
          <t>Boston : Houghton Mifflin, 1984.</t>
        </is>
      </c>
      <c r="M130" t="inlineStr">
        <is>
          <t>1984</t>
        </is>
      </c>
      <c r="O130" t="inlineStr">
        <is>
          <t>eng</t>
        </is>
      </c>
      <c r="P130" t="inlineStr">
        <is>
          <t>mau</t>
        </is>
      </c>
      <c r="R130" t="inlineStr">
        <is>
          <t xml:space="preserve">QL </t>
        </is>
      </c>
      <c r="S130" t="n">
        <v>10</v>
      </c>
      <c r="T130" t="n">
        <v>10</v>
      </c>
      <c r="U130" t="inlineStr">
        <is>
          <t>1997-08-27</t>
        </is>
      </c>
      <c r="V130" t="inlineStr">
        <is>
          <t>1997-08-27</t>
        </is>
      </c>
      <c r="W130" t="inlineStr">
        <is>
          <t>1993-05-25</t>
        </is>
      </c>
      <c r="X130" t="inlineStr">
        <is>
          <t>1993-05-25</t>
        </is>
      </c>
      <c r="Y130" t="n">
        <v>1340</v>
      </c>
      <c r="Z130" t="n">
        <v>1285</v>
      </c>
      <c r="AA130" t="n">
        <v>1516</v>
      </c>
      <c r="AB130" t="n">
        <v>10</v>
      </c>
      <c r="AC130" t="n">
        <v>11</v>
      </c>
      <c r="AD130" t="n">
        <v>20</v>
      </c>
      <c r="AE130" t="n">
        <v>22</v>
      </c>
      <c r="AF130" t="n">
        <v>9</v>
      </c>
      <c r="AG130" t="n">
        <v>11</v>
      </c>
      <c r="AH130" t="n">
        <v>2</v>
      </c>
      <c r="AI130" t="n">
        <v>3</v>
      </c>
      <c r="AJ130" t="n">
        <v>10</v>
      </c>
      <c r="AK130" t="n">
        <v>10</v>
      </c>
      <c r="AL130" t="n">
        <v>2</v>
      </c>
      <c r="AM130" t="n">
        <v>2</v>
      </c>
      <c r="AN130" t="n">
        <v>0</v>
      </c>
      <c r="AO130" t="n">
        <v>0</v>
      </c>
      <c r="AP130" t="inlineStr">
        <is>
          <t>No</t>
        </is>
      </c>
      <c r="AQ130" t="inlineStr">
        <is>
          <t>Yes</t>
        </is>
      </c>
      <c r="AR130">
        <f>HYPERLINK("http://catalog.hathitrust.org/Record/006202348","HathiTrust Record")</f>
        <v/>
      </c>
      <c r="AS130">
        <f>HYPERLINK("https://creighton-primo.hosted.exlibrisgroup.com/primo-explore/search?tab=default_tab&amp;search_scope=EVERYTHING&amp;vid=01CRU&amp;lang=en_US&amp;offset=0&amp;query=any,contains,991000433609702656","Catalog Record")</f>
        <v/>
      </c>
      <c r="AT130">
        <f>HYPERLINK("http://www.worldcat.org/oclc/10780404","WorldCat Record")</f>
        <v/>
      </c>
      <c r="AU130" t="inlineStr">
        <is>
          <t>3559143:eng</t>
        </is>
      </c>
      <c r="AV130" t="inlineStr">
        <is>
          <t>10780404</t>
        </is>
      </c>
      <c r="AW130" t="inlineStr">
        <is>
          <t>991000433609702656</t>
        </is>
      </c>
      <c r="AX130" t="inlineStr">
        <is>
          <t>991000433609702656</t>
        </is>
      </c>
      <c r="AY130" t="inlineStr">
        <is>
          <t>2255341220002656</t>
        </is>
      </c>
      <c r="AZ130" t="inlineStr">
        <is>
          <t>BOOK</t>
        </is>
      </c>
      <c r="BB130" t="inlineStr">
        <is>
          <t>9780395322147</t>
        </is>
      </c>
      <c r="BC130" t="inlineStr">
        <is>
          <t>32285001686392</t>
        </is>
      </c>
      <c r="BD130" t="inlineStr">
        <is>
          <t>893714579</t>
        </is>
      </c>
    </row>
    <row r="131">
      <c r="A131" t="inlineStr">
        <is>
          <t>No</t>
        </is>
      </c>
      <c r="B131" t="inlineStr">
        <is>
          <t>QL337.M2 M33 1984</t>
        </is>
      </c>
      <c r="C131" t="inlineStr">
        <is>
          <t>0                      QL 0337000M  2                  M  33          1984</t>
        </is>
      </c>
      <c r="D131" t="inlineStr">
        <is>
          <t>Madagascar / editors, Alison Jolly, Philippe Oberlé, Roland Albignac ; foreword by HRH the Duke of Edinburgh.</t>
        </is>
      </c>
      <c r="F131" t="inlineStr">
        <is>
          <t>No</t>
        </is>
      </c>
      <c r="G131" t="inlineStr">
        <is>
          <t>1</t>
        </is>
      </c>
      <c r="H131" t="inlineStr">
        <is>
          <t>No</t>
        </is>
      </c>
      <c r="I131" t="inlineStr">
        <is>
          <t>No</t>
        </is>
      </c>
      <c r="J131" t="inlineStr">
        <is>
          <t>0</t>
        </is>
      </c>
      <c r="L131" t="inlineStr">
        <is>
          <t>Oxford [Oxfordshire] ; New York : Pergamon Press, 1984.</t>
        </is>
      </c>
      <c r="M131" t="inlineStr">
        <is>
          <t>1984</t>
        </is>
      </c>
      <c r="N131" t="inlineStr">
        <is>
          <t>1st ed.</t>
        </is>
      </c>
      <c r="O131" t="inlineStr">
        <is>
          <t>eng</t>
        </is>
      </c>
      <c r="P131" t="inlineStr">
        <is>
          <t>enk</t>
        </is>
      </c>
      <c r="Q131" t="inlineStr">
        <is>
          <t>Key environments</t>
        </is>
      </c>
      <c r="R131" t="inlineStr">
        <is>
          <t xml:space="preserve">QL </t>
        </is>
      </c>
      <c r="S131" t="n">
        <v>8</v>
      </c>
      <c r="T131" t="n">
        <v>8</v>
      </c>
      <c r="U131" t="inlineStr">
        <is>
          <t>2004-05-05</t>
        </is>
      </c>
      <c r="V131" t="inlineStr">
        <is>
          <t>2004-05-05</t>
        </is>
      </c>
      <c r="W131" t="inlineStr">
        <is>
          <t>1993-05-25</t>
        </is>
      </c>
      <c r="X131" t="inlineStr">
        <is>
          <t>1993-05-25</t>
        </is>
      </c>
      <c r="Y131" t="n">
        <v>473</v>
      </c>
      <c r="Z131" t="n">
        <v>366</v>
      </c>
      <c r="AA131" t="n">
        <v>403</v>
      </c>
      <c r="AB131" t="n">
        <v>4</v>
      </c>
      <c r="AC131" t="n">
        <v>4</v>
      </c>
      <c r="AD131" t="n">
        <v>12</v>
      </c>
      <c r="AE131" t="n">
        <v>15</v>
      </c>
      <c r="AF131" t="n">
        <v>3</v>
      </c>
      <c r="AG131" t="n">
        <v>5</v>
      </c>
      <c r="AH131" t="n">
        <v>4</v>
      </c>
      <c r="AI131" t="n">
        <v>6</v>
      </c>
      <c r="AJ131" t="n">
        <v>4</v>
      </c>
      <c r="AK131" t="n">
        <v>4</v>
      </c>
      <c r="AL131" t="n">
        <v>3</v>
      </c>
      <c r="AM131" t="n">
        <v>3</v>
      </c>
      <c r="AN131" t="n">
        <v>0</v>
      </c>
      <c r="AO131" t="n">
        <v>0</v>
      </c>
      <c r="AP131" t="inlineStr">
        <is>
          <t>No</t>
        </is>
      </c>
      <c r="AQ131" t="inlineStr">
        <is>
          <t>Yes</t>
        </is>
      </c>
      <c r="AR131">
        <f>HYPERLINK("http://catalog.hathitrust.org/Record/004413510","HathiTrust Record")</f>
        <v/>
      </c>
      <c r="AS131">
        <f>HYPERLINK("https://creighton-primo.hosted.exlibrisgroup.com/primo-explore/search?tab=default_tab&amp;search_scope=EVERYTHING&amp;vid=01CRU&amp;lang=en_US&amp;offset=0&amp;query=any,contains,991000276749702656","Catalog Record")</f>
        <v/>
      </c>
      <c r="AT131">
        <f>HYPERLINK("http://www.worldcat.org/oclc/9895231","WorldCat Record")</f>
        <v/>
      </c>
      <c r="AU131" t="inlineStr">
        <is>
          <t>3768389434:eng</t>
        </is>
      </c>
      <c r="AV131" t="inlineStr">
        <is>
          <t>9895231</t>
        </is>
      </c>
      <c r="AW131" t="inlineStr">
        <is>
          <t>991000276749702656</t>
        </is>
      </c>
      <c r="AX131" t="inlineStr">
        <is>
          <t>991000276749702656</t>
        </is>
      </c>
      <c r="AY131" t="inlineStr">
        <is>
          <t>2264855810002656</t>
        </is>
      </c>
      <c r="AZ131" t="inlineStr">
        <is>
          <t>BOOK</t>
        </is>
      </c>
      <c r="BB131" t="inlineStr">
        <is>
          <t>9780080280028</t>
        </is>
      </c>
      <c r="BC131" t="inlineStr">
        <is>
          <t>32285001686400</t>
        </is>
      </c>
      <c r="BD131" t="inlineStr">
        <is>
          <t>893231004</t>
        </is>
      </c>
    </row>
    <row r="132">
      <c r="A132" t="inlineStr">
        <is>
          <t>No</t>
        </is>
      </c>
      <c r="B132" t="inlineStr">
        <is>
          <t>QL337.S65 M37 1972b</t>
        </is>
      </c>
      <c r="C132" t="inlineStr">
        <is>
          <t>0                      QL 0337000S  65                 M  37          1972b</t>
        </is>
      </c>
      <c r="D132" t="inlineStr">
        <is>
          <t>The tree where man was born / [text by] Peter Matthiessen. The African experience / [photographs by] Eliot Porter.</t>
        </is>
      </c>
      <c r="F132" t="inlineStr">
        <is>
          <t>No</t>
        </is>
      </c>
      <c r="G132" t="inlineStr">
        <is>
          <t>1</t>
        </is>
      </c>
      <c r="H132" t="inlineStr">
        <is>
          <t>No</t>
        </is>
      </c>
      <c r="I132" t="inlineStr">
        <is>
          <t>No</t>
        </is>
      </c>
      <c r="J132" t="inlineStr">
        <is>
          <t>0</t>
        </is>
      </c>
      <c r="K132" t="inlineStr">
        <is>
          <t>Matthiessen, Peter.</t>
        </is>
      </c>
      <c r="L132" t="inlineStr">
        <is>
          <t>New York : Dutton, 1972.</t>
        </is>
      </c>
      <c r="M132" t="inlineStr">
        <is>
          <t>1972</t>
        </is>
      </c>
      <c r="N132" t="inlineStr">
        <is>
          <t>1st ed.</t>
        </is>
      </c>
      <c r="O132" t="inlineStr">
        <is>
          <t>eng</t>
        </is>
      </c>
      <c r="P132" t="inlineStr">
        <is>
          <t>nyu</t>
        </is>
      </c>
      <c r="R132" t="inlineStr">
        <is>
          <t xml:space="preserve">QL </t>
        </is>
      </c>
      <c r="S132" t="n">
        <v>1</v>
      </c>
      <c r="T132" t="n">
        <v>1</v>
      </c>
      <c r="U132" t="inlineStr">
        <is>
          <t>2006-02-10</t>
        </is>
      </c>
      <c r="V132" t="inlineStr">
        <is>
          <t>2006-02-10</t>
        </is>
      </c>
      <c r="W132" t="inlineStr">
        <is>
          <t>1997-07-19</t>
        </is>
      </c>
      <c r="X132" t="inlineStr">
        <is>
          <t>1997-07-19</t>
        </is>
      </c>
      <c r="Y132" t="n">
        <v>1109</v>
      </c>
      <c r="Z132" t="n">
        <v>1072</v>
      </c>
      <c r="AA132" t="n">
        <v>1919</v>
      </c>
      <c r="AB132" t="n">
        <v>7</v>
      </c>
      <c r="AC132" t="n">
        <v>16</v>
      </c>
      <c r="AD132" t="n">
        <v>23</v>
      </c>
      <c r="AE132" t="n">
        <v>38</v>
      </c>
      <c r="AF132" t="n">
        <v>7</v>
      </c>
      <c r="AG132" t="n">
        <v>13</v>
      </c>
      <c r="AH132" t="n">
        <v>5</v>
      </c>
      <c r="AI132" t="n">
        <v>6</v>
      </c>
      <c r="AJ132" t="n">
        <v>13</v>
      </c>
      <c r="AK132" t="n">
        <v>17</v>
      </c>
      <c r="AL132" t="n">
        <v>3</v>
      </c>
      <c r="AM132" t="n">
        <v>9</v>
      </c>
      <c r="AN132" t="n">
        <v>0</v>
      </c>
      <c r="AO132" t="n">
        <v>0</v>
      </c>
      <c r="AP132" t="inlineStr">
        <is>
          <t>No</t>
        </is>
      </c>
      <c r="AQ132" t="inlineStr">
        <is>
          <t>Yes</t>
        </is>
      </c>
      <c r="AR132">
        <f>HYPERLINK("http://catalog.hathitrust.org/Record/102073883","HathiTrust Record")</f>
        <v/>
      </c>
      <c r="AS132">
        <f>HYPERLINK("https://creighton-primo.hosted.exlibrisgroup.com/primo-explore/search?tab=default_tab&amp;search_scope=EVERYTHING&amp;vid=01CRU&amp;lang=en_US&amp;offset=0&amp;query=any,contains,991002428069702656","Catalog Record")</f>
        <v/>
      </c>
      <c r="AT132">
        <f>HYPERLINK("http://www.worldcat.org/oclc/31636827","WorldCat Record")</f>
        <v/>
      </c>
      <c r="AU132" t="inlineStr">
        <is>
          <t>678995:eng</t>
        </is>
      </c>
      <c r="AV132" t="inlineStr">
        <is>
          <t>31636827</t>
        </is>
      </c>
      <c r="AW132" t="inlineStr">
        <is>
          <t>991002428069702656</t>
        </is>
      </c>
      <c r="AX132" t="inlineStr">
        <is>
          <t>991002428069702656</t>
        </is>
      </c>
      <c r="AY132" t="inlineStr">
        <is>
          <t>2271436820002656</t>
        </is>
      </c>
      <c r="AZ132" t="inlineStr">
        <is>
          <t>BOOK</t>
        </is>
      </c>
      <c r="BB132" t="inlineStr">
        <is>
          <t>9780525222651</t>
        </is>
      </c>
      <c r="BC132" t="inlineStr">
        <is>
          <t>32285002939485</t>
        </is>
      </c>
      <c r="BD132" t="inlineStr">
        <is>
          <t>893510721</t>
        </is>
      </c>
    </row>
    <row r="133">
      <c r="A133" t="inlineStr">
        <is>
          <t>No</t>
        </is>
      </c>
      <c r="B133" t="inlineStr">
        <is>
          <t>QL337.T3 I9313 1987</t>
        </is>
      </c>
      <c r="C133" t="inlineStr">
        <is>
          <t>0                      QL 0337000T  3                  I  9313        1987</t>
        </is>
      </c>
      <c r="D133" t="inlineStr">
        <is>
          <t>Serengeti, natural order on the African plain / by Mitsuaki Iwago.</t>
        </is>
      </c>
      <c r="F133" t="inlineStr">
        <is>
          <t>No</t>
        </is>
      </c>
      <c r="G133" t="inlineStr">
        <is>
          <t>1</t>
        </is>
      </c>
      <c r="H133" t="inlineStr">
        <is>
          <t>No</t>
        </is>
      </c>
      <c r="I133" t="inlineStr">
        <is>
          <t>No</t>
        </is>
      </c>
      <c r="J133" t="inlineStr">
        <is>
          <t>0</t>
        </is>
      </c>
      <c r="K133" t="inlineStr">
        <is>
          <t>Iwagō, Mitsuaki, 1950-</t>
        </is>
      </c>
      <c r="L133" t="inlineStr">
        <is>
          <t>San Francisco : Chronicle Books ; Vancouver, B.C. : Distributed in Canada by Raincoast Books, 1987, c1986.</t>
        </is>
      </c>
      <c r="M133" t="inlineStr">
        <is>
          <t>1987</t>
        </is>
      </c>
      <c r="O133" t="inlineStr">
        <is>
          <t>eng</t>
        </is>
      </c>
      <c r="P133" t="inlineStr">
        <is>
          <t>cau</t>
        </is>
      </c>
      <c r="R133" t="inlineStr">
        <is>
          <t xml:space="preserve">QL </t>
        </is>
      </c>
      <c r="S133" t="n">
        <v>8</v>
      </c>
      <c r="T133" t="n">
        <v>8</v>
      </c>
      <c r="U133" t="inlineStr">
        <is>
          <t>1999-07-18</t>
        </is>
      </c>
      <c r="V133" t="inlineStr">
        <is>
          <t>1999-07-18</t>
        </is>
      </c>
      <c r="W133" t="inlineStr">
        <is>
          <t>1993-05-25</t>
        </is>
      </c>
      <c r="X133" t="inlineStr">
        <is>
          <t>1993-05-25</t>
        </is>
      </c>
      <c r="Y133" t="n">
        <v>641</v>
      </c>
      <c r="Z133" t="n">
        <v>589</v>
      </c>
      <c r="AA133" t="n">
        <v>595</v>
      </c>
      <c r="AB133" t="n">
        <v>3</v>
      </c>
      <c r="AC133" t="n">
        <v>3</v>
      </c>
      <c r="AD133" t="n">
        <v>7</v>
      </c>
      <c r="AE133" t="n">
        <v>7</v>
      </c>
      <c r="AF133" t="n">
        <v>3</v>
      </c>
      <c r="AG133" t="n">
        <v>3</v>
      </c>
      <c r="AH133" t="n">
        <v>1</v>
      </c>
      <c r="AI133" t="n">
        <v>1</v>
      </c>
      <c r="AJ133" t="n">
        <v>3</v>
      </c>
      <c r="AK133" t="n">
        <v>3</v>
      </c>
      <c r="AL133" t="n">
        <v>0</v>
      </c>
      <c r="AM133" t="n">
        <v>0</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HYPERLINK("https://creighton-primo.hosted.exlibrisgroup.com/primo-explore/search?tab=default_tab&amp;search_scope=EVERYTHING&amp;vid=01CRU&amp;lang=en_US&amp;offset=0&amp;query=any,contains,991001019659702656","Catalog Record")</f>
        <v/>
      </c>
      <c r="AT133">
        <f>HYPERLINK("http://www.worldcat.org/oclc/15366006","WorldCat Record")</f>
        <v/>
      </c>
      <c r="AU133" t="inlineStr">
        <is>
          <t>354175260:eng</t>
        </is>
      </c>
      <c r="AV133" t="inlineStr">
        <is>
          <t>15366006</t>
        </is>
      </c>
      <c r="AW133" t="inlineStr">
        <is>
          <t>991001019659702656</t>
        </is>
      </c>
      <c r="AX133" t="inlineStr">
        <is>
          <t>991001019659702656</t>
        </is>
      </c>
      <c r="AY133" t="inlineStr">
        <is>
          <t>2259845180002656</t>
        </is>
      </c>
      <c r="AZ133" t="inlineStr">
        <is>
          <t>BOOK</t>
        </is>
      </c>
      <c r="BB133" t="inlineStr">
        <is>
          <t>9780877014324</t>
        </is>
      </c>
      <c r="BC133" t="inlineStr">
        <is>
          <t>32285001686426</t>
        </is>
      </c>
      <c r="BD133" t="inlineStr">
        <is>
          <t>893589954</t>
        </is>
      </c>
    </row>
    <row r="134">
      <c r="A134" t="inlineStr">
        <is>
          <t>No</t>
        </is>
      </c>
      <c r="B134" t="inlineStr">
        <is>
          <t>QL337.T3 S43</t>
        </is>
      </c>
      <c r="C134" t="inlineStr">
        <is>
          <t>0                      QL 0337000T  3                  S  43</t>
        </is>
      </c>
      <c r="D134" t="inlineStr">
        <is>
          <t>Serengeti, dynamics of an ecosystem / edited by A. R. E. Sinclair and M. Norton-Griffiths.</t>
        </is>
      </c>
      <c r="F134" t="inlineStr">
        <is>
          <t>No</t>
        </is>
      </c>
      <c r="G134" t="inlineStr">
        <is>
          <t>1</t>
        </is>
      </c>
      <c r="H134" t="inlineStr">
        <is>
          <t>No</t>
        </is>
      </c>
      <c r="I134" t="inlineStr">
        <is>
          <t>No</t>
        </is>
      </c>
      <c r="J134" t="inlineStr">
        <is>
          <t>0</t>
        </is>
      </c>
      <c r="L134" t="inlineStr">
        <is>
          <t>Chicago : University of Chicago Press, 1979.</t>
        </is>
      </c>
      <c r="M134" t="inlineStr">
        <is>
          <t>1979</t>
        </is>
      </c>
      <c r="O134" t="inlineStr">
        <is>
          <t>eng</t>
        </is>
      </c>
      <c r="P134" t="inlineStr">
        <is>
          <t>ilu</t>
        </is>
      </c>
      <c r="R134" t="inlineStr">
        <is>
          <t xml:space="preserve">QL </t>
        </is>
      </c>
      <c r="S134" t="n">
        <v>13</v>
      </c>
      <c r="T134" t="n">
        <v>13</v>
      </c>
      <c r="U134" t="inlineStr">
        <is>
          <t>1999-10-28</t>
        </is>
      </c>
      <c r="V134" t="inlineStr">
        <is>
          <t>1999-10-28</t>
        </is>
      </c>
      <c r="W134" t="inlineStr">
        <is>
          <t>1992-06-10</t>
        </is>
      </c>
      <c r="X134" t="inlineStr">
        <is>
          <t>1992-06-10</t>
        </is>
      </c>
      <c r="Y134" t="n">
        <v>676</v>
      </c>
      <c r="Z134" t="n">
        <v>544</v>
      </c>
      <c r="AA134" t="n">
        <v>567</v>
      </c>
      <c r="AB134" t="n">
        <v>4</v>
      </c>
      <c r="AC134" t="n">
        <v>4</v>
      </c>
      <c r="AD134" t="n">
        <v>21</v>
      </c>
      <c r="AE134" t="n">
        <v>22</v>
      </c>
      <c r="AF134" t="n">
        <v>9</v>
      </c>
      <c r="AG134" t="n">
        <v>10</v>
      </c>
      <c r="AH134" t="n">
        <v>5</v>
      </c>
      <c r="AI134" t="n">
        <v>5</v>
      </c>
      <c r="AJ134" t="n">
        <v>9</v>
      </c>
      <c r="AK134" t="n">
        <v>10</v>
      </c>
      <c r="AL134" t="n">
        <v>3</v>
      </c>
      <c r="AM134" t="n">
        <v>3</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HYPERLINK("https://creighton-primo.hosted.exlibrisgroup.com/primo-explore/search?tab=default_tab&amp;search_scope=EVERYTHING&amp;vid=01CRU&amp;lang=en_US&amp;offset=0&amp;query=any,contains,991004720999702656","Catalog Record")</f>
        <v/>
      </c>
      <c r="AT134">
        <f>HYPERLINK("http://www.worldcat.org/oclc/4804514","WorldCat Record")</f>
        <v/>
      </c>
      <c r="AU134" t="inlineStr">
        <is>
          <t>365807220:eng</t>
        </is>
      </c>
      <c r="AV134" t="inlineStr">
        <is>
          <t>4804514</t>
        </is>
      </c>
      <c r="AW134" t="inlineStr">
        <is>
          <t>991004720999702656</t>
        </is>
      </c>
      <c r="AX134" t="inlineStr">
        <is>
          <t>991004720999702656</t>
        </is>
      </c>
      <c r="AY134" t="inlineStr">
        <is>
          <t>2270307750002656</t>
        </is>
      </c>
      <c r="AZ134" t="inlineStr">
        <is>
          <t>BOOK</t>
        </is>
      </c>
      <c r="BB134" t="inlineStr">
        <is>
          <t>9780226760285</t>
        </is>
      </c>
      <c r="BC134" t="inlineStr">
        <is>
          <t>32285001098911</t>
        </is>
      </c>
      <c r="BD134" t="inlineStr">
        <is>
          <t>893712943</t>
        </is>
      </c>
    </row>
    <row r="135">
      <c r="A135" t="inlineStr">
        <is>
          <t>No</t>
        </is>
      </c>
      <c r="B135" t="inlineStr">
        <is>
          <t>QL337.T3 S755 2002</t>
        </is>
      </c>
      <c r="C135" t="inlineStr">
        <is>
          <t>0                      QL 0337000T  3                  S  755         2002</t>
        </is>
      </c>
      <c r="D135" t="inlineStr">
        <is>
          <t>Nomads of the Serengeti / Robyn Stewart.</t>
        </is>
      </c>
      <c r="F135" t="inlineStr">
        <is>
          <t>No</t>
        </is>
      </c>
      <c r="G135" t="inlineStr">
        <is>
          <t>1</t>
        </is>
      </c>
      <c r="H135" t="inlineStr">
        <is>
          <t>No</t>
        </is>
      </c>
      <c r="I135" t="inlineStr">
        <is>
          <t>No</t>
        </is>
      </c>
      <c r="J135" t="inlineStr">
        <is>
          <t>0</t>
        </is>
      </c>
      <c r="K135" t="inlineStr">
        <is>
          <t>Stewart, Robyn.</t>
        </is>
      </c>
      <c r="L135" t="inlineStr">
        <is>
          <t>Cape Town : Struik Publishers, 2002.</t>
        </is>
      </c>
      <c r="M135" t="inlineStr">
        <is>
          <t>2002</t>
        </is>
      </c>
      <c r="O135" t="inlineStr">
        <is>
          <t>eng</t>
        </is>
      </c>
      <c r="P135" t="inlineStr">
        <is>
          <t xml:space="preserve">sa </t>
        </is>
      </c>
      <c r="R135" t="inlineStr">
        <is>
          <t xml:space="preserve">QL </t>
        </is>
      </c>
      <c r="S135" t="n">
        <v>1</v>
      </c>
      <c r="T135" t="n">
        <v>1</v>
      </c>
      <c r="U135" t="inlineStr">
        <is>
          <t>2008-01-07</t>
        </is>
      </c>
      <c r="V135" t="inlineStr">
        <is>
          <t>2008-01-07</t>
        </is>
      </c>
      <c r="W135" t="inlineStr">
        <is>
          <t>2008-01-07</t>
        </is>
      </c>
      <c r="X135" t="inlineStr">
        <is>
          <t>2008-01-07</t>
        </is>
      </c>
      <c r="Y135" t="n">
        <v>54</v>
      </c>
      <c r="Z135" t="n">
        <v>24</v>
      </c>
      <c r="AA135" t="n">
        <v>24</v>
      </c>
      <c r="AB135" t="n">
        <v>1</v>
      </c>
      <c r="AC135" t="n">
        <v>1</v>
      </c>
      <c r="AD135" t="n">
        <v>0</v>
      </c>
      <c r="AE135" t="n">
        <v>0</v>
      </c>
      <c r="AF135" t="n">
        <v>0</v>
      </c>
      <c r="AG135" t="n">
        <v>0</v>
      </c>
      <c r="AH135" t="n">
        <v>0</v>
      </c>
      <c r="AI135" t="n">
        <v>0</v>
      </c>
      <c r="AJ135" t="n">
        <v>0</v>
      </c>
      <c r="AK135" t="n">
        <v>0</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HYPERLINK("https://creighton-primo.hosted.exlibrisgroup.com/primo-explore/search?tab=default_tab&amp;search_scope=EVERYTHING&amp;vid=01CRU&amp;lang=en_US&amp;offset=0&amp;query=any,contains,991005151989702656","Catalog Record")</f>
        <v/>
      </c>
      <c r="AT135">
        <f>HYPERLINK("http://www.worldcat.org/oclc/51575878","WorldCat Record")</f>
        <v/>
      </c>
      <c r="AU135" t="inlineStr">
        <is>
          <t>818877:eng</t>
        </is>
      </c>
      <c r="AV135" t="inlineStr">
        <is>
          <t>51575878</t>
        </is>
      </c>
      <c r="AW135" t="inlineStr">
        <is>
          <t>991005151989702656</t>
        </is>
      </c>
      <c r="AX135" t="inlineStr">
        <is>
          <t>991005151989702656</t>
        </is>
      </c>
      <c r="AY135" t="inlineStr">
        <is>
          <t>2264098970002656</t>
        </is>
      </c>
      <c r="AZ135" t="inlineStr">
        <is>
          <t>BOOK</t>
        </is>
      </c>
      <c r="BB135" t="inlineStr">
        <is>
          <t>9781868727629</t>
        </is>
      </c>
      <c r="BC135" t="inlineStr">
        <is>
          <t>32285005374417</t>
        </is>
      </c>
      <c r="BD135" t="inlineStr">
        <is>
          <t>893507694</t>
        </is>
      </c>
    </row>
    <row r="136">
      <c r="A136" t="inlineStr">
        <is>
          <t>No</t>
        </is>
      </c>
      <c r="B136" t="inlineStr">
        <is>
          <t>QL338 .B8</t>
        </is>
      </c>
      <c r="C136" t="inlineStr">
        <is>
          <t>0                      QL 0338000B  8</t>
        </is>
      </c>
      <c r="D136" t="inlineStr">
        <is>
          <t>Bush dwellers of Australia.</t>
        </is>
      </c>
      <c r="F136" t="inlineStr">
        <is>
          <t>No</t>
        </is>
      </c>
      <c r="G136" t="inlineStr">
        <is>
          <t>1</t>
        </is>
      </c>
      <c r="H136" t="inlineStr">
        <is>
          <t>No</t>
        </is>
      </c>
      <c r="I136" t="inlineStr">
        <is>
          <t>No</t>
        </is>
      </c>
      <c r="J136" t="inlineStr">
        <is>
          <t>0</t>
        </is>
      </c>
      <c r="L136" t="inlineStr">
        <is>
          <t>[North Clayton, Victoria : Australian News and Information Bureau ; Specialty Press n.d.]</t>
        </is>
      </c>
      <c r="O136" t="inlineStr">
        <is>
          <t>eng</t>
        </is>
      </c>
      <c r="P136" t="inlineStr">
        <is>
          <t xml:space="preserve">at </t>
        </is>
      </c>
      <c r="Q136" t="inlineStr">
        <is>
          <t>An Australian News and Information Bureau Publication</t>
        </is>
      </c>
      <c r="R136" t="inlineStr">
        <is>
          <t xml:space="preserve">QL </t>
        </is>
      </c>
      <c r="S136" t="n">
        <v>3</v>
      </c>
      <c r="T136" t="n">
        <v>3</v>
      </c>
      <c r="U136" t="inlineStr">
        <is>
          <t>1995-01-14</t>
        </is>
      </c>
      <c r="V136" t="inlineStr">
        <is>
          <t>1995-01-14</t>
        </is>
      </c>
      <c r="W136" t="inlineStr">
        <is>
          <t>1992-01-14</t>
        </is>
      </c>
      <c r="X136" t="inlineStr">
        <is>
          <t>1992-01-14</t>
        </is>
      </c>
      <c r="Y136" t="n">
        <v>119</v>
      </c>
      <c r="Z136" t="n">
        <v>108</v>
      </c>
      <c r="AA136" t="n">
        <v>139</v>
      </c>
      <c r="AB136" t="n">
        <v>3</v>
      </c>
      <c r="AC136" t="n">
        <v>4</v>
      </c>
      <c r="AD136" t="n">
        <v>3</v>
      </c>
      <c r="AE136" t="n">
        <v>3</v>
      </c>
      <c r="AF136" t="n">
        <v>1</v>
      </c>
      <c r="AG136" t="n">
        <v>1</v>
      </c>
      <c r="AH136" t="n">
        <v>0</v>
      </c>
      <c r="AI136" t="n">
        <v>0</v>
      </c>
      <c r="AJ136" t="n">
        <v>0</v>
      </c>
      <c r="AK136" t="n">
        <v>0</v>
      </c>
      <c r="AL136" t="n">
        <v>2</v>
      </c>
      <c r="AM136" t="n">
        <v>2</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HYPERLINK("https://creighton-primo.hosted.exlibrisgroup.com/primo-explore/search?tab=default_tab&amp;search_scope=EVERYTHING&amp;vid=01CRU&amp;lang=en_US&amp;offset=0&amp;query=any,contains,991004578269702656","Catalog Record")</f>
        <v/>
      </c>
      <c r="AT136">
        <f>HYPERLINK("http://www.worldcat.org/oclc/4055516","WorldCat Record")</f>
        <v/>
      </c>
      <c r="AU136" t="inlineStr">
        <is>
          <t>54233529:eng</t>
        </is>
      </c>
      <c r="AV136" t="inlineStr">
        <is>
          <t>4055516</t>
        </is>
      </c>
      <c r="AW136" t="inlineStr">
        <is>
          <t>991004578269702656</t>
        </is>
      </c>
      <c r="AX136" t="inlineStr">
        <is>
          <t>991004578269702656</t>
        </is>
      </c>
      <c r="AY136" t="inlineStr">
        <is>
          <t>2272621320002656</t>
        </is>
      </c>
      <c r="AZ136" t="inlineStr">
        <is>
          <t>BOOK</t>
        </is>
      </c>
      <c r="BC136" t="inlineStr">
        <is>
          <t>32285000884709</t>
        </is>
      </c>
      <c r="BD136" t="inlineStr">
        <is>
          <t>893795009</t>
        </is>
      </c>
    </row>
    <row r="137">
      <c r="A137" t="inlineStr">
        <is>
          <t>No</t>
        </is>
      </c>
      <c r="B137" t="inlineStr">
        <is>
          <t>QL338 .J8 1977</t>
        </is>
      </c>
      <c r="C137" t="inlineStr">
        <is>
          <t>0                      QL 0338000J  8           1977</t>
        </is>
      </c>
      <c r="D137" t="inlineStr">
        <is>
          <t>Kangaroos &amp; other creatures from down under : based on the television series Wild, Wild World of Animals / [by Donald Dale Jackson].</t>
        </is>
      </c>
      <c r="F137" t="inlineStr">
        <is>
          <t>No</t>
        </is>
      </c>
      <c r="G137" t="inlineStr">
        <is>
          <t>1</t>
        </is>
      </c>
      <c r="H137" t="inlineStr">
        <is>
          <t>No</t>
        </is>
      </c>
      <c r="I137" t="inlineStr">
        <is>
          <t>No</t>
        </is>
      </c>
      <c r="J137" t="inlineStr">
        <is>
          <t>0</t>
        </is>
      </c>
      <c r="K137" t="inlineStr">
        <is>
          <t>Jackson, Donald Dale, 1935-</t>
        </is>
      </c>
      <c r="L137" t="inlineStr">
        <is>
          <t>[New York]: Time-Life Films, 1977.</t>
        </is>
      </c>
      <c r="M137" t="inlineStr">
        <is>
          <t>1977</t>
        </is>
      </c>
      <c r="O137" t="inlineStr">
        <is>
          <t>eng</t>
        </is>
      </c>
      <c r="P137" t="inlineStr">
        <is>
          <t xml:space="preserve">xx </t>
        </is>
      </c>
      <c r="Q137" t="inlineStr">
        <is>
          <t>Wild, wild world of animals</t>
        </is>
      </c>
      <c r="R137" t="inlineStr">
        <is>
          <t xml:space="preserve">QL </t>
        </is>
      </c>
      <c r="S137" t="n">
        <v>17</v>
      </c>
      <c r="T137" t="n">
        <v>17</v>
      </c>
      <c r="U137" t="inlineStr">
        <is>
          <t>2007-02-23</t>
        </is>
      </c>
      <c r="V137" t="inlineStr">
        <is>
          <t>2007-02-23</t>
        </is>
      </c>
      <c r="W137" t="inlineStr">
        <is>
          <t>1992-01-08</t>
        </is>
      </c>
      <c r="X137" t="inlineStr">
        <is>
          <t>1992-01-08</t>
        </is>
      </c>
      <c r="Y137" t="n">
        <v>513</v>
      </c>
      <c r="Z137" t="n">
        <v>464</v>
      </c>
      <c r="AA137" t="n">
        <v>469</v>
      </c>
      <c r="AB137" t="n">
        <v>5</v>
      </c>
      <c r="AC137" t="n">
        <v>5</v>
      </c>
      <c r="AD137" t="n">
        <v>2</v>
      </c>
      <c r="AE137" t="n">
        <v>2</v>
      </c>
      <c r="AF137" t="n">
        <v>0</v>
      </c>
      <c r="AG137" t="n">
        <v>0</v>
      </c>
      <c r="AH137" t="n">
        <v>0</v>
      </c>
      <c r="AI137" t="n">
        <v>0</v>
      </c>
      <c r="AJ137" t="n">
        <v>1</v>
      </c>
      <c r="AK137" t="n">
        <v>1</v>
      </c>
      <c r="AL137" t="n">
        <v>1</v>
      </c>
      <c r="AM137" t="n">
        <v>1</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HYPERLINK("https://creighton-primo.hosted.exlibrisgroup.com/primo-explore/search?tab=default_tab&amp;search_scope=EVERYTHING&amp;vid=01CRU&amp;lang=en_US&amp;offset=0&amp;query=any,contains,991004486429702656","Catalog Record")</f>
        <v/>
      </c>
      <c r="AT137">
        <f>HYPERLINK("http://www.worldcat.org/oclc/3647063","WorldCat Record")</f>
        <v/>
      </c>
      <c r="AU137" t="inlineStr">
        <is>
          <t>12201271:eng</t>
        </is>
      </c>
      <c r="AV137" t="inlineStr">
        <is>
          <t>3647063</t>
        </is>
      </c>
      <c r="AW137" t="inlineStr">
        <is>
          <t>991004486429702656</t>
        </is>
      </c>
      <c r="AX137" t="inlineStr">
        <is>
          <t>991004486429702656</t>
        </is>
      </c>
      <c r="AY137" t="inlineStr">
        <is>
          <t>2255449870002656</t>
        </is>
      </c>
      <c r="AZ137" t="inlineStr">
        <is>
          <t>BOOK</t>
        </is>
      </c>
      <c r="BB137" t="inlineStr">
        <is>
          <t>9780913948170</t>
        </is>
      </c>
      <c r="BC137" t="inlineStr">
        <is>
          <t>32285000884691</t>
        </is>
      </c>
      <c r="BD137" t="inlineStr">
        <is>
          <t>893319295</t>
        </is>
      </c>
    </row>
    <row r="138">
      <c r="A138" t="inlineStr">
        <is>
          <t>No</t>
        </is>
      </c>
      <c r="B138" t="inlineStr">
        <is>
          <t>QL338 .S4 1966a</t>
        </is>
      </c>
      <c r="C138" t="inlineStr">
        <is>
          <t>0                      QL 0338000S  4           1966a</t>
        </is>
      </c>
      <c r="D138" t="inlineStr">
        <is>
          <t>A continent in danger; editor Colin Willock.</t>
        </is>
      </c>
      <c r="F138" t="inlineStr">
        <is>
          <t>No</t>
        </is>
      </c>
      <c r="G138" t="inlineStr">
        <is>
          <t>1</t>
        </is>
      </c>
      <c r="H138" t="inlineStr">
        <is>
          <t>No</t>
        </is>
      </c>
      <c r="I138" t="inlineStr">
        <is>
          <t>No</t>
        </is>
      </c>
      <c r="J138" t="inlineStr">
        <is>
          <t>0</t>
        </is>
      </c>
      <c r="K138" t="inlineStr">
        <is>
          <t>Serventy, Vincent.</t>
        </is>
      </c>
      <c r="L138" t="inlineStr">
        <is>
          <t>[Worcester] Reynal, in association with W. Morrow [c1966]</t>
        </is>
      </c>
      <c r="M138" t="inlineStr">
        <is>
          <t>1966</t>
        </is>
      </c>
      <c r="O138" t="inlineStr">
        <is>
          <t>eng</t>
        </is>
      </c>
      <c r="P138" t="inlineStr">
        <is>
          <t>enk</t>
        </is>
      </c>
      <c r="Q138" t="inlineStr">
        <is>
          <t>Survival books</t>
        </is>
      </c>
      <c r="R138" t="inlineStr">
        <is>
          <t xml:space="preserve">QL </t>
        </is>
      </c>
      <c r="S138" t="n">
        <v>5</v>
      </c>
      <c r="T138" t="n">
        <v>5</v>
      </c>
      <c r="U138" t="inlineStr">
        <is>
          <t>1997-02-19</t>
        </is>
      </c>
      <c r="V138" t="inlineStr">
        <is>
          <t>1997-02-19</t>
        </is>
      </c>
      <c r="W138" t="inlineStr">
        <is>
          <t>1992-11-06</t>
        </is>
      </c>
      <c r="X138" t="inlineStr">
        <is>
          <t>1992-11-06</t>
        </is>
      </c>
      <c r="Y138" t="n">
        <v>11</v>
      </c>
      <c r="Z138" t="n">
        <v>11</v>
      </c>
      <c r="AA138" t="n">
        <v>214</v>
      </c>
      <c r="AB138" t="n">
        <v>1</v>
      </c>
      <c r="AC138" t="n">
        <v>2</v>
      </c>
      <c r="AD138" t="n">
        <v>2</v>
      </c>
      <c r="AE138" t="n">
        <v>7</v>
      </c>
      <c r="AF138" t="n">
        <v>1</v>
      </c>
      <c r="AG138" t="n">
        <v>4</v>
      </c>
      <c r="AH138" t="n">
        <v>0</v>
      </c>
      <c r="AI138" t="n">
        <v>2</v>
      </c>
      <c r="AJ138" t="n">
        <v>1</v>
      </c>
      <c r="AK138" t="n">
        <v>1</v>
      </c>
      <c r="AL138" t="n">
        <v>0</v>
      </c>
      <c r="AM138" t="n">
        <v>1</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HYPERLINK("https://creighton-primo.hosted.exlibrisgroup.com/primo-explore/search?tab=default_tab&amp;search_scope=EVERYTHING&amp;vid=01CRU&amp;lang=en_US&amp;offset=0&amp;query=any,contains,991000394939702656","Catalog Record")</f>
        <v/>
      </c>
      <c r="AT138">
        <f>HYPERLINK("http://www.worldcat.org/oclc/10566222","WorldCat Record")</f>
        <v/>
      </c>
      <c r="AU138" t="inlineStr">
        <is>
          <t>1864808:eng</t>
        </is>
      </c>
      <c r="AV138" t="inlineStr">
        <is>
          <t>10566222</t>
        </is>
      </c>
      <c r="AW138" t="inlineStr">
        <is>
          <t>991000394939702656</t>
        </is>
      </c>
      <c r="AX138" t="inlineStr">
        <is>
          <t>991000394939702656</t>
        </is>
      </c>
      <c r="AY138" t="inlineStr">
        <is>
          <t>2268397170002656</t>
        </is>
      </c>
      <c r="AZ138" t="inlineStr">
        <is>
          <t>BOOK</t>
        </is>
      </c>
      <c r="BC138" t="inlineStr">
        <is>
          <t>32285001387769</t>
        </is>
      </c>
      <c r="BD138" t="inlineStr">
        <is>
          <t>893877995</t>
        </is>
      </c>
    </row>
    <row r="139">
      <c r="A139" t="inlineStr">
        <is>
          <t>No</t>
        </is>
      </c>
      <c r="B139" t="inlineStr">
        <is>
          <t>QL351 .A53 v...</t>
        </is>
      </c>
      <c r="C139" t="inlineStr">
        <is>
          <t>0                      QL 0351000A  53                                                      v...</t>
        </is>
      </c>
      <c r="D139" t="inlineStr">
        <is>
          <t>Animal identification : a reference guide / edited by D. Hollis.</t>
        </is>
      </c>
      <c r="E139" t="inlineStr">
        <is>
          <t>V.2</t>
        </is>
      </c>
      <c r="F139" t="inlineStr">
        <is>
          <t>Yes</t>
        </is>
      </c>
      <c r="G139" t="inlineStr">
        <is>
          <t>1</t>
        </is>
      </c>
      <c r="H139" t="inlineStr">
        <is>
          <t>No</t>
        </is>
      </c>
      <c r="I139" t="inlineStr">
        <is>
          <t>No</t>
        </is>
      </c>
      <c r="J139" t="inlineStr">
        <is>
          <t>0</t>
        </is>
      </c>
      <c r="L139" t="inlineStr">
        <is>
          <t>London : British Museum (Natural History) ; Chichester [Eng.] ; New York : Wiley, 1980-</t>
        </is>
      </c>
      <c r="M139" t="inlineStr">
        <is>
          <t>1980</t>
        </is>
      </c>
      <c r="O139" t="inlineStr">
        <is>
          <t>eng</t>
        </is>
      </c>
      <c r="P139" t="inlineStr">
        <is>
          <t>enk</t>
        </is>
      </c>
      <c r="R139" t="inlineStr">
        <is>
          <t xml:space="preserve">QL </t>
        </is>
      </c>
      <c r="S139" t="n">
        <v>3</v>
      </c>
      <c r="T139" t="n">
        <v>6</v>
      </c>
      <c r="U139" t="inlineStr">
        <is>
          <t>1999-11-29</t>
        </is>
      </c>
      <c r="V139" t="inlineStr">
        <is>
          <t>1999-11-29</t>
        </is>
      </c>
      <c r="W139" t="inlineStr">
        <is>
          <t>1993-05-25</t>
        </is>
      </c>
      <c r="X139" t="inlineStr">
        <is>
          <t>1993-05-25</t>
        </is>
      </c>
      <c r="Y139" t="n">
        <v>410</v>
      </c>
      <c r="Z139" t="n">
        <v>280</v>
      </c>
      <c r="AA139" t="n">
        <v>287</v>
      </c>
      <c r="AB139" t="n">
        <v>3</v>
      </c>
      <c r="AC139" t="n">
        <v>3</v>
      </c>
      <c r="AD139" t="n">
        <v>6</v>
      </c>
      <c r="AE139" t="n">
        <v>6</v>
      </c>
      <c r="AF139" t="n">
        <v>1</v>
      </c>
      <c r="AG139" t="n">
        <v>1</v>
      </c>
      <c r="AH139" t="n">
        <v>1</v>
      </c>
      <c r="AI139" t="n">
        <v>1</v>
      </c>
      <c r="AJ139" t="n">
        <v>3</v>
      </c>
      <c r="AK139" t="n">
        <v>3</v>
      </c>
      <c r="AL139" t="n">
        <v>2</v>
      </c>
      <c r="AM139" t="n">
        <v>2</v>
      </c>
      <c r="AN139" t="n">
        <v>0</v>
      </c>
      <c r="AO139" t="n">
        <v>0</v>
      </c>
      <c r="AP139" t="inlineStr">
        <is>
          <t>No</t>
        </is>
      </c>
      <c r="AQ139" t="inlineStr">
        <is>
          <t>Yes</t>
        </is>
      </c>
      <c r="AR139">
        <f>HYPERLINK("http://catalog.hathitrust.org/Record/000098329","HathiTrust Record")</f>
        <v/>
      </c>
      <c r="AS139">
        <f>HYPERLINK("https://creighton-primo.hosted.exlibrisgroup.com/primo-explore/search?tab=default_tab&amp;search_scope=EVERYTHING&amp;vid=01CRU&amp;lang=en_US&amp;offset=0&amp;query=any,contains,991004949249702656","Catalog Record")</f>
        <v/>
      </c>
      <c r="AT139">
        <f>HYPERLINK("http://www.worldcat.org/oclc/6223809","WorldCat Record")</f>
        <v/>
      </c>
      <c r="AU139" t="inlineStr">
        <is>
          <t>5377893960:eng</t>
        </is>
      </c>
      <c r="AV139" t="inlineStr">
        <is>
          <t>6223809</t>
        </is>
      </c>
      <c r="AW139" t="inlineStr">
        <is>
          <t>991004949249702656</t>
        </is>
      </c>
      <c r="AX139" t="inlineStr">
        <is>
          <t>991004949249702656</t>
        </is>
      </c>
      <c r="AY139" t="inlineStr">
        <is>
          <t>2268547620002656</t>
        </is>
      </c>
      <c r="AZ139" t="inlineStr">
        <is>
          <t>BOOK</t>
        </is>
      </c>
      <c r="BB139" t="inlineStr">
        <is>
          <t>9780471277675</t>
        </is>
      </c>
      <c r="BC139" t="inlineStr">
        <is>
          <t>32285001686459</t>
        </is>
      </c>
      <c r="BD139" t="inlineStr">
        <is>
          <t>893412128</t>
        </is>
      </c>
    </row>
    <row r="140">
      <c r="A140" t="inlineStr">
        <is>
          <t>No</t>
        </is>
      </c>
      <c r="B140" t="inlineStr">
        <is>
          <t>QL351 .A53 v...</t>
        </is>
      </c>
      <c r="C140" t="inlineStr">
        <is>
          <t>0                      QL 0351000A  53                                                      v...</t>
        </is>
      </c>
      <c r="D140" t="inlineStr">
        <is>
          <t>Animal identification : a reference guide / edited by D. Hollis.</t>
        </is>
      </c>
      <c r="E140" t="inlineStr">
        <is>
          <t>V.3</t>
        </is>
      </c>
      <c r="F140" t="inlineStr">
        <is>
          <t>Yes</t>
        </is>
      </c>
      <c r="G140" t="inlineStr">
        <is>
          <t>1</t>
        </is>
      </c>
      <c r="H140" t="inlineStr">
        <is>
          <t>No</t>
        </is>
      </c>
      <c r="I140" t="inlineStr">
        <is>
          <t>No</t>
        </is>
      </c>
      <c r="J140" t="inlineStr">
        <is>
          <t>0</t>
        </is>
      </c>
      <c r="L140" t="inlineStr">
        <is>
          <t>London : British Museum (Natural History) ; Chichester [Eng.] ; New York : Wiley, 1980-</t>
        </is>
      </c>
      <c r="M140" t="inlineStr">
        <is>
          <t>1980</t>
        </is>
      </c>
      <c r="O140" t="inlineStr">
        <is>
          <t>eng</t>
        </is>
      </c>
      <c r="P140" t="inlineStr">
        <is>
          <t>enk</t>
        </is>
      </c>
      <c r="R140" t="inlineStr">
        <is>
          <t xml:space="preserve">QL </t>
        </is>
      </c>
      <c r="S140" t="n">
        <v>0</v>
      </c>
      <c r="T140" t="n">
        <v>6</v>
      </c>
      <c r="V140" t="inlineStr">
        <is>
          <t>1999-11-29</t>
        </is>
      </c>
      <c r="W140" t="inlineStr">
        <is>
          <t>1993-05-25</t>
        </is>
      </c>
      <c r="X140" t="inlineStr">
        <is>
          <t>1993-05-25</t>
        </is>
      </c>
      <c r="Y140" t="n">
        <v>410</v>
      </c>
      <c r="Z140" t="n">
        <v>280</v>
      </c>
      <c r="AA140" t="n">
        <v>287</v>
      </c>
      <c r="AB140" t="n">
        <v>3</v>
      </c>
      <c r="AC140" t="n">
        <v>3</v>
      </c>
      <c r="AD140" t="n">
        <v>6</v>
      </c>
      <c r="AE140" t="n">
        <v>6</v>
      </c>
      <c r="AF140" t="n">
        <v>1</v>
      </c>
      <c r="AG140" t="n">
        <v>1</v>
      </c>
      <c r="AH140" t="n">
        <v>1</v>
      </c>
      <c r="AI140" t="n">
        <v>1</v>
      </c>
      <c r="AJ140" t="n">
        <v>3</v>
      </c>
      <c r="AK140" t="n">
        <v>3</v>
      </c>
      <c r="AL140" t="n">
        <v>2</v>
      </c>
      <c r="AM140" t="n">
        <v>2</v>
      </c>
      <c r="AN140" t="n">
        <v>0</v>
      </c>
      <c r="AO140" t="n">
        <v>0</v>
      </c>
      <c r="AP140" t="inlineStr">
        <is>
          <t>No</t>
        </is>
      </c>
      <c r="AQ140" t="inlineStr">
        <is>
          <t>Yes</t>
        </is>
      </c>
      <c r="AR140">
        <f>HYPERLINK("http://catalog.hathitrust.org/Record/000098329","HathiTrust Record")</f>
        <v/>
      </c>
      <c r="AS140">
        <f>HYPERLINK("https://creighton-primo.hosted.exlibrisgroup.com/primo-explore/search?tab=default_tab&amp;search_scope=EVERYTHING&amp;vid=01CRU&amp;lang=en_US&amp;offset=0&amp;query=any,contains,991004949249702656","Catalog Record")</f>
        <v/>
      </c>
      <c r="AT140">
        <f>HYPERLINK("http://www.worldcat.org/oclc/6223809","WorldCat Record")</f>
        <v/>
      </c>
      <c r="AU140" t="inlineStr">
        <is>
          <t>5377893960:eng</t>
        </is>
      </c>
      <c r="AV140" t="inlineStr">
        <is>
          <t>6223809</t>
        </is>
      </c>
      <c r="AW140" t="inlineStr">
        <is>
          <t>991004949249702656</t>
        </is>
      </c>
      <c r="AX140" t="inlineStr">
        <is>
          <t>991004949249702656</t>
        </is>
      </c>
      <c r="AY140" t="inlineStr">
        <is>
          <t>2268547620002656</t>
        </is>
      </c>
      <c r="AZ140" t="inlineStr">
        <is>
          <t>BOOK</t>
        </is>
      </c>
      <c r="BB140" t="inlineStr">
        <is>
          <t>9780471277675</t>
        </is>
      </c>
      <c r="BC140" t="inlineStr">
        <is>
          <t>32285001686467</t>
        </is>
      </c>
      <c r="BD140" t="inlineStr">
        <is>
          <t>893436951</t>
        </is>
      </c>
    </row>
    <row r="141">
      <c r="A141" t="inlineStr">
        <is>
          <t>No</t>
        </is>
      </c>
      <c r="B141" t="inlineStr">
        <is>
          <t>QL351 .A53 v...</t>
        </is>
      </c>
      <c r="C141" t="inlineStr">
        <is>
          <t>0                      QL 0351000A  53                                                      v...</t>
        </is>
      </c>
      <c r="D141" t="inlineStr">
        <is>
          <t>Animal identification : a reference guide / edited by D. Hollis.</t>
        </is>
      </c>
      <c r="E141" t="inlineStr">
        <is>
          <t>V.1</t>
        </is>
      </c>
      <c r="F141" t="inlineStr">
        <is>
          <t>Yes</t>
        </is>
      </c>
      <c r="G141" t="inlineStr">
        <is>
          <t>1</t>
        </is>
      </c>
      <c r="H141" t="inlineStr">
        <is>
          <t>No</t>
        </is>
      </c>
      <c r="I141" t="inlineStr">
        <is>
          <t>No</t>
        </is>
      </c>
      <c r="J141" t="inlineStr">
        <is>
          <t>0</t>
        </is>
      </c>
      <c r="L141" t="inlineStr">
        <is>
          <t>London : British Museum (Natural History) ; Chichester [Eng.] ; New York : Wiley, 1980-</t>
        </is>
      </c>
      <c r="M141" t="inlineStr">
        <is>
          <t>1980</t>
        </is>
      </c>
      <c r="O141" t="inlineStr">
        <is>
          <t>eng</t>
        </is>
      </c>
      <c r="P141" t="inlineStr">
        <is>
          <t>enk</t>
        </is>
      </c>
      <c r="R141" t="inlineStr">
        <is>
          <t xml:space="preserve">QL </t>
        </is>
      </c>
      <c r="S141" t="n">
        <v>3</v>
      </c>
      <c r="T141" t="n">
        <v>6</v>
      </c>
      <c r="U141" t="inlineStr">
        <is>
          <t>1999-11-29</t>
        </is>
      </c>
      <c r="V141" t="inlineStr">
        <is>
          <t>1999-11-29</t>
        </is>
      </c>
      <c r="W141" t="inlineStr">
        <is>
          <t>1993-05-25</t>
        </is>
      </c>
      <c r="X141" t="inlineStr">
        <is>
          <t>1993-05-25</t>
        </is>
      </c>
      <c r="Y141" t="n">
        <v>410</v>
      </c>
      <c r="Z141" t="n">
        <v>280</v>
      </c>
      <c r="AA141" t="n">
        <v>287</v>
      </c>
      <c r="AB141" t="n">
        <v>3</v>
      </c>
      <c r="AC141" t="n">
        <v>3</v>
      </c>
      <c r="AD141" t="n">
        <v>6</v>
      </c>
      <c r="AE141" t="n">
        <v>6</v>
      </c>
      <c r="AF141" t="n">
        <v>1</v>
      </c>
      <c r="AG141" t="n">
        <v>1</v>
      </c>
      <c r="AH141" t="n">
        <v>1</v>
      </c>
      <c r="AI141" t="n">
        <v>1</v>
      </c>
      <c r="AJ141" t="n">
        <v>3</v>
      </c>
      <c r="AK141" t="n">
        <v>3</v>
      </c>
      <c r="AL141" t="n">
        <v>2</v>
      </c>
      <c r="AM141" t="n">
        <v>2</v>
      </c>
      <c r="AN141" t="n">
        <v>0</v>
      </c>
      <c r="AO141" t="n">
        <v>0</v>
      </c>
      <c r="AP141" t="inlineStr">
        <is>
          <t>No</t>
        </is>
      </c>
      <c r="AQ141" t="inlineStr">
        <is>
          <t>Yes</t>
        </is>
      </c>
      <c r="AR141">
        <f>HYPERLINK("http://catalog.hathitrust.org/Record/000098329","HathiTrust Record")</f>
        <v/>
      </c>
      <c r="AS141">
        <f>HYPERLINK("https://creighton-primo.hosted.exlibrisgroup.com/primo-explore/search?tab=default_tab&amp;search_scope=EVERYTHING&amp;vid=01CRU&amp;lang=en_US&amp;offset=0&amp;query=any,contains,991004949249702656","Catalog Record")</f>
        <v/>
      </c>
      <c r="AT141">
        <f>HYPERLINK("http://www.worldcat.org/oclc/6223809","WorldCat Record")</f>
        <v/>
      </c>
      <c r="AU141" t="inlineStr">
        <is>
          <t>5377893960:eng</t>
        </is>
      </c>
      <c r="AV141" t="inlineStr">
        <is>
          <t>6223809</t>
        </is>
      </c>
      <c r="AW141" t="inlineStr">
        <is>
          <t>991004949249702656</t>
        </is>
      </c>
      <c r="AX141" t="inlineStr">
        <is>
          <t>991004949249702656</t>
        </is>
      </c>
      <c r="AY141" t="inlineStr">
        <is>
          <t>2268547620002656</t>
        </is>
      </c>
      <c r="AZ141" t="inlineStr">
        <is>
          <t>BOOK</t>
        </is>
      </c>
      <c r="BB141" t="inlineStr">
        <is>
          <t>9780471277675</t>
        </is>
      </c>
      <c r="BC141" t="inlineStr">
        <is>
          <t>32285001686442</t>
        </is>
      </c>
      <c r="BD141" t="inlineStr">
        <is>
          <t>893443225</t>
        </is>
      </c>
    </row>
    <row r="142">
      <c r="A142" t="inlineStr">
        <is>
          <t>No</t>
        </is>
      </c>
      <c r="B142" t="inlineStr">
        <is>
          <t>QL351 .B54</t>
        </is>
      </c>
      <c r="C142" t="inlineStr">
        <is>
          <t>0                      QL 0351000B  54</t>
        </is>
      </c>
      <c r="D142" t="inlineStr">
        <is>
          <t>Taxonomy; a text and reference book [by] Richard E. Blackwelder.</t>
        </is>
      </c>
      <c r="F142" t="inlineStr">
        <is>
          <t>No</t>
        </is>
      </c>
      <c r="G142" t="inlineStr">
        <is>
          <t>1</t>
        </is>
      </c>
      <c r="H142" t="inlineStr">
        <is>
          <t>No</t>
        </is>
      </c>
      <c r="I142" t="inlineStr">
        <is>
          <t>No</t>
        </is>
      </c>
      <c r="J142" t="inlineStr">
        <is>
          <t>0</t>
        </is>
      </c>
      <c r="K142" t="inlineStr">
        <is>
          <t>Blackwelder, Richard E.</t>
        </is>
      </c>
      <c r="L142" t="inlineStr">
        <is>
          <t>New York, Wiley [1967]</t>
        </is>
      </c>
      <c r="M142" t="inlineStr">
        <is>
          <t>1967</t>
        </is>
      </c>
      <c r="O142" t="inlineStr">
        <is>
          <t>eng</t>
        </is>
      </c>
      <c r="P142" t="inlineStr">
        <is>
          <t>nyu</t>
        </is>
      </c>
      <c r="R142" t="inlineStr">
        <is>
          <t xml:space="preserve">QL </t>
        </is>
      </c>
      <c r="S142" t="n">
        <v>1</v>
      </c>
      <c r="T142" t="n">
        <v>1</v>
      </c>
      <c r="U142" t="inlineStr">
        <is>
          <t>1999-10-05</t>
        </is>
      </c>
      <c r="V142" t="inlineStr">
        <is>
          <t>1999-10-05</t>
        </is>
      </c>
      <c r="W142" t="inlineStr">
        <is>
          <t>1997-07-19</t>
        </is>
      </c>
      <c r="X142" t="inlineStr">
        <is>
          <t>1997-07-19</t>
        </is>
      </c>
      <c r="Y142" t="n">
        <v>872</v>
      </c>
      <c r="Z142" t="n">
        <v>708</v>
      </c>
      <c r="AA142" t="n">
        <v>716</v>
      </c>
      <c r="AB142" t="n">
        <v>4</v>
      </c>
      <c r="AC142" t="n">
        <v>4</v>
      </c>
      <c r="AD142" t="n">
        <v>22</v>
      </c>
      <c r="AE142" t="n">
        <v>22</v>
      </c>
      <c r="AF142" t="n">
        <v>7</v>
      </c>
      <c r="AG142" t="n">
        <v>7</v>
      </c>
      <c r="AH142" t="n">
        <v>4</v>
      </c>
      <c r="AI142" t="n">
        <v>4</v>
      </c>
      <c r="AJ142" t="n">
        <v>13</v>
      </c>
      <c r="AK142" t="n">
        <v>13</v>
      </c>
      <c r="AL142" t="n">
        <v>3</v>
      </c>
      <c r="AM142" t="n">
        <v>3</v>
      </c>
      <c r="AN142" t="n">
        <v>0</v>
      </c>
      <c r="AO142" t="n">
        <v>0</v>
      </c>
      <c r="AP142" t="inlineStr">
        <is>
          <t>No</t>
        </is>
      </c>
      <c r="AQ142" t="inlineStr">
        <is>
          <t>Yes</t>
        </is>
      </c>
      <c r="AR142">
        <f>HYPERLINK("http://catalog.hathitrust.org/Record/001499212","HathiTrust Record")</f>
        <v/>
      </c>
      <c r="AS142">
        <f>HYPERLINK("https://creighton-primo.hosted.exlibrisgroup.com/primo-explore/search?tab=default_tab&amp;search_scope=EVERYTHING&amp;vid=01CRU&amp;lang=en_US&amp;offset=0&amp;query=any,contains,991002378789702656","Catalog Record")</f>
        <v/>
      </c>
      <c r="AT142">
        <f>HYPERLINK("http://www.worldcat.org/oclc/327928","WorldCat Record")</f>
        <v/>
      </c>
      <c r="AU142" t="inlineStr">
        <is>
          <t>836704296:eng</t>
        </is>
      </c>
      <c r="AV142" t="inlineStr">
        <is>
          <t>327928</t>
        </is>
      </c>
      <c r="AW142" t="inlineStr">
        <is>
          <t>991002378789702656</t>
        </is>
      </c>
      <c r="AX142" t="inlineStr">
        <is>
          <t>991002378789702656</t>
        </is>
      </c>
      <c r="AY142" t="inlineStr">
        <is>
          <t>2272672460002656</t>
        </is>
      </c>
      <c r="AZ142" t="inlineStr">
        <is>
          <t>BOOK</t>
        </is>
      </c>
      <c r="BC142" t="inlineStr">
        <is>
          <t>32285002939493</t>
        </is>
      </c>
      <c r="BD142" t="inlineStr">
        <is>
          <t>893779743</t>
        </is>
      </c>
    </row>
    <row r="143">
      <c r="A143" t="inlineStr">
        <is>
          <t>No</t>
        </is>
      </c>
      <c r="B143" t="inlineStr">
        <is>
          <t>QL351 .R57 1997</t>
        </is>
      </c>
      <c r="C143" t="inlineStr">
        <is>
          <t>0                      QL 0351000R  57          1997</t>
        </is>
      </c>
      <c r="D143" t="inlineStr">
        <is>
          <t>The platypus and the mermaid, and other figments of the classifying imagination / Harriet Ritvo.</t>
        </is>
      </c>
      <c r="F143" t="inlineStr">
        <is>
          <t>No</t>
        </is>
      </c>
      <c r="G143" t="inlineStr">
        <is>
          <t>1</t>
        </is>
      </c>
      <c r="H143" t="inlineStr">
        <is>
          <t>No</t>
        </is>
      </c>
      <c r="I143" t="inlineStr">
        <is>
          <t>No</t>
        </is>
      </c>
      <c r="J143" t="inlineStr">
        <is>
          <t>0</t>
        </is>
      </c>
      <c r="K143" t="inlineStr">
        <is>
          <t>Ritvo, Harriet, 1946-</t>
        </is>
      </c>
      <c r="L143" t="inlineStr">
        <is>
          <t>Cambridge, Mass. : Harvard University Press, 1997.</t>
        </is>
      </c>
      <c r="M143" t="inlineStr">
        <is>
          <t>1997</t>
        </is>
      </c>
      <c r="O143" t="inlineStr">
        <is>
          <t>eng</t>
        </is>
      </c>
      <c r="P143" t="inlineStr">
        <is>
          <t>mau</t>
        </is>
      </c>
      <c r="R143" t="inlineStr">
        <is>
          <t xml:space="preserve">QL </t>
        </is>
      </c>
      <c r="S143" t="n">
        <v>5</v>
      </c>
      <c r="T143" t="n">
        <v>5</v>
      </c>
      <c r="U143" t="inlineStr">
        <is>
          <t>2003-03-10</t>
        </is>
      </c>
      <c r="V143" t="inlineStr">
        <is>
          <t>2003-03-10</t>
        </is>
      </c>
      <c r="W143" t="inlineStr">
        <is>
          <t>1999-04-22</t>
        </is>
      </c>
      <c r="X143" t="inlineStr">
        <is>
          <t>1999-04-22</t>
        </is>
      </c>
      <c r="Y143" t="n">
        <v>507</v>
      </c>
      <c r="Z143" t="n">
        <v>409</v>
      </c>
      <c r="AA143" t="n">
        <v>440</v>
      </c>
      <c r="AB143" t="n">
        <v>4</v>
      </c>
      <c r="AC143" t="n">
        <v>4</v>
      </c>
      <c r="AD143" t="n">
        <v>14</v>
      </c>
      <c r="AE143" t="n">
        <v>14</v>
      </c>
      <c r="AF143" t="n">
        <v>4</v>
      </c>
      <c r="AG143" t="n">
        <v>4</v>
      </c>
      <c r="AH143" t="n">
        <v>2</v>
      </c>
      <c r="AI143" t="n">
        <v>2</v>
      </c>
      <c r="AJ143" t="n">
        <v>8</v>
      </c>
      <c r="AK143" t="n">
        <v>8</v>
      </c>
      <c r="AL143" t="n">
        <v>3</v>
      </c>
      <c r="AM143" t="n">
        <v>3</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HYPERLINK("https://creighton-primo.hosted.exlibrisgroup.com/primo-explore/search?tab=default_tab&amp;search_scope=EVERYTHING&amp;vid=01CRU&amp;lang=en_US&amp;offset=0&amp;query=any,contains,991002758929702656","Catalog Record")</f>
        <v/>
      </c>
      <c r="AT143">
        <f>HYPERLINK("http://www.worldcat.org/oclc/36186375","WorldCat Record")</f>
        <v/>
      </c>
      <c r="AU143" t="inlineStr">
        <is>
          <t>569545:eng</t>
        </is>
      </c>
      <c r="AV143" t="inlineStr">
        <is>
          <t>36186375</t>
        </is>
      </c>
      <c r="AW143" t="inlineStr">
        <is>
          <t>991002758929702656</t>
        </is>
      </c>
      <c r="AX143" t="inlineStr">
        <is>
          <t>991002758929702656</t>
        </is>
      </c>
      <c r="AY143" t="inlineStr">
        <is>
          <t>2262672770002656</t>
        </is>
      </c>
      <c r="AZ143" t="inlineStr">
        <is>
          <t>BOOK</t>
        </is>
      </c>
      <c r="BB143" t="inlineStr">
        <is>
          <t>9780674673571</t>
        </is>
      </c>
      <c r="BC143" t="inlineStr">
        <is>
          <t>32285003555132</t>
        </is>
      </c>
      <c r="BD143" t="inlineStr">
        <is>
          <t>893792873</t>
        </is>
      </c>
    </row>
    <row r="144">
      <c r="A144" t="inlineStr">
        <is>
          <t>No</t>
        </is>
      </c>
      <c r="B144" t="inlineStr">
        <is>
          <t>QL351 .S27</t>
        </is>
      </c>
      <c r="C144" t="inlineStr">
        <is>
          <t>0                      QL 0351000S  27</t>
        </is>
      </c>
      <c r="D144" t="inlineStr">
        <is>
          <t>Animal taxonomy [by] Theodore Savory.</t>
        </is>
      </c>
      <c r="F144" t="inlineStr">
        <is>
          <t>No</t>
        </is>
      </c>
      <c r="G144" t="inlineStr">
        <is>
          <t>1</t>
        </is>
      </c>
      <c r="H144" t="inlineStr">
        <is>
          <t>No</t>
        </is>
      </c>
      <c r="I144" t="inlineStr">
        <is>
          <t>No</t>
        </is>
      </c>
      <c r="J144" t="inlineStr">
        <is>
          <t>0</t>
        </is>
      </c>
      <c r="K144" t="inlineStr">
        <is>
          <t>Savory, Theodore H. (Theodore Horace), 1896-1980.</t>
        </is>
      </c>
      <c r="L144" t="inlineStr">
        <is>
          <t>London, Heinemann Educational, 1970.</t>
        </is>
      </c>
      <c r="M144" t="inlineStr">
        <is>
          <t>1970</t>
        </is>
      </c>
      <c r="O144" t="inlineStr">
        <is>
          <t>eng</t>
        </is>
      </c>
      <c r="P144" t="inlineStr">
        <is>
          <t>enk</t>
        </is>
      </c>
      <c r="Q144" t="inlineStr">
        <is>
          <t>The scholarship series in biology</t>
        </is>
      </c>
      <c r="R144" t="inlineStr">
        <is>
          <t xml:space="preserve">QL </t>
        </is>
      </c>
      <c r="S144" t="n">
        <v>3</v>
      </c>
      <c r="T144" t="n">
        <v>3</v>
      </c>
      <c r="U144" t="inlineStr">
        <is>
          <t>1997-11-23</t>
        </is>
      </c>
      <c r="V144" t="inlineStr">
        <is>
          <t>1997-11-23</t>
        </is>
      </c>
      <c r="W144" t="inlineStr">
        <is>
          <t>1997-07-19</t>
        </is>
      </c>
      <c r="X144" t="inlineStr">
        <is>
          <t>1997-07-19</t>
        </is>
      </c>
      <c r="Y144" t="n">
        <v>138</v>
      </c>
      <c r="Z144" t="n">
        <v>42</v>
      </c>
      <c r="AA144" t="n">
        <v>44</v>
      </c>
      <c r="AB144" t="n">
        <v>2</v>
      </c>
      <c r="AC144" t="n">
        <v>2</v>
      </c>
      <c r="AD144" t="n">
        <v>2</v>
      </c>
      <c r="AE144" t="n">
        <v>2</v>
      </c>
      <c r="AF144" t="n">
        <v>0</v>
      </c>
      <c r="AG144" t="n">
        <v>0</v>
      </c>
      <c r="AH144" t="n">
        <v>1</v>
      </c>
      <c r="AI144" t="n">
        <v>1</v>
      </c>
      <c r="AJ144" t="n">
        <v>0</v>
      </c>
      <c r="AK144" t="n">
        <v>0</v>
      </c>
      <c r="AL144" t="n">
        <v>1</v>
      </c>
      <c r="AM144" t="n">
        <v>1</v>
      </c>
      <c r="AN144" t="n">
        <v>0</v>
      </c>
      <c r="AO144" t="n">
        <v>0</v>
      </c>
      <c r="AP144" t="inlineStr">
        <is>
          <t>No</t>
        </is>
      </c>
      <c r="AQ144" t="inlineStr">
        <is>
          <t>Yes</t>
        </is>
      </c>
      <c r="AR144">
        <f>HYPERLINK("http://catalog.hathitrust.org/Record/001499222","HathiTrust Record")</f>
        <v/>
      </c>
      <c r="AS144">
        <f>HYPERLINK("https://creighton-primo.hosted.exlibrisgroup.com/primo-explore/search?tab=default_tab&amp;search_scope=EVERYTHING&amp;vid=01CRU&amp;lang=en_US&amp;offset=0&amp;query=any,contains,991000584709702656","Catalog Record")</f>
        <v/>
      </c>
      <c r="AT144">
        <f>HYPERLINK("http://www.worldcat.org/oclc/95960","WorldCat Record")</f>
        <v/>
      </c>
      <c r="AU144" t="inlineStr">
        <is>
          <t>1319816:eng</t>
        </is>
      </c>
      <c r="AV144" t="inlineStr">
        <is>
          <t>95960</t>
        </is>
      </c>
      <c r="AW144" t="inlineStr">
        <is>
          <t>991000584709702656</t>
        </is>
      </c>
      <c r="AX144" t="inlineStr">
        <is>
          <t>991000584709702656</t>
        </is>
      </c>
      <c r="AY144" t="inlineStr">
        <is>
          <t>2272422820002656</t>
        </is>
      </c>
      <c r="AZ144" t="inlineStr">
        <is>
          <t>BOOK</t>
        </is>
      </c>
      <c r="BB144" t="inlineStr">
        <is>
          <t>9780435618001</t>
        </is>
      </c>
      <c r="BC144" t="inlineStr">
        <is>
          <t>32285002939568</t>
        </is>
      </c>
      <c r="BD144" t="inlineStr">
        <is>
          <t>893614318</t>
        </is>
      </c>
    </row>
    <row r="145">
      <c r="A145" t="inlineStr">
        <is>
          <t>No</t>
        </is>
      </c>
      <c r="B145" t="inlineStr">
        <is>
          <t>QL352 .H42</t>
        </is>
      </c>
      <c r="C145" t="inlineStr">
        <is>
          <t>0                      QL 0352000H  42</t>
        </is>
      </c>
      <c r="D145" t="inlineStr">
        <is>
          <t>Outline of a classification of the animal kingdom / by Dr. Anatol Heintz and Dr. Leif Störmer.</t>
        </is>
      </c>
      <c r="F145" t="inlineStr">
        <is>
          <t>No</t>
        </is>
      </c>
      <c r="G145" t="inlineStr">
        <is>
          <t>1</t>
        </is>
      </c>
      <c r="H145" t="inlineStr">
        <is>
          <t>No</t>
        </is>
      </c>
      <c r="I145" t="inlineStr">
        <is>
          <t>No</t>
        </is>
      </c>
      <c r="J145" t="inlineStr">
        <is>
          <t>0</t>
        </is>
      </c>
      <c r="K145" t="inlineStr">
        <is>
          <t>Heintz, Anatol, 1898-</t>
        </is>
      </c>
      <c r="L145" t="inlineStr">
        <is>
          <t>Rochester, N.Y. : Ward's natural science establishment, inc., [c1940]</t>
        </is>
      </c>
      <c r="M145" t="inlineStr">
        <is>
          <t>1940</t>
        </is>
      </c>
      <c r="O145" t="inlineStr">
        <is>
          <t>eng</t>
        </is>
      </c>
      <c r="P145" t="inlineStr">
        <is>
          <t xml:space="preserve">xx </t>
        </is>
      </c>
      <c r="R145" t="inlineStr">
        <is>
          <t xml:space="preserve">QL </t>
        </is>
      </c>
      <c r="S145" t="n">
        <v>2</v>
      </c>
      <c r="T145" t="n">
        <v>2</v>
      </c>
      <c r="U145" t="inlineStr">
        <is>
          <t>1998-02-25</t>
        </is>
      </c>
      <c r="V145" t="inlineStr">
        <is>
          <t>1998-02-25</t>
        </is>
      </c>
      <c r="W145" t="inlineStr">
        <is>
          <t>1994-03-02</t>
        </is>
      </c>
      <c r="X145" t="inlineStr">
        <is>
          <t>1994-03-02</t>
        </is>
      </c>
      <c r="Y145" t="n">
        <v>11</v>
      </c>
      <c r="Z145" t="n">
        <v>8</v>
      </c>
      <c r="AA145" t="n">
        <v>9</v>
      </c>
      <c r="AB145" t="n">
        <v>1</v>
      </c>
      <c r="AC145" t="n">
        <v>1</v>
      </c>
      <c r="AD145" t="n">
        <v>0</v>
      </c>
      <c r="AE145" t="n">
        <v>0</v>
      </c>
      <c r="AF145" t="n">
        <v>0</v>
      </c>
      <c r="AG145" t="n">
        <v>0</v>
      </c>
      <c r="AH145" t="n">
        <v>0</v>
      </c>
      <c r="AI145" t="n">
        <v>0</v>
      </c>
      <c r="AJ145" t="n">
        <v>0</v>
      </c>
      <c r="AK145" t="n">
        <v>0</v>
      </c>
      <c r="AL145" t="n">
        <v>0</v>
      </c>
      <c r="AM145" t="n">
        <v>0</v>
      </c>
      <c r="AN145" t="n">
        <v>0</v>
      </c>
      <c r="AO145" t="n">
        <v>0</v>
      </c>
      <c r="AP145" t="inlineStr">
        <is>
          <t>No</t>
        </is>
      </c>
      <c r="AQ145" t="inlineStr">
        <is>
          <t>Yes</t>
        </is>
      </c>
      <c r="AR145">
        <f>HYPERLINK("http://catalog.hathitrust.org/Record/009087696","HathiTrust Record")</f>
        <v/>
      </c>
      <c r="AS145">
        <f>HYPERLINK("https://creighton-primo.hosted.exlibrisgroup.com/primo-explore/search?tab=default_tab&amp;search_scope=EVERYTHING&amp;vid=01CRU&amp;lang=en_US&amp;offset=0&amp;query=any,contains,991004502409702656","Catalog Record")</f>
        <v/>
      </c>
      <c r="AT145">
        <f>HYPERLINK("http://www.worldcat.org/oclc/3727554","WorldCat Record")</f>
        <v/>
      </c>
      <c r="AU145" t="inlineStr">
        <is>
          <t>12346628:eng</t>
        </is>
      </c>
      <c r="AV145" t="inlineStr">
        <is>
          <t>3727554</t>
        </is>
      </c>
      <c r="AW145" t="inlineStr">
        <is>
          <t>991004502409702656</t>
        </is>
      </c>
      <c r="AX145" t="inlineStr">
        <is>
          <t>991004502409702656</t>
        </is>
      </c>
      <c r="AY145" t="inlineStr">
        <is>
          <t>2263274930002656</t>
        </is>
      </c>
      <c r="AZ145" t="inlineStr">
        <is>
          <t>BOOK</t>
        </is>
      </c>
      <c r="BC145" t="inlineStr">
        <is>
          <t>32285001851228</t>
        </is>
      </c>
      <c r="BD145" t="inlineStr">
        <is>
          <t>893901299</t>
        </is>
      </c>
    </row>
    <row r="146">
      <c r="A146" t="inlineStr">
        <is>
          <t>No</t>
        </is>
      </c>
      <c r="B146" t="inlineStr">
        <is>
          <t>QL353 .S34</t>
        </is>
      </c>
      <c r="C146" t="inlineStr">
        <is>
          <t>0                      QL 0353000S  34</t>
        </is>
      </c>
      <c r="D146" t="inlineStr">
        <is>
          <t>Procedure in taxonomy : including a reprint of the International rules of zoölogical nomenclature with summaries of Opinions rendered to the present date; completely indexed / [by] Edward T. Schenk and John H. McMasters.</t>
        </is>
      </c>
      <c r="F146" t="inlineStr">
        <is>
          <t>No</t>
        </is>
      </c>
      <c r="G146" t="inlineStr">
        <is>
          <t>1</t>
        </is>
      </c>
      <c r="H146" t="inlineStr">
        <is>
          <t>No</t>
        </is>
      </c>
      <c r="I146" t="inlineStr">
        <is>
          <t>No</t>
        </is>
      </c>
      <c r="J146" t="inlineStr">
        <is>
          <t>0</t>
        </is>
      </c>
      <c r="K146" t="inlineStr">
        <is>
          <t>Schenk, Edward T. (Edward Theodore), 1905-</t>
        </is>
      </c>
      <c r="L146" t="inlineStr">
        <is>
          <t>Stanford University, Calif. : Stanford university press ; London : H. Milford, Oxford university press, [c1936]</t>
        </is>
      </c>
      <c r="M146" t="inlineStr">
        <is>
          <t>1936</t>
        </is>
      </c>
      <c r="O146" t="inlineStr">
        <is>
          <t>eng</t>
        </is>
      </c>
      <c r="P146" t="inlineStr">
        <is>
          <t>cau</t>
        </is>
      </c>
      <c r="R146" t="inlineStr">
        <is>
          <t xml:space="preserve">QL </t>
        </is>
      </c>
      <c r="S146" t="n">
        <v>3</v>
      </c>
      <c r="T146" t="n">
        <v>3</v>
      </c>
      <c r="U146" t="inlineStr">
        <is>
          <t>1999-11-29</t>
        </is>
      </c>
      <c r="V146" t="inlineStr">
        <is>
          <t>1999-11-29</t>
        </is>
      </c>
      <c r="W146" t="inlineStr">
        <is>
          <t>1992-02-12</t>
        </is>
      </c>
      <c r="X146" t="inlineStr">
        <is>
          <t>1992-02-12</t>
        </is>
      </c>
      <c r="Y146" t="n">
        <v>199</v>
      </c>
      <c r="Z146" t="n">
        <v>178</v>
      </c>
      <c r="AA146" t="n">
        <v>273</v>
      </c>
      <c r="AB146" t="n">
        <v>2</v>
      </c>
      <c r="AC146" t="n">
        <v>2</v>
      </c>
      <c r="AD146" t="n">
        <v>4</v>
      </c>
      <c r="AE146" t="n">
        <v>7</v>
      </c>
      <c r="AF146" t="n">
        <v>0</v>
      </c>
      <c r="AG146" t="n">
        <v>1</v>
      </c>
      <c r="AH146" t="n">
        <v>1</v>
      </c>
      <c r="AI146" t="n">
        <v>1</v>
      </c>
      <c r="AJ146" t="n">
        <v>2</v>
      </c>
      <c r="AK146" t="n">
        <v>5</v>
      </c>
      <c r="AL146" t="n">
        <v>1</v>
      </c>
      <c r="AM146" t="n">
        <v>1</v>
      </c>
      <c r="AN146" t="n">
        <v>0</v>
      </c>
      <c r="AO146" t="n">
        <v>0</v>
      </c>
      <c r="AP146" t="inlineStr">
        <is>
          <t>No</t>
        </is>
      </c>
      <c r="AQ146" t="inlineStr">
        <is>
          <t>Yes</t>
        </is>
      </c>
      <c r="AR146">
        <f>HYPERLINK("http://catalog.hathitrust.org/Record/001959232","HathiTrust Record")</f>
        <v/>
      </c>
      <c r="AS146">
        <f>HYPERLINK("https://creighton-primo.hosted.exlibrisgroup.com/primo-explore/search?tab=default_tab&amp;search_scope=EVERYTHING&amp;vid=01CRU&amp;lang=en_US&amp;offset=0&amp;query=any,contains,991003287659702656","Catalog Record")</f>
        <v/>
      </c>
      <c r="AT146">
        <f>HYPERLINK("http://www.worldcat.org/oclc/809965","WorldCat Record")</f>
        <v/>
      </c>
      <c r="AU146" t="inlineStr">
        <is>
          <t>4924157441:eng</t>
        </is>
      </c>
      <c r="AV146" t="inlineStr">
        <is>
          <t>809965</t>
        </is>
      </c>
      <c r="AW146" t="inlineStr">
        <is>
          <t>991003287659702656</t>
        </is>
      </c>
      <c r="AX146" t="inlineStr">
        <is>
          <t>991003287659702656</t>
        </is>
      </c>
      <c r="AY146" t="inlineStr">
        <is>
          <t>2263004000002656</t>
        </is>
      </c>
      <c r="AZ146" t="inlineStr">
        <is>
          <t>BOOK</t>
        </is>
      </c>
      <c r="BC146" t="inlineStr">
        <is>
          <t>32285000970011</t>
        </is>
      </c>
      <c r="BD146" t="inlineStr">
        <is>
          <t>893887320</t>
        </is>
      </c>
    </row>
    <row r="147">
      <c r="A147" t="inlineStr">
        <is>
          <t>No</t>
        </is>
      </c>
      <c r="B147" t="inlineStr">
        <is>
          <t>QL362 .A32</t>
        </is>
      </c>
      <c r="C147" t="inlineStr">
        <is>
          <t>0                      QL 0362000A  32</t>
        </is>
      </c>
      <c r="D147" t="inlineStr">
        <is>
          <t>Atlas of the invertebrates of the far eastern seas of the USSR. Edited by E. N. Pavlovskii. Translated from Russian [by A. Mercado]</t>
        </is>
      </c>
      <c r="F147" t="inlineStr">
        <is>
          <t>No</t>
        </is>
      </c>
      <c r="G147" t="inlineStr">
        <is>
          <t>1</t>
        </is>
      </c>
      <c r="H147" t="inlineStr">
        <is>
          <t>No</t>
        </is>
      </c>
      <c r="I147" t="inlineStr">
        <is>
          <t>No</t>
        </is>
      </c>
      <c r="J147" t="inlineStr">
        <is>
          <t>0</t>
        </is>
      </c>
      <c r="K147" t="inlineStr">
        <is>
          <t>Zoologicheskiĭ institut (Akademii͡a nauk SSSR)</t>
        </is>
      </c>
      <c r="L147" t="inlineStr">
        <is>
          <t>Jerusalem, Israel Program for Scientific Translations, 1966.</t>
        </is>
      </c>
      <c r="M147" t="inlineStr">
        <is>
          <t>1966</t>
        </is>
      </c>
      <c r="O147" t="inlineStr">
        <is>
          <t>eng</t>
        </is>
      </c>
      <c r="P147" t="inlineStr">
        <is>
          <t xml:space="preserve">xx </t>
        </is>
      </c>
      <c r="R147" t="inlineStr">
        <is>
          <t xml:space="preserve">QL </t>
        </is>
      </c>
      <c r="S147" t="n">
        <v>3</v>
      </c>
      <c r="T147" t="n">
        <v>3</v>
      </c>
      <c r="U147" t="inlineStr">
        <is>
          <t>1999-11-29</t>
        </is>
      </c>
      <c r="V147" t="inlineStr">
        <is>
          <t>1999-11-29</t>
        </is>
      </c>
      <c r="W147" t="inlineStr">
        <is>
          <t>1997-07-19</t>
        </is>
      </c>
      <c r="X147" t="inlineStr">
        <is>
          <t>1997-07-19</t>
        </is>
      </c>
      <c r="Y147" t="n">
        <v>188</v>
      </c>
      <c r="Z147" t="n">
        <v>169</v>
      </c>
      <c r="AA147" t="n">
        <v>180</v>
      </c>
      <c r="AB147" t="n">
        <v>2</v>
      </c>
      <c r="AC147" t="n">
        <v>2</v>
      </c>
      <c r="AD147" t="n">
        <v>4</v>
      </c>
      <c r="AE147" t="n">
        <v>4</v>
      </c>
      <c r="AF147" t="n">
        <v>0</v>
      </c>
      <c r="AG147" t="n">
        <v>0</v>
      </c>
      <c r="AH147" t="n">
        <v>0</v>
      </c>
      <c r="AI147" t="n">
        <v>0</v>
      </c>
      <c r="AJ147" t="n">
        <v>3</v>
      </c>
      <c r="AK147" t="n">
        <v>3</v>
      </c>
      <c r="AL147" t="n">
        <v>1</v>
      </c>
      <c r="AM147" t="n">
        <v>1</v>
      </c>
      <c r="AN147" t="n">
        <v>0</v>
      </c>
      <c r="AO147" t="n">
        <v>0</v>
      </c>
      <c r="AP147" t="inlineStr">
        <is>
          <t>No</t>
        </is>
      </c>
      <c r="AQ147" t="inlineStr">
        <is>
          <t>Yes</t>
        </is>
      </c>
      <c r="AR147">
        <f>HYPERLINK("http://catalog.hathitrust.org/Record/002001613","HathiTrust Record")</f>
        <v/>
      </c>
      <c r="AS147">
        <f>HYPERLINK("https://creighton-primo.hosted.exlibrisgroup.com/primo-explore/search?tab=default_tab&amp;search_scope=EVERYTHING&amp;vid=01CRU&amp;lang=en_US&amp;offset=0&amp;query=any,contains,991003259029702656","Catalog Record")</f>
        <v/>
      </c>
      <c r="AT147">
        <f>HYPERLINK("http://www.worldcat.org/oclc/784637","WorldCat Record")</f>
        <v/>
      </c>
      <c r="AU147" t="inlineStr">
        <is>
          <t>1716621:eng</t>
        </is>
      </c>
      <c r="AV147" t="inlineStr">
        <is>
          <t>784637</t>
        </is>
      </c>
      <c r="AW147" t="inlineStr">
        <is>
          <t>991003259029702656</t>
        </is>
      </c>
      <c r="AX147" t="inlineStr">
        <is>
          <t>991003259029702656</t>
        </is>
      </c>
      <c r="AY147" t="inlineStr">
        <is>
          <t>2261968560002656</t>
        </is>
      </c>
      <c r="AZ147" t="inlineStr">
        <is>
          <t>BOOK</t>
        </is>
      </c>
      <c r="BC147" t="inlineStr">
        <is>
          <t>32285002939592</t>
        </is>
      </c>
      <c r="BD147" t="inlineStr">
        <is>
          <t>893422361</t>
        </is>
      </c>
    </row>
    <row r="148">
      <c r="A148" t="inlineStr">
        <is>
          <t>No</t>
        </is>
      </c>
      <c r="B148" t="inlineStr">
        <is>
          <t>QL362 .A43</t>
        </is>
      </c>
      <c r="C148" t="inlineStr">
        <is>
          <t>0                      QL 0362000A  43</t>
        </is>
      </c>
      <c r="D148" t="inlineStr">
        <is>
          <t>The invertebrates / R. McNeill Alexander.</t>
        </is>
      </c>
      <c r="F148" t="inlineStr">
        <is>
          <t>No</t>
        </is>
      </c>
      <c r="G148" t="inlineStr">
        <is>
          <t>1</t>
        </is>
      </c>
      <c r="H148" t="inlineStr">
        <is>
          <t>No</t>
        </is>
      </c>
      <c r="I148" t="inlineStr">
        <is>
          <t>No</t>
        </is>
      </c>
      <c r="J148" t="inlineStr">
        <is>
          <t>0</t>
        </is>
      </c>
      <c r="K148" t="inlineStr">
        <is>
          <t>Alexander, R. McNeill.</t>
        </is>
      </c>
      <c r="L148" t="inlineStr">
        <is>
          <t>Cambridge ; New York : Cambridge University Press, 1979.</t>
        </is>
      </c>
      <c r="M148" t="inlineStr">
        <is>
          <t>1979</t>
        </is>
      </c>
      <c r="O148" t="inlineStr">
        <is>
          <t>eng</t>
        </is>
      </c>
      <c r="P148" t="inlineStr">
        <is>
          <t>enk</t>
        </is>
      </c>
      <c r="R148" t="inlineStr">
        <is>
          <t xml:space="preserve">QL </t>
        </is>
      </c>
      <c r="S148" t="n">
        <v>17</v>
      </c>
      <c r="T148" t="n">
        <v>17</v>
      </c>
      <c r="U148" t="inlineStr">
        <is>
          <t>2002-02-24</t>
        </is>
      </c>
      <c r="V148" t="inlineStr">
        <is>
          <t>2002-02-24</t>
        </is>
      </c>
      <c r="W148" t="inlineStr">
        <is>
          <t>1993-05-25</t>
        </is>
      </c>
      <c r="X148" t="inlineStr">
        <is>
          <t>1993-05-25</t>
        </is>
      </c>
      <c r="Y148" t="n">
        <v>693</v>
      </c>
      <c r="Z148" t="n">
        <v>480</v>
      </c>
      <c r="AA148" t="n">
        <v>485</v>
      </c>
      <c r="AB148" t="n">
        <v>6</v>
      </c>
      <c r="AC148" t="n">
        <v>6</v>
      </c>
      <c r="AD148" t="n">
        <v>24</v>
      </c>
      <c r="AE148" t="n">
        <v>24</v>
      </c>
      <c r="AF148" t="n">
        <v>8</v>
      </c>
      <c r="AG148" t="n">
        <v>8</v>
      </c>
      <c r="AH148" t="n">
        <v>5</v>
      </c>
      <c r="AI148" t="n">
        <v>5</v>
      </c>
      <c r="AJ148" t="n">
        <v>12</v>
      </c>
      <c r="AK148" t="n">
        <v>12</v>
      </c>
      <c r="AL148" t="n">
        <v>5</v>
      </c>
      <c r="AM148" t="n">
        <v>5</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HYPERLINK("https://creighton-primo.hosted.exlibrisgroup.com/primo-explore/search?tab=default_tab&amp;search_scope=EVERYTHING&amp;vid=01CRU&amp;lang=en_US&amp;offset=0&amp;query=any,contains,991004530589702656","Catalog Record")</f>
        <v/>
      </c>
      <c r="AT148">
        <f>HYPERLINK("http://www.worldcat.org/oclc/3845123","WorldCat Record")</f>
        <v/>
      </c>
      <c r="AU148" t="inlineStr">
        <is>
          <t>777464000:eng</t>
        </is>
      </c>
      <c r="AV148" t="inlineStr">
        <is>
          <t>3845123</t>
        </is>
      </c>
      <c r="AW148" t="inlineStr">
        <is>
          <t>991004530589702656</t>
        </is>
      </c>
      <c r="AX148" t="inlineStr">
        <is>
          <t>991004530589702656</t>
        </is>
      </c>
      <c r="AY148" t="inlineStr">
        <is>
          <t>2262607840002656</t>
        </is>
      </c>
      <c r="AZ148" t="inlineStr">
        <is>
          <t>BOOK</t>
        </is>
      </c>
      <c r="BB148" t="inlineStr">
        <is>
          <t>9780521221207</t>
        </is>
      </c>
      <c r="BC148" t="inlineStr">
        <is>
          <t>32285001686483</t>
        </is>
      </c>
      <c r="BD148" t="inlineStr">
        <is>
          <t>893807182</t>
        </is>
      </c>
    </row>
    <row r="149">
      <c r="A149" t="inlineStr">
        <is>
          <t>No</t>
        </is>
      </c>
      <c r="B149" t="inlineStr">
        <is>
          <t>QL362 .B26 1993</t>
        </is>
      </c>
      <c r="C149" t="inlineStr">
        <is>
          <t>0                      QL 0362000B  26          1993</t>
        </is>
      </c>
      <c r="D149" t="inlineStr">
        <is>
          <t>The invertebrates : a new synthesis / R.S.K. Barnes, P. Calow, P.J.W. Olive ; with a chapter contributed by D.W. Golding.</t>
        </is>
      </c>
      <c r="F149" t="inlineStr">
        <is>
          <t>No</t>
        </is>
      </c>
      <c r="G149" t="inlineStr">
        <is>
          <t>1</t>
        </is>
      </c>
      <c r="H149" t="inlineStr">
        <is>
          <t>No</t>
        </is>
      </c>
      <c r="I149" t="inlineStr">
        <is>
          <t>No</t>
        </is>
      </c>
      <c r="J149" t="inlineStr">
        <is>
          <t>0</t>
        </is>
      </c>
      <c r="K149" t="inlineStr">
        <is>
          <t>Barnes, R. S. K. (Richard Stephen Kent)</t>
        </is>
      </c>
      <c r="L149" t="inlineStr">
        <is>
          <t>Oxford [England] ; Boston : Blackwell Scientific Publications, c1993.</t>
        </is>
      </c>
      <c r="M149" t="inlineStr">
        <is>
          <t>1993</t>
        </is>
      </c>
      <c r="N149" t="inlineStr">
        <is>
          <t>2nd ed.</t>
        </is>
      </c>
      <c r="O149" t="inlineStr">
        <is>
          <t>eng</t>
        </is>
      </c>
      <c r="P149" t="inlineStr">
        <is>
          <t>enk</t>
        </is>
      </c>
      <c r="R149" t="inlineStr">
        <is>
          <t xml:space="preserve">QL </t>
        </is>
      </c>
      <c r="S149" t="n">
        <v>18</v>
      </c>
      <c r="T149" t="n">
        <v>18</v>
      </c>
      <c r="U149" t="inlineStr">
        <is>
          <t>2009-02-28</t>
        </is>
      </c>
      <c r="V149" t="inlineStr">
        <is>
          <t>2009-02-28</t>
        </is>
      </c>
      <c r="W149" t="inlineStr">
        <is>
          <t>1994-02-03</t>
        </is>
      </c>
      <c r="X149" t="inlineStr">
        <is>
          <t>1994-02-03</t>
        </is>
      </c>
      <c r="Y149" t="n">
        <v>425</v>
      </c>
      <c r="Z149" t="n">
        <v>228</v>
      </c>
      <c r="AA149" t="n">
        <v>427</v>
      </c>
      <c r="AB149" t="n">
        <v>2</v>
      </c>
      <c r="AC149" t="n">
        <v>3</v>
      </c>
      <c r="AD149" t="n">
        <v>8</v>
      </c>
      <c r="AE149" t="n">
        <v>18</v>
      </c>
      <c r="AF149" t="n">
        <v>2</v>
      </c>
      <c r="AG149" t="n">
        <v>7</v>
      </c>
      <c r="AH149" t="n">
        <v>1</v>
      </c>
      <c r="AI149" t="n">
        <v>3</v>
      </c>
      <c r="AJ149" t="n">
        <v>5</v>
      </c>
      <c r="AK149" t="n">
        <v>9</v>
      </c>
      <c r="AL149" t="n">
        <v>1</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HYPERLINK("https://creighton-primo.hosted.exlibrisgroup.com/primo-explore/search?tab=default_tab&amp;search_scope=EVERYTHING&amp;vid=01CRU&amp;lang=en_US&amp;offset=0&amp;query=any,contains,991002074119702656","Catalog Record")</f>
        <v/>
      </c>
      <c r="AT149">
        <f>HYPERLINK("http://www.worldcat.org/oclc/26586485","WorldCat Record")</f>
        <v/>
      </c>
      <c r="AU149" t="inlineStr">
        <is>
          <t>4916406631:eng</t>
        </is>
      </c>
      <c r="AV149" t="inlineStr">
        <is>
          <t>26586485</t>
        </is>
      </c>
      <c r="AW149" t="inlineStr">
        <is>
          <t>991002074119702656</t>
        </is>
      </c>
      <c r="AX149" t="inlineStr">
        <is>
          <t>991002074119702656</t>
        </is>
      </c>
      <c r="AY149" t="inlineStr">
        <is>
          <t>2265145530002656</t>
        </is>
      </c>
      <c r="AZ149" t="inlineStr">
        <is>
          <t>BOOK</t>
        </is>
      </c>
      <c r="BB149" t="inlineStr">
        <is>
          <t>9780632031252</t>
        </is>
      </c>
      <c r="BC149" t="inlineStr">
        <is>
          <t>32285001834893</t>
        </is>
      </c>
      <c r="BD149" t="inlineStr">
        <is>
          <t>893697306</t>
        </is>
      </c>
    </row>
    <row r="150">
      <c r="A150" t="inlineStr">
        <is>
          <t>No</t>
        </is>
      </c>
      <c r="B150" t="inlineStr">
        <is>
          <t>QL362 .B27</t>
        </is>
      </c>
      <c r="C150" t="inlineStr">
        <is>
          <t>0                      QL 0362000B  27</t>
        </is>
      </c>
      <c r="D150" t="inlineStr">
        <is>
          <t>Invertebrate zoology.</t>
        </is>
      </c>
      <c r="F150" t="inlineStr">
        <is>
          <t>No</t>
        </is>
      </c>
      <c r="G150" t="inlineStr">
        <is>
          <t>1</t>
        </is>
      </c>
      <c r="H150" t="inlineStr">
        <is>
          <t>No</t>
        </is>
      </c>
      <c r="I150" t="inlineStr">
        <is>
          <t>No</t>
        </is>
      </c>
      <c r="J150" t="inlineStr">
        <is>
          <t>0</t>
        </is>
      </c>
      <c r="K150" t="inlineStr">
        <is>
          <t>Barnes, Robert D.</t>
        </is>
      </c>
      <c r="L150" t="inlineStr">
        <is>
          <t>Philadelphia : Saunders, 1963.</t>
        </is>
      </c>
      <c r="M150" t="inlineStr">
        <is>
          <t>1963</t>
        </is>
      </c>
      <c r="O150" t="inlineStr">
        <is>
          <t>eng</t>
        </is>
      </c>
      <c r="P150" t="inlineStr">
        <is>
          <t>pau</t>
        </is>
      </c>
      <c r="R150" t="inlineStr">
        <is>
          <t xml:space="preserve">QL </t>
        </is>
      </c>
      <c r="S150" t="n">
        <v>37</v>
      </c>
      <c r="T150" t="n">
        <v>37</v>
      </c>
      <c r="U150" t="inlineStr">
        <is>
          <t>2005-02-19</t>
        </is>
      </c>
      <c r="V150" t="inlineStr">
        <is>
          <t>2005-02-19</t>
        </is>
      </c>
      <c r="W150" t="inlineStr">
        <is>
          <t>1996-05-29</t>
        </is>
      </c>
      <c r="X150" t="inlineStr">
        <is>
          <t>1996-05-29</t>
        </is>
      </c>
      <c r="Y150" t="n">
        <v>436</v>
      </c>
      <c r="Z150" t="n">
        <v>334</v>
      </c>
      <c r="AA150" t="n">
        <v>1314</v>
      </c>
      <c r="AB150" t="n">
        <v>3</v>
      </c>
      <c r="AC150" t="n">
        <v>9</v>
      </c>
      <c r="AD150" t="n">
        <v>13</v>
      </c>
      <c r="AE150" t="n">
        <v>42</v>
      </c>
      <c r="AF150" t="n">
        <v>5</v>
      </c>
      <c r="AG150" t="n">
        <v>19</v>
      </c>
      <c r="AH150" t="n">
        <v>3</v>
      </c>
      <c r="AI150" t="n">
        <v>5</v>
      </c>
      <c r="AJ150" t="n">
        <v>6</v>
      </c>
      <c r="AK150" t="n">
        <v>23</v>
      </c>
      <c r="AL150" t="n">
        <v>2</v>
      </c>
      <c r="AM150" t="n">
        <v>7</v>
      </c>
      <c r="AN150" t="n">
        <v>0</v>
      </c>
      <c r="AO150" t="n">
        <v>0</v>
      </c>
      <c r="AP150" t="inlineStr">
        <is>
          <t>No</t>
        </is>
      </c>
      <c r="AQ150" t="inlineStr">
        <is>
          <t>Yes</t>
        </is>
      </c>
      <c r="AR150">
        <f>HYPERLINK("http://catalog.hathitrust.org/Record/001499241","HathiTrust Record")</f>
        <v/>
      </c>
      <c r="AS150">
        <f>HYPERLINK("https://creighton-primo.hosted.exlibrisgroup.com/primo-explore/search?tab=default_tab&amp;search_scope=EVERYTHING&amp;vid=01CRU&amp;lang=en_US&amp;offset=0&amp;query=any,contains,991002984179702656","Catalog Record")</f>
        <v/>
      </c>
      <c r="AT150">
        <f>HYPERLINK("http://www.worldcat.org/oclc/556540","WorldCat Record")</f>
        <v/>
      </c>
      <c r="AU150" t="inlineStr">
        <is>
          <t>171437:eng</t>
        </is>
      </c>
      <c r="AV150" t="inlineStr">
        <is>
          <t>556540</t>
        </is>
      </c>
      <c r="AW150" t="inlineStr">
        <is>
          <t>991002984179702656</t>
        </is>
      </c>
      <c r="AX150" t="inlineStr">
        <is>
          <t>991002984179702656</t>
        </is>
      </c>
      <c r="AY150" t="inlineStr">
        <is>
          <t>2259821680002656</t>
        </is>
      </c>
      <c r="AZ150" t="inlineStr">
        <is>
          <t>BOOK</t>
        </is>
      </c>
      <c r="BC150" t="inlineStr">
        <is>
          <t>32285002121308</t>
        </is>
      </c>
      <c r="BD150" t="inlineStr">
        <is>
          <t>893245898</t>
        </is>
      </c>
    </row>
    <row r="151">
      <c r="A151" t="inlineStr">
        <is>
          <t>No</t>
        </is>
      </c>
      <c r="B151" t="inlineStr">
        <is>
          <t>QL362 .B3</t>
        </is>
      </c>
      <c r="C151" t="inlineStr">
        <is>
          <t>0                      QL 0362000B  3</t>
        </is>
      </c>
      <c r="D151" t="inlineStr">
        <is>
          <t>The free-living lower invertebrates / [by] Frederick M. Bayer and Harding B. Owre.</t>
        </is>
      </c>
      <c r="F151" t="inlineStr">
        <is>
          <t>No</t>
        </is>
      </c>
      <c r="G151" t="inlineStr">
        <is>
          <t>1</t>
        </is>
      </c>
      <c r="H151" t="inlineStr">
        <is>
          <t>No</t>
        </is>
      </c>
      <c r="I151" t="inlineStr">
        <is>
          <t>No</t>
        </is>
      </c>
      <c r="J151" t="inlineStr">
        <is>
          <t>0</t>
        </is>
      </c>
      <c r="K151" t="inlineStr">
        <is>
          <t>Bayer, Frederick M.</t>
        </is>
      </c>
      <c r="L151" t="inlineStr">
        <is>
          <t>New York : Macmillan, [1967, c1968]</t>
        </is>
      </c>
      <c r="M151" t="inlineStr">
        <is>
          <t>1967</t>
        </is>
      </c>
      <c r="O151" t="inlineStr">
        <is>
          <t>eng</t>
        </is>
      </c>
      <c r="P151" t="inlineStr">
        <is>
          <t>nyu</t>
        </is>
      </c>
      <c r="R151" t="inlineStr">
        <is>
          <t xml:space="preserve">QL </t>
        </is>
      </c>
      <c r="S151" t="n">
        <v>8</v>
      </c>
      <c r="T151" t="n">
        <v>8</v>
      </c>
      <c r="U151" t="inlineStr">
        <is>
          <t>2005-02-27</t>
        </is>
      </c>
      <c r="V151" t="inlineStr">
        <is>
          <t>2005-02-27</t>
        </is>
      </c>
      <c r="W151" t="inlineStr">
        <is>
          <t>1991-09-04</t>
        </is>
      </c>
      <c r="X151" t="inlineStr">
        <is>
          <t>1991-09-04</t>
        </is>
      </c>
      <c r="Y151" t="n">
        <v>672</v>
      </c>
      <c r="Z151" t="n">
        <v>592</v>
      </c>
      <c r="AA151" t="n">
        <v>603</v>
      </c>
      <c r="AB151" t="n">
        <v>5</v>
      </c>
      <c r="AC151" t="n">
        <v>5</v>
      </c>
      <c r="AD151" t="n">
        <v>18</v>
      </c>
      <c r="AE151" t="n">
        <v>18</v>
      </c>
      <c r="AF151" t="n">
        <v>6</v>
      </c>
      <c r="AG151" t="n">
        <v>6</v>
      </c>
      <c r="AH151" t="n">
        <v>4</v>
      </c>
      <c r="AI151" t="n">
        <v>4</v>
      </c>
      <c r="AJ151" t="n">
        <v>9</v>
      </c>
      <c r="AK151" t="n">
        <v>9</v>
      </c>
      <c r="AL151" t="n">
        <v>4</v>
      </c>
      <c r="AM151" t="n">
        <v>4</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HYPERLINK("https://creighton-primo.hosted.exlibrisgroup.com/primo-explore/search?tab=default_tab&amp;search_scope=EVERYTHING&amp;vid=01CRU&amp;lang=en_US&amp;offset=0&amp;query=any,contains,991001963919702656","Catalog Record")</f>
        <v/>
      </c>
      <c r="AT151">
        <f>HYPERLINK("http://www.worldcat.org/oclc/253740","WorldCat Record")</f>
        <v/>
      </c>
      <c r="AU151" t="inlineStr">
        <is>
          <t>1347432:eng</t>
        </is>
      </c>
      <c r="AV151" t="inlineStr">
        <is>
          <t>253740</t>
        </is>
      </c>
      <c r="AW151" t="inlineStr">
        <is>
          <t>991001963919702656</t>
        </is>
      </c>
      <c r="AX151" t="inlineStr">
        <is>
          <t>991001963919702656</t>
        </is>
      </c>
      <c r="AY151" t="inlineStr">
        <is>
          <t>2267226020002656</t>
        </is>
      </c>
      <c r="AZ151" t="inlineStr">
        <is>
          <t>BOOK</t>
        </is>
      </c>
      <c r="BC151" t="inlineStr">
        <is>
          <t>32285000734086</t>
        </is>
      </c>
      <c r="BD151" t="inlineStr">
        <is>
          <t>893798004</t>
        </is>
      </c>
    </row>
    <row r="152">
      <c r="A152" t="inlineStr">
        <is>
          <t>No</t>
        </is>
      </c>
      <c r="B152" t="inlineStr">
        <is>
          <t>QL362 .B6 1961</t>
        </is>
      </c>
      <c r="C152" t="inlineStr">
        <is>
          <t>0                      QL 0362000B  6           1961</t>
        </is>
      </c>
      <c r="D152" t="inlineStr">
        <is>
          <t>The invertebrata : a manual for the use of students / by L.A. Borradaile &amp; F.A. Potts. With chapters by L.E.S. Eastham and J.T. Saunders.</t>
        </is>
      </c>
      <c r="F152" t="inlineStr">
        <is>
          <t>No</t>
        </is>
      </c>
      <c r="G152" t="inlineStr">
        <is>
          <t>1</t>
        </is>
      </c>
      <c r="H152" t="inlineStr">
        <is>
          <t>No</t>
        </is>
      </c>
      <c r="I152" t="inlineStr">
        <is>
          <t>No</t>
        </is>
      </c>
      <c r="J152" t="inlineStr">
        <is>
          <t>0</t>
        </is>
      </c>
      <c r="K152" t="inlineStr">
        <is>
          <t>Borradaile, L. A. (Lancelot Alexander), 1872-1945.</t>
        </is>
      </c>
      <c r="L152" t="inlineStr">
        <is>
          <t>Cambridge [Eng.] : University Press, 1961.</t>
        </is>
      </c>
      <c r="M152" t="inlineStr">
        <is>
          <t>1961</t>
        </is>
      </c>
      <c r="N152" t="inlineStr">
        <is>
          <t>4th ed. / rev. by G.A. Kerkut.</t>
        </is>
      </c>
      <c r="O152" t="inlineStr">
        <is>
          <t>eng</t>
        </is>
      </c>
      <c r="P152" t="inlineStr">
        <is>
          <t>enk</t>
        </is>
      </c>
      <c r="R152" t="inlineStr">
        <is>
          <t xml:space="preserve">QL </t>
        </is>
      </c>
      <c r="S152" t="n">
        <v>6</v>
      </c>
      <c r="T152" t="n">
        <v>6</v>
      </c>
      <c r="U152" t="inlineStr">
        <is>
          <t>2001-02-09</t>
        </is>
      </c>
      <c r="V152" t="inlineStr">
        <is>
          <t>2001-02-09</t>
        </is>
      </c>
      <c r="W152" t="inlineStr">
        <is>
          <t>1995-05-04</t>
        </is>
      </c>
      <c r="X152" t="inlineStr">
        <is>
          <t>1995-05-04</t>
        </is>
      </c>
      <c r="Y152" t="n">
        <v>407</v>
      </c>
      <c r="Z152" t="n">
        <v>302</v>
      </c>
      <c r="AA152" t="n">
        <v>882</v>
      </c>
      <c r="AB152" t="n">
        <v>5</v>
      </c>
      <c r="AC152" t="n">
        <v>8</v>
      </c>
      <c r="AD152" t="n">
        <v>12</v>
      </c>
      <c r="AE152" t="n">
        <v>37</v>
      </c>
      <c r="AF152" t="n">
        <v>2</v>
      </c>
      <c r="AG152" t="n">
        <v>13</v>
      </c>
      <c r="AH152" t="n">
        <v>4</v>
      </c>
      <c r="AI152" t="n">
        <v>6</v>
      </c>
      <c r="AJ152" t="n">
        <v>4</v>
      </c>
      <c r="AK152" t="n">
        <v>19</v>
      </c>
      <c r="AL152" t="n">
        <v>4</v>
      </c>
      <c r="AM152" t="n">
        <v>7</v>
      </c>
      <c r="AN152" t="n">
        <v>0</v>
      </c>
      <c r="AO152" t="n">
        <v>0</v>
      </c>
      <c r="AP152" t="inlineStr">
        <is>
          <t>No</t>
        </is>
      </c>
      <c r="AQ152" t="inlineStr">
        <is>
          <t>Yes</t>
        </is>
      </c>
      <c r="AR152">
        <f>HYPERLINK("http://catalog.hathitrust.org/Record/002001533","HathiTrust Record")</f>
        <v/>
      </c>
      <c r="AS152">
        <f>HYPERLINK("https://creighton-primo.hosted.exlibrisgroup.com/primo-explore/search?tab=default_tab&amp;search_scope=EVERYTHING&amp;vid=01CRU&amp;lang=en_US&amp;offset=0&amp;query=any,contains,991004879209702656","Catalog Record")</f>
        <v/>
      </c>
      <c r="AT152">
        <f>HYPERLINK("http://www.worldcat.org/oclc/5806181","WorldCat Record")</f>
        <v/>
      </c>
      <c r="AU152" t="inlineStr">
        <is>
          <t>1779302:eng</t>
        </is>
      </c>
      <c r="AV152" t="inlineStr">
        <is>
          <t>5806181</t>
        </is>
      </c>
      <c r="AW152" t="inlineStr">
        <is>
          <t>991004879209702656</t>
        </is>
      </c>
      <c r="AX152" t="inlineStr">
        <is>
          <t>991004879209702656</t>
        </is>
      </c>
      <c r="AY152" t="inlineStr">
        <is>
          <t>2261102510002656</t>
        </is>
      </c>
      <c r="AZ152" t="inlineStr">
        <is>
          <t>BOOK</t>
        </is>
      </c>
      <c r="BC152" t="inlineStr">
        <is>
          <t>32285002031861</t>
        </is>
      </c>
      <c r="BD152" t="inlineStr">
        <is>
          <t>893338229</t>
        </is>
      </c>
    </row>
    <row r="153">
      <c r="A153" t="inlineStr">
        <is>
          <t>No</t>
        </is>
      </c>
      <c r="B153" t="inlineStr">
        <is>
          <t>QL362 .B88</t>
        </is>
      </c>
      <c r="C153" t="inlineStr">
        <is>
          <t>0                      QL 0362000B  88</t>
        </is>
      </c>
      <c r="D153" t="inlineStr">
        <is>
          <t>Selected invertebrate types.</t>
        </is>
      </c>
      <c r="F153" t="inlineStr">
        <is>
          <t>No</t>
        </is>
      </c>
      <c r="G153" t="inlineStr">
        <is>
          <t>1</t>
        </is>
      </c>
      <c r="H153" t="inlineStr">
        <is>
          <t>No</t>
        </is>
      </c>
      <c r="I153" t="inlineStr">
        <is>
          <t>No</t>
        </is>
      </c>
      <c r="J153" t="inlineStr">
        <is>
          <t>0</t>
        </is>
      </c>
      <c r="K153" t="inlineStr">
        <is>
          <t>Brown, Frank A. (Frank Arthur), 1908-1983, editor.</t>
        </is>
      </c>
      <c r="L153" t="inlineStr">
        <is>
          <t>New York : Wiley, [1950]</t>
        </is>
      </c>
      <c r="M153" t="inlineStr">
        <is>
          <t>1950</t>
        </is>
      </c>
      <c r="O153" t="inlineStr">
        <is>
          <t>eng</t>
        </is>
      </c>
      <c r="P153" t="inlineStr">
        <is>
          <t>nyu</t>
        </is>
      </c>
      <c r="R153" t="inlineStr">
        <is>
          <t xml:space="preserve">QL </t>
        </is>
      </c>
      <c r="S153" t="n">
        <v>5</v>
      </c>
      <c r="T153" t="n">
        <v>5</v>
      </c>
      <c r="U153" t="inlineStr">
        <is>
          <t>1996-02-10</t>
        </is>
      </c>
      <c r="V153" t="inlineStr">
        <is>
          <t>1996-02-10</t>
        </is>
      </c>
      <c r="W153" t="inlineStr">
        <is>
          <t>1995-05-06</t>
        </is>
      </c>
      <c r="X153" t="inlineStr">
        <is>
          <t>1995-05-06</t>
        </is>
      </c>
      <c r="Y153" t="n">
        <v>697</v>
      </c>
      <c r="Z153" t="n">
        <v>608</v>
      </c>
      <c r="AA153" t="n">
        <v>611</v>
      </c>
      <c r="AB153" t="n">
        <v>4</v>
      </c>
      <c r="AC153" t="n">
        <v>4</v>
      </c>
      <c r="AD153" t="n">
        <v>26</v>
      </c>
      <c r="AE153" t="n">
        <v>26</v>
      </c>
      <c r="AF153" t="n">
        <v>11</v>
      </c>
      <c r="AG153" t="n">
        <v>11</v>
      </c>
      <c r="AH153" t="n">
        <v>4</v>
      </c>
      <c r="AI153" t="n">
        <v>4</v>
      </c>
      <c r="AJ153" t="n">
        <v>13</v>
      </c>
      <c r="AK153" t="n">
        <v>13</v>
      </c>
      <c r="AL153" t="n">
        <v>3</v>
      </c>
      <c r="AM153" t="n">
        <v>3</v>
      </c>
      <c r="AN153" t="n">
        <v>0</v>
      </c>
      <c r="AO153" t="n">
        <v>0</v>
      </c>
      <c r="AP153" t="inlineStr">
        <is>
          <t>No</t>
        </is>
      </c>
      <c r="AQ153" t="inlineStr">
        <is>
          <t>No</t>
        </is>
      </c>
      <c r="AR153">
        <f>HYPERLINK("http://catalog.hathitrust.org/Record/001499246","HathiTrust Record")</f>
        <v/>
      </c>
      <c r="AS153">
        <f>HYPERLINK("https://creighton-primo.hosted.exlibrisgroup.com/primo-explore/search?tab=default_tab&amp;search_scope=EVERYTHING&amp;vid=01CRU&amp;lang=en_US&amp;offset=0&amp;query=any,contains,991001962589702656","Catalog Record")</f>
        <v/>
      </c>
      <c r="AT153">
        <f>HYPERLINK("http://www.worldcat.org/oclc/253557","WorldCat Record")</f>
        <v/>
      </c>
      <c r="AU153" t="inlineStr">
        <is>
          <t>1346821:eng</t>
        </is>
      </c>
      <c r="AV153" t="inlineStr">
        <is>
          <t>253557</t>
        </is>
      </c>
      <c r="AW153" t="inlineStr">
        <is>
          <t>991001962589702656</t>
        </is>
      </c>
      <c r="AX153" t="inlineStr">
        <is>
          <t>991001962589702656</t>
        </is>
      </c>
      <c r="AY153" t="inlineStr">
        <is>
          <t>2267202070002656</t>
        </is>
      </c>
      <c r="AZ153" t="inlineStr">
        <is>
          <t>BOOK</t>
        </is>
      </c>
      <c r="BC153" t="inlineStr">
        <is>
          <t>32285002032562</t>
        </is>
      </c>
      <c r="BD153" t="inlineStr">
        <is>
          <t>893785566</t>
        </is>
      </c>
    </row>
    <row r="154">
      <c r="A154" t="inlineStr">
        <is>
          <t>No</t>
        </is>
      </c>
      <c r="B154" t="inlineStr">
        <is>
          <t>QL362 .B924 2003</t>
        </is>
      </c>
      <c r="C154" t="inlineStr">
        <is>
          <t>0                      QL 0362000B  924         2003</t>
        </is>
      </c>
      <c r="D154" t="inlineStr">
        <is>
          <t>Invertebrates / Richard C. Brusca, Gary J. Brusca ; with illustrations by Nancy Haver.</t>
        </is>
      </c>
      <c r="F154" t="inlineStr">
        <is>
          <t>No</t>
        </is>
      </c>
      <c r="G154" t="inlineStr">
        <is>
          <t>1</t>
        </is>
      </c>
      <c r="H154" t="inlineStr">
        <is>
          <t>No</t>
        </is>
      </c>
      <c r="I154" t="inlineStr">
        <is>
          <t>No</t>
        </is>
      </c>
      <c r="J154" t="inlineStr">
        <is>
          <t>0</t>
        </is>
      </c>
      <c r="K154" t="inlineStr">
        <is>
          <t>Brusca, Richard C.</t>
        </is>
      </c>
      <c r="L154" t="inlineStr">
        <is>
          <t>Sunderland, Mass. : Sinauer Associates, c2003.</t>
        </is>
      </c>
      <c r="M154" t="inlineStr">
        <is>
          <t>2003</t>
        </is>
      </c>
      <c r="N154" t="inlineStr">
        <is>
          <t>2nd ed.</t>
        </is>
      </c>
      <c r="O154" t="inlineStr">
        <is>
          <t>eng</t>
        </is>
      </c>
      <c r="P154" t="inlineStr">
        <is>
          <t>mau</t>
        </is>
      </c>
      <c r="R154" t="inlineStr">
        <is>
          <t xml:space="preserve">QL </t>
        </is>
      </c>
      <c r="S154" t="n">
        <v>7</v>
      </c>
      <c r="T154" t="n">
        <v>7</v>
      </c>
      <c r="U154" t="inlineStr">
        <is>
          <t>2010-02-19</t>
        </is>
      </c>
      <c r="V154" t="inlineStr">
        <is>
          <t>2010-02-19</t>
        </is>
      </c>
      <c r="W154" t="inlineStr">
        <is>
          <t>2005-08-15</t>
        </is>
      </c>
      <c r="X154" t="inlineStr">
        <is>
          <t>2005-08-15</t>
        </is>
      </c>
      <c r="Y154" t="n">
        <v>477</v>
      </c>
      <c r="Z154" t="n">
        <v>308</v>
      </c>
      <c r="AA154" t="n">
        <v>888</v>
      </c>
      <c r="AB154" t="n">
        <v>3</v>
      </c>
      <c r="AC154" t="n">
        <v>8</v>
      </c>
      <c r="AD154" t="n">
        <v>13</v>
      </c>
      <c r="AE154" t="n">
        <v>39</v>
      </c>
      <c r="AF154" t="n">
        <v>8</v>
      </c>
      <c r="AG154" t="n">
        <v>19</v>
      </c>
      <c r="AH154" t="n">
        <v>3</v>
      </c>
      <c r="AI154" t="n">
        <v>8</v>
      </c>
      <c r="AJ154" t="n">
        <v>6</v>
      </c>
      <c r="AK154" t="n">
        <v>15</v>
      </c>
      <c r="AL154" t="n">
        <v>1</v>
      </c>
      <c r="AM154" t="n">
        <v>6</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HYPERLINK("https://creighton-primo.hosted.exlibrisgroup.com/primo-explore/search?tab=default_tab&amp;search_scope=EVERYTHING&amp;vid=01CRU&amp;lang=en_US&amp;offset=0&amp;query=any,contains,991004628969702656","Catalog Record")</f>
        <v/>
      </c>
      <c r="AT154">
        <f>HYPERLINK("http://www.worldcat.org/oclc/51053596","WorldCat Record")</f>
        <v/>
      </c>
      <c r="AU154" t="inlineStr">
        <is>
          <t>1147528:eng</t>
        </is>
      </c>
      <c r="AV154" t="inlineStr">
        <is>
          <t>51053596</t>
        </is>
      </c>
      <c r="AW154" t="inlineStr">
        <is>
          <t>991004628969702656</t>
        </is>
      </c>
      <c r="AX154" t="inlineStr">
        <is>
          <t>991004628969702656</t>
        </is>
      </c>
      <c r="AY154" t="inlineStr">
        <is>
          <t>2262032840002656</t>
        </is>
      </c>
      <c r="AZ154" t="inlineStr">
        <is>
          <t>BOOK</t>
        </is>
      </c>
      <c r="BB154" t="inlineStr">
        <is>
          <t>9780878930975</t>
        </is>
      </c>
      <c r="BC154" t="inlineStr">
        <is>
          <t>32285005080907</t>
        </is>
      </c>
      <c r="BD154" t="inlineStr">
        <is>
          <t>893687954</t>
        </is>
      </c>
    </row>
    <row r="155">
      <c r="A155" t="inlineStr">
        <is>
          <t>No</t>
        </is>
      </c>
      <c r="B155" t="inlineStr">
        <is>
          <t>QL362 .B93 1987</t>
        </is>
      </c>
      <c r="C155" t="inlineStr">
        <is>
          <t>0                      QL 0362000B  93          1987</t>
        </is>
      </c>
      <c r="D155" t="inlineStr">
        <is>
          <t>Animals without backbones.</t>
        </is>
      </c>
      <c r="F155" t="inlineStr">
        <is>
          <t>No</t>
        </is>
      </c>
      <c r="G155" t="inlineStr">
        <is>
          <t>1</t>
        </is>
      </c>
      <c r="H155" t="inlineStr">
        <is>
          <t>No</t>
        </is>
      </c>
      <c r="I155" t="inlineStr">
        <is>
          <t>No</t>
        </is>
      </c>
      <c r="J155" t="inlineStr">
        <is>
          <t>0</t>
        </is>
      </c>
      <c r="K155" t="inlineStr">
        <is>
          <t>Buchsbaum, Ralph, 1907-2002.</t>
        </is>
      </c>
      <c r="L155" t="inlineStr">
        <is>
          <t>Chicago : University of Chicago Press, 1987.</t>
        </is>
      </c>
      <c r="M155" t="inlineStr">
        <is>
          <t>1987</t>
        </is>
      </c>
      <c r="N155" t="inlineStr">
        <is>
          <t>3rd ed. / Ralph Buchsbaum ... [et al.].</t>
        </is>
      </c>
      <c r="O155" t="inlineStr">
        <is>
          <t>eng</t>
        </is>
      </c>
      <c r="P155" t="inlineStr">
        <is>
          <t>ilu</t>
        </is>
      </c>
      <c r="R155" t="inlineStr">
        <is>
          <t xml:space="preserve">QL </t>
        </is>
      </c>
      <c r="S155" t="n">
        <v>40</v>
      </c>
      <c r="T155" t="n">
        <v>40</v>
      </c>
      <c r="U155" t="inlineStr">
        <is>
          <t>2006-03-17</t>
        </is>
      </c>
      <c r="V155" t="inlineStr">
        <is>
          <t>2006-03-17</t>
        </is>
      </c>
      <c r="W155" t="inlineStr">
        <is>
          <t>1990-02-13</t>
        </is>
      </c>
      <c r="X155" t="inlineStr">
        <is>
          <t>1990-02-13</t>
        </is>
      </c>
      <c r="Y155" t="n">
        <v>1059</v>
      </c>
      <c r="Z155" t="n">
        <v>878</v>
      </c>
      <c r="AA155" t="n">
        <v>889</v>
      </c>
      <c r="AB155" t="n">
        <v>4</v>
      </c>
      <c r="AC155" t="n">
        <v>4</v>
      </c>
      <c r="AD155" t="n">
        <v>22</v>
      </c>
      <c r="AE155" t="n">
        <v>22</v>
      </c>
      <c r="AF155" t="n">
        <v>9</v>
      </c>
      <c r="AG155" t="n">
        <v>9</v>
      </c>
      <c r="AH155" t="n">
        <v>5</v>
      </c>
      <c r="AI155" t="n">
        <v>5</v>
      </c>
      <c r="AJ155" t="n">
        <v>14</v>
      </c>
      <c r="AK155" t="n">
        <v>14</v>
      </c>
      <c r="AL155" t="n">
        <v>1</v>
      </c>
      <c r="AM155" t="n">
        <v>1</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HYPERLINK("https://creighton-primo.hosted.exlibrisgroup.com/primo-explore/search?tab=default_tab&amp;search_scope=EVERYTHING&amp;vid=01CRU&amp;lang=en_US&amp;offset=0&amp;query=any,contains,991000833169702656","Catalog Record")</f>
        <v/>
      </c>
      <c r="AT155">
        <f>HYPERLINK("http://www.worldcat.org/oclc/13456472","WorldCat Record")</f>
        <v/>
      </c>
      <c r="AU155" t="inlineStr">
        <is>
          <t>10349386883:eng</t>
        </is>
      </c>
      <c r="AV155" t="inlineStr">
        <is>
          <t>13456472</t>
        </is>
      </c>
      <c r="AW155" t="inlineStr">
        <is>
          <t>991000833169702656</t>
        </is>
      </c>
      <c r="AX155" t="inlineStr">
        <is>
          <t>991000833169702656</t>
        </is>
      </c>
      <c r="AY155" t="inlineStr">
        <is>
          <t>2263212080002656</t>
        </is>
      </c>
      <c r="AZ155" t="inlineStr">
        <is>
          <t>BOOK</t>
        </is>
      </c>
      <c r="BB155" t="inlineStr">
        <is>
          <t>9780226078748</t>
        </is>
      </c>
      <c r="BC155" t="inlineStr">
        <is>
          <t>32285000051184</t>
        </is>
      </c>
      <c r="BD155" t="inlineStr">
        <is>
          <t>893790898</t>
        </is>
      </c>
    </row>
    <row r="156">
      <c r="A156" t="inlineStr">
        <is>
          <t>No</t>
        </is>
      </c>
      <c r="B156" t="inlineStr">
        <is>
          <t>QL362 .B94</t>
        </is>
      </c>
      <c r="C156" t="inlineStr">
        <is>
          <t>0                      QL 0362000B  94</t>
        </is>
      </c>
      <c r="D156" t="inlineStr">
        <is>
          <t>The lower animals : living invertebrates of the world / by Ralph Buchsbaum and Lorus J. Milne. In collaboration with Mildred Buchsbaum and Margery Milne. With photos. by Ralph Buchsbaum, and others. Line drawings by Kenneth Gosner.</t>
        </is>
      </c>
      <c r="F156" t="inlineStr">
        <is>
          <t>No</t>
        </is>
      </c>
      <c r="G156" t="inlineStr">
        <is>
          <t>1</t>
        </is>
      </c>
      <c r="H156" t="inlineStr">
        <is>
          <t>No</t>
        </is>
      </c>
      <c r="I156" t="inlineStr">
        <is>
          <t>No</t>
        </is>
      </c>
      <c r="J156" t="inlineStr">
        <is>
          <t>0</t>
        </is>
      </c>
      <c r="K156" t="inlineStr">
        <is>
          <t>Buchsbaum, Ralph, 1907-2002.</t>
        </is>
      </c>
      <c r="L156" t="inlineStr">
        <is>
          <t>Garden City, N.Y. : Doubleday, [1960]</t>
        </is>
      </c>
      <c r="M156" t="inlineStr">
        <is>
          <t>1960</t>
        </is>
      </c>
      <c r="N156" t="inlineStr">
        <is>
          <t>Chanticleer Press ed.</t>
        </is>
      </c>
      <c r="O156" t="inlineStr">
        <is>
          <t>eng</t>
        </is>
      </c>
      <c r="P156" t="inlineStr">
        <is>
          <t>nyu</t>
        </is>
      </c>
      <c r="Q156" t="inlineStr">
        <is>
          <t>The World of nature series</t>
        </is>
      </c>
      <c r="R156" t="inlineStr">
        <is>
          <t xml:space="preserve">QL </t>
        </is>
      </c>
      <c r="S156" t="n">
        <v>2</v>
      </c>
      <c r="T156" t="n">
        <v>2</v>
      </c>
      <c r="U156" t="inlineStr">
        <is>
          <t>1993-10-06</t>
        </is>
      </c>
      <c r="V156" t="inlineStr">
        <is>
          <t>1993-10-06</t>
        </is>
      </c>
      <c r="W156" t="inlineStr">
        <is>
          <t>1992-12-16</t>
        </is>
      </c>
      <c r="X156" t="inlineStr">
        <is>
          <t>1992-12-16</t>
        </is>
      </c>
      <c r="Y156" t="n">
        <v>1002</v>
      </c>
      <c r="Z156" t="n">
        <v>962</v>
      </c>
      <c r="AA156" t="n">
        <v>1078</v>
      </c>
      <c r="AB156" t="n">
        <v>4</v>
      </c>
      <c r="AC156" t="n">
        <v>4</v>
      </c>
      <c r="AD156" t="n">
        <v>17</v>
      </c>
      <c r="AE156" t="n">
        <v>21</v>
      </c>
      <c r="AF156" t="n">
        <v>5</v>
      </c>
      <c r="AG156" t="n">
        <v>6</v>
      </c>
      <c r="AH156" t="n">
        <v>2</v>
      </c>
      <c r="AI156" t="n">
        <v>4</v>
      </c>
      <c r="AJ156" t="n">
        <v>10</v>
      </c>
      <c r="AK156" t="n">
        <v>11</v>
      </c>
      <c r="AL156" t="n">
        <v>2</v>
      </c>
      <c r="AM156" t="n">
        <v>2</v>
      </c>
      <c r="AN156" t="n">
        <v>0</v>
      </c>
      <c r="AO156" t="n">
        <v>2</v>
      </c>
      <c r="AP156" t="inlineStr">
        <is>
          <t>Yes</t>
        </is>
      </c>
      <c r="AQ156" t="inlineStr">
        <is>
          <t>No</t>
        </is>
      </c>
      <c r="AR156">
        <f>HYPERLINK("http://catalog.hathitrust.org/Record/001496630","HathiTrust Record")</f>
        <v/>
      </c>
      <c r="AS156">
        <f>HYPERLINK("https://creighton-primo.hosted.exlibrisgroup.com/primo-explore/search?tab=default_tab&amp;search_scope=EVERYTHING&amp;vid=01CRU&amp;lang=en_US&amp;offset=0&amp;query=any,contains,991002990859702656","Catalog Record")</f>
        <v/>
      </c>
      <c r="AT156">
        <f>HYPERLINK("http://www.worldcat.org/oclc/560458","WorldCat Record")</f>
        <v/>
      </c>
      <c r="AU156" t="inlineStr">
        <is>
          <t>190013173:eng</t>
        </is>
      </c>
      <c r="AV156" t="inlineStr">
        <is>
          <t>560458</t>
        </is>
      </c>
      <c r="AW156" t="inlineStr">
        <is>
          <t>991002990859702656</t>
        </is>
      </c>
      <c r="AX156" t="inlineStr">
        <is>
          <t>991002990859702656</t>
        </is>
      </c>
      <c r="AY156" t="inlineStr">
        <is>
          <t>2256727930002656</t>
        </is>
      </c>
      <c r="AZ156" t="inlineStr">
        <is>
          <t>BOOK</t>
        </is>
      </c>
      <c r="BC156" t="inlineStr">
        <is>
          <t>32285001441814</t>
        </is>
      </c>
      <c r="BD156" t="inlineStr">
        <is>
          <t>893786846</t>
        </is>
      </c>
    </row>
    <row r="157">
      <c r="A157" t="inlineStr">
        <is>
          <t>No</t>
        </is>
      </c>
      <c r="B157" t="inlineStr">
        <is>
          <t>QL362 .C28 1981</t>
        </is>
      </c>
      <c r="C157" t="inlineStr">
        <is>
          <t>0                      QL 0362000C  28          1981</t>
        </is>
      </c>
      <c r="D157" t="inlineStr">
        <is>
          <t>Invertebrate biology : a functional approach / P. Calow.</t>
        </is>
      </c>
      <c r="F157" t="inlineStr">
        <is>
          <t>No</t>
        </is>
      </c>
      <c r="G157" t="inlineStr">
        <is>
          <t>1</t>
        </is>
      </c>
      <c r="H157" t="inlineStr">
        <is>
          <t>No</t>
        </is>
      </c>
      <c r="I157" t="inlineStr">
        <is>
          <t>No</t>
        </is>
      </c>
      <c r="J157" t="inlineStr">
        <is>
          <t>0</t>
        </is>
      </c>
      <c r="K157" t="inlineStr">
        <is>
          <t>Calow, Peter.</t>
        </is>
      </c>
      <c r="L157" t="inlineStr">
        <is>
          <t>London : Croom Helm ; New York : Wiley, c1981.</t>
        </is>
      </c>
      <c r="M157" t="inlineStr">
        <is>
          <t>1981</t>
        </is>
      </c>
      <c r="O157" t="inlineStr">
        <is>
          <t>eng</t>
        </is>
      </c>
      <c r="P157" t="inlineStr">
        <is>
          <t>enk</t>
        </is>
      </c>
      <c r="R157" t="inlineStr">
        <is>
          <t xml:space="preserve">QL </t>
        </is>
      </c>
      <c r="S157" t="n">
        <v>6</v>
      </c>
      <c r="T157" t="n">
        <v>6</v>
      </c>
      <c r="U157" t="inlineStr">
        <is>
          <t>1996-02-22</t>
        </is>
      </c>
      <c r="V157" t="inlineStr">
        <is>
          <t>1996-02-22</t>
        </is>
      </c>
      <c r="W157" t="inlineStr">
        <is>
          <t>1993-05-25</t>
        </is>
      </c>
      <c r="X157" t="inlineStr">
        <is>
          <t>1993-05-25</t>
        </is>
      </c>
      <c r="Y157" t="n">
        <v>406</v>
      </c>
      <c r="Z157" t="n">
        <v>284</v>
      </c>
      <c r="AA157" t="n">
        <v>303</v>
      </c>
      <c r="AB157" t="n">
        <v>4</v>
      </c>
      <c r="AC157" t="n">
        <v>4</v>
      </c>
      <c r="AD157" t="n">
        <v>9</v>
      </c>
      <c r="AE157" t="n">
        <v>10</v>
      </c>
      <c r="AF157" t="n">
        <v>3</v>
      </c>
      <c r="AG157" t="n">
        <v>4</v>
      </c>
      <c r="AH157" t="n">
        <v>0</v>
      </c>
      <c r="AI157" t="n">
        <v>1</v>
      </c>
      <c r="AJ157" t="n">
        <v>4</v>
      </c>
      <c r="AK157" t="n">
        <v>4</v>
      </c>
      <c r="AL157" t="n">
        <v>3</v>
      </c>
      <c r="AM157" t="n">
        <v>3</v>
      </c>
      <c r="AN157" t="n">
        <v>0</v>
      </c>
      <c r="AO157" t="n">
        <v>0</v>
      </c>
      <c r="AP157" t="inlineStr">
        <is>
          <t>No</t>
        </is>
      </c>
      <c r="AQ157" t="inlineStr">
        <is>
          <t>Yes</t>
        </is>
      </c>
      <c r="AR157">
        <f>HYPERLINK("http://catalog.hathitrust.org/Record/000431866","HathiTrust Record")</f>
        <v/>
      </c>
      <c r="AS157">
        <f>HYPERLINK("https://creighton-primo.hosted.exlibrisgroup.com/primo-explore/search?tab=default_tab&amp;search_scope=EVERYTHING&amp;vid=01CRU&amp;lang=en_US&amp;offset=0&amp;query=any,contains,991005134059702656","Catalog Record")</f>
        <v/>
      </c>
      <c r="AT157">
        <f>HYPERLINK("http://www.worldcat.org/oclc/7575207","WorldCat Record")</f>
        <v/>
      </c>
      <c r="AU157" t="inlineStr">
        <is>
          <t>962045770:eng</t>
        </is>
      </c>
      <c r="AV157" t="inlineStr">
        <is>
          <t>7575207</t>
        </is>
      </c>
      <c r="AW157" t="inlineStr">
        <is>
          <t>991005134059702656</t>
        </is>
      </c>
      <c r="AX157" t="inlineStr">
        <is>
          <t>991005134059702656</t>
        </is>
      </c>
      <c r="AY157" t="inlineStr">
        <is>
          <t>2265555840002656</t>
        </is>
      </c>
      <c r="AZ157" t="inlineStr">
        <is>
          <t>BOOK</t>
        </is>
      </c>
      <c r="BC157" t="inlineStr">
        <is>
          <t>32285001686509</t>
        </is>
      </c>
      <c r="BD157" t="inlineStr">
        <is>
          <t>893260606</t>
        </is>
      </c>
    </row>
    <row r="158">
      <c r="A158" t="inlineStr">
        <is>
          <t>No</t>
        </is>
      </c>
      <c r="B158" t="inlineStr">
        <is>
          <t>QL362 .C66 1996</t>
        </is>
      </c>
      <c r="C158" t="inlineStr">
        <is>
          <t>0                      QL 0362000C  66          1996</t>
        </is>
      </c>
      <c r="D158" t="inlineStr">
        <is>
          <t>Spineless wonders : strange tales from the invertebrate world / Richard Conniff ; illustrations by Sally Bensusen.</t>
        </is>
      </c>
      <c r="F158" t="inlineStr">
        <is>
          <t>No</t>
        </is>
      </c>
      <c r="G158" t="inlineStr">
        <is>
          <t>1</t>
        </is>
      </c>
      <c r="H158" t="inlineStr">
        <is>
          <t>No</t>
        </is>
      </c>
      <c r="I158" t="inlineStr">
        <is>
          <t>No</t>
        </is>
      </c>
      <c r="J158" t="inlineStr">
        <is>
          <t>0</t>
        </is>
      </c>
      <c r="K158" t="inlineStr">
        <is>
          <t>Conniff, Richard, 1951-</t>
        </is>
      </c>
      <c r="L158" t="inlineStr">
        <is>
          <t>New York : Henry Holt and Co., 1996.</t>
        </is>
      </c>
      <c r="M158" t="inlineStr">
        <is>
          <t>1996</t>
        </is>
      </c>
      <c r="N158" t="inlineStr">
        <is>
          <t>1st ed.</t>
        </is>
      </c>
      <c r="O158" t="inlineStr">
        <is>
          <t>eng</t>
        </is>
      </c>
      <c r="P158" t="inlineStr">
        <is>
          <t>nyu</t>
        </is>
      </c>
      <c r="R158" t="inlineStr">
        <is>
          <t xml:space="preserve">QL </t>
        </is>
      </c>
      <c r="S158" t="n">
        <v>5</v>
      </c>
      <c r="T158" t="n">
        <v>5</v>
      </c>
      <c r="U158" t="inlineStr">
        <is>
          <t>1999-07-14</t>
        </is>
      </c>
      <c r="V158" t="inlineStr">
        <is>
          <t>1999-07-14</t>
        </is>
      </c>
      <c r="W158" t="inlineStr">
        <is>
          <t>1996-12-05</t>
        </is>
      </c>
      <c r="X158" t="inlineStr">
        <is>
          <t>1996-12-05</t>
        </is>
      </c>
      <c r="Y158" t="n">
        <v>1090</v>
      </c>
      <c r="Z158" t="n">
        <v>1037</v>
      </c>
      <c r="AA158" t="n">
        <v>1134</v>
      </c>
      <c r="AB158" t="n">
        <v>8</v>
      </c>
      <c r="AC158" t="n">
        <v>9</v>
      </c>
      <c r="AD158" t="n">
        <v>26</v>
      </c>
      <c r="AE158" t="n">
        <v>29</v>
      </c>
      <c r="AF158" t="n">
        <v>10</v>
      </c>
      <c r="AG158" t="n">
        <v>12</v>
      </c>
      <c r="AH158" t="n">
        <v>4</v>
      </c>
      <c r="AI158" t="n">
        <v>4</v>
      </c>
      <c r="AJ158" t="n">
        <v>12</v>
      </c>
      <c r="AK158" t="n">
        <v>12</v>
      </c>
      <c r="AL158" t="n">
        <v>5</v>
      </c>
      <c r="AM158" t="n">
        <v>6</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HYPERLINK("https://creighton-primo.hosted.exlibrisgroup.com/primo-explore/search?tab=default_tab&amp;search_scope=EVERYTHING&amp;vid=01CRU&amp;lang=en_US&amp;offset=0&amp;query=any,contains,991002621519702656","Catalog Record")</f>
        <v/>
      </c>
      <c r="AT158">
        <f>HYPERLINK("http://www.worldcat.org/oclc/34355087","WorldCat Record")</f>
        <v/>
      </c>
      <c r="AU158" t="inlineStr">
        <is>
          <t>614020:eng</t>
        </is>
      </c>
      <c r="AV158" t="inlineStr">
        <is>
          <t>34355087</t>
        </is>
      </c>
      <c r="AW158" t="inlineStr">
        <is>
          <t>991002621519702656</t>
        </is>
      </c>
      <c r="AX158" t="inlineStr">
        <is>
          <t>991002621519702656</t>
        </is>
      </c>
      <c r="AY158" t="inlineStr">
        <is>
          <t>2267592150002656</t>
        </is>
      </c>
      <c r="AZ158" t="inlineStr">
        <is>
          <t>BOOK</t>
        </is>
      </c>
      <c r="BB158" t="inlineStr">
        <is>
          <t>9780805042184</t>
        </is>
      </c>
      <c r="BC158" t="inlineStr">
        <is>
          <t>32285002388493</t>
        </is>
      </c>
      <c r="BD158" t="inlineStr">
        <is>
          <t>893257513</t>
        </is>
      </c>
    </row>
    <row r="159">
      <c r="A159" t="inlineStr">
        <is>
          <t>No</t>
        </is>
      </c>
      <c r="B159" t="inlineStr">
        <is>
          <t>QL362 .G37</t>
        </is>
      </c>
      <c r="C159" t="inlineStr">
        <is>
          <t>0                      QL 0362000G  37</t>
        </is>
      </c>
      <c r="D159" t="inlineStr">
        <is>
          <t>The biology of invertebrates [by] Mary S. Gardiner.</t>
        </is>
      </c>
      <c r="F159" t="inlineStr">
        <is>
          <t>No</t>
        </is>
      </c>
      <c r="G159" t="inlineStr">
        <is>
          <t>1</t>
        </is>
      </c>
      <c r="H159" t="inlineStr">
        <is>
          <t>No</t>
        </is>
      </c>
      <c r="I159" t="inlineStr">
        <is>
          <t>No</t>
        </is>
      </c>
      <c r="J159" t="inlineStr">
        <is>
          <t>0</t>
        </is>
      </c>
      <c r="K159" t="inlineStr">
        <is>
          <t>Gardiner, Mary S. (Mary Summerfield), 1896-</t>
        </is>
      </c>
      <c r="L159" t="inlineStr">
        <is>
          <t>New York, McGraw-Hill [1972]</t>
        </is>
      </c>
      <c r="M159" t="inlineStr">
        <is>
          <t>1972</t>
        </is>
      </c>
      <c r="O159" t="inlineStr">
        <is>
          <t>eng</t>
        </is>
      </c>
      <c r="P159" t="inlineStr">
        <is>
          <t>nyu</t>
        </is>
      </c>
      <c r="Q159" t="inlineStr">
        <is>
          <t>McGraw-Hill series in organismic biology</t>
        </is>
      </c>
      <c r="R159" t="inlineStr">
        <is>
          <t xml:space="preserve">QL </t>
        </is>
      </c>
      <c r="S159" t="n">
        <v>2</v>
      </c>
      <c r="T159" t="n">
        <v>2</v>
      </c>
      <c r="U159" t="inlineStr">
        <is>
          <t>2002-02-24</t>
        </is>
      </c>
      <c r="V159" t="inlineStr">
        <is>
          <t>2002-02-24</t>
        </is>
      </c>
      <c r="W159" t="inlineStr">
        <is>
          <t>1997-07-19</t>
        </is>
      </c>
      <c r="X159" t="inlineStr">
        <is>
          <t>1997-07-19</t>
        </is>
      </c>
      <c r="Y159" t="n">
        <v>685</v>
      </c>
      <c r="Z159" t="n">
        <v>550</v>
      </c>
      <c r="AA159" t="n">
        <v>556</v>
      </c>
      <c r="AB159" t="n">
        <v>5</v>
      </c>
      <c r="AC159" t="n">
        <v>5</v>
      </c>
      <c r="AD159" t="n">
        <v>20</v>
      </c>
      <c r="AE159" t="n">
        <v>20</v>
      </c>
      <c r="AF159" t="n">
        <v>10</v>
      </c>
      <c r="AG159" t="n">
        <v>10</v>
      </c>
      <c r="AH159" t="n">
        <v>4</v>
      </c>
      <c r="AI159" t="n">
        <v>4</v>
      </c>
      <c r="AJ159" t="n">
        <v>6</v>
      </c>
      <c r="AK159" t="n">
        <v>6</v>
      </c>
      <c r="AL159" t="n">
        <v>4</v>
      </c>
      <c r="AM159" t="n">
        <v>4</v>
      </c>
      <c r="AN159" t="n">
        <v>0</v>
      </c>
      <c r="AO159" t="n">
        <v>0</v>
      </c>
      <c r="AP159" t="inlineStr">
        <is>
          <t>No</t>
        </is>
      </c>
      <c r="AQ159" t="inlineStr">
        <is>
          <t>Yes</t>
        </is>
      </c>
      <c r="AR159">
        <f>HYPERLINK("http://catalog.hathitrust.org/Record/001499253","HathiTrust Record")</f>
        <v/>
      </c>
      <c r="AS159">
        <f>HYPERLINK("https://creighton-primo.hosted.exlibrisgroup.com/primo-explore/search?tab=default_tab&amp;search_scope=EVERYTHING&amp;vid=01CRU&amp;lang=en_US&amp;offset=0&amp;query=any,contains,991002728959702656","Catalog Record")</f>
        <v/>
      </c>
      <c r="AT159">
        <f>HYPERLINK("http://www.worldcat.org/oclc/415238","WorldCat Record")</f>
        <v/>
      </c>
      <c r="AU159" t="inlineStr">
        <is>
          <t>3901575814:eng</t>
        </is>
      </c>
      <c r="AV159" t="inlineStr">
        <is>
          <t>415238</t>
        </is>
      </c>
      <c r="AW159" t="inlineStr">
        <is>
          <t>991002728959702656</t>
        </is>
      </c>
      <c r="AX159" t="inlineStr">
        <is>
          <t>991002728959702656</t>
        </is>
      </c>
      <c r="AY159" t="inlineStr">
        <is>
          <t>2266967130002656</t>
        </is>
      </c>
      <c r="AZ159" t="inlineStr">
        <is>
          <t>BOOK</t>
        </is>
      </c>
      <c r="BB159" t="inlineStr">
        <is>
          <t>9780070227255</t>
        </is>
      </c>
      <c r="BC159" t="inlineStr">
        <is>
          <t>32285002939626</t>
        </is>
      </c>
      <c r="BD159" t="inlineStr">
        <is>
          <t>893257631</t>
        </is>
      </c>
    </row>
    <row r="160">
      <c r="A160" t="inlineStr">
        <is>
          <t>No</t>
        </is>
      </c>
      <c r="B160" t="inlineStr">
        <is>
          <t>QL362 .K213</t>
        </is>
      </c>
      <c r="C160" t="inlineStr">
        <is>
          <t>0                      QL 0362000K  213</t>
        </is>
      </c>
      <c r="D160" t="inlineStr">
        <is>
          <t>Invertebrate zoology. Translated and adapted from the 2d German ed. by Herbert W. Levi and Lorna R. Levi.</t>
        </is>
      </c>
      <c r="E160" t="inlineStr">
        <is>
          <t>V.1</t>
        </is>
      </c>
      <c r="F160" t="inlineStr">
        <is>
          <t>Yes</t>
        </is>
      </c>
      <c r="G160" t="inlineStr">
        <is>
          <t>1</t>
        </is>
      </c>
      <c r="H160" t="inlineStr">
        <is>
          <t>No</t>
        </is>
      </c>
      <c r="I160" t="inlineStr">
        <is>
          <t>No</t>
        </is>
      </c>
      <c r="J160" t="inlineStr">
        <is>
          <t>0</t>
        </is>
      </c>
      <c r="K160" t="inlineStr">
        <is>
          <t>Kaestner, Alfred, 1901-1971.</t>
        </is>
      </c>
      <c r="L160" t="inlineStr">
        <is>
          <t>New York, Interscience [1967-</t>
        </is>
      </c>
      <c r="M160" t="inlineStr">
        <is>
          <t>1967</t>
        </is>
      </c>
      <c r="O160" t="inlineStr">
        <is>
          <t>eng</t>
        </is>
      </c>
      <c r="P160" t="inlineStr">
        <is>
          <t>nyu</t>
        </is>
      </c>
      <c r="R160" t="inlineStr">
        <is>
          <t xml:space="preserve">QL </t>
        </is>
      </c>
      <c r="S160" t="n">
        <v>5</v>
      </c>
      <c r="T160" t="n">
        <v>5</v>
      </c>
      <c r="U160" t="inlineStr">
        <is>
          <t>2002-02-24</t>
        </is>
      </c>
      <c r="V160" t="inlineStr">
        <is>
          <t>2002-02-24</t>
        </is>
      </c>
      <c r="W160" t="inlineStr">
        <is>
          <t>1997-07-19</t>
        </is>
      </c>
      <c r="X160" t="inlineStr">
        <is>
          <t>1997-07-19</t>
        </is>
      </c>
      <c r="Y160" t="n">
        <v>714</v>
      </c>
      <c r="Z160" t="n">
        <v>607</v>
      </c>
      <c r="AA160" t="n">
        <v>628</v>
      </c>
      <c r="AB160" t="n">
        <v>6</v>
      </c>
      <c r="AC160" t="n">
        <v>6</v>
      </c>
      <c r="AD160" t="n">
        <v>22</v>
      </c>
      <c r="AE160" t="n">
        <v>22</v>
      </c>
      <c r="AF160" t="n">
        <v>9</v>
      </c>
      <c r="AG160" t="n">
        <v>9</v>
      </c>
      <c r="AH160" t="n">
        <v>4</v>
      </c>
      <c r="AI160" t="n">
        <v>4</v>
      </c>
      <c r="AJ160" t="n">
        <v>11</v>
      </c>
      <c r="AK160" t="n">
        <v>11</v>
      </c>
      <c r="AL160" t="n">
        <v>5</v>
      </c>
      <c r="AM160" t="n">
        <v>5</v>
      </c>
      <c r="AN160" t="n">
        <v>0</v>
      </c>
      <c r="AO160" t="n">
        <v>0</v>
      </c>
      <c r="AP160" t="inlineStr">
        <is>
          <t>No</t>
        </is>
      </c>
      <c r="AQ160" t="inlineStr">
        <is>
          <t>Yes</t>
        </is>
      </c>
      <c r="AR160">
        <f>HYPERLINK("http://catalog.hathitrust.org/Record/000113921","HathiTrust Record")</f>
        <v/>
      </c>
      <c r="AS160">
        <f>HYPERLINK("https://creighton-primo.hosted.exlibrisgroup.com/primo-explore/search?tab=default_tab&amp;search_scope=EVERYTHING&amp;vid=01CRU&amp;lang=en_US&amp;offset=0&amp;query=any,contains,991001425759702656","Catalog Record")</f>
        <v/>
      </c>
      <c r="AT160">
        <f>HYPERLINK("http://www.worldcat.org/oclc/230967","WorldCat Record")</f>
        <v/>
      </c>
      <c r="AU160" t="inlineStr">
        <is>
          <t>4535656750:eng</t>
        </is>
      </c>
      <c r="AV160" t="inlineStr">
        <is>
          <t>230967</t>
        </is>
      </c>
      <c r="AW160" t="inlineStr">
        <is>
          <t>991001425759702656</t>
        </is>
      </c>
      <c r="AX160" t="inlineStr">
        <is>
          <t>991001425759702656</t>
        </is>
      </c>
      <c r="AY160" t="inlineStr">
        <is>
          <t>2269403640002656</t>
        </is>
      </c>
      <c r="AZ160" t="inlineStr">
        <is>
          <t>BOOK</t>
        </is>
      </c>
      <c r="BB160" t="inlineStr">
        <is>
          <t>9780471454175</t>
        </is>
      </c>
      <c r="BC160" t="inlineStr">
        <is>
          <t>32285002939634</t>
        </is>
      </c>
      <c r="BD160" t="inlineStr">
        <is>
          <t>893872524</t>
        </is>
      </c>
    </row>
    <row r="161">
      <c r="A161" t="inlineStr">
        <is>
          <t>No</t>
        </is>
      </c>
      <c r="B161" t="inlineStr">
        <is>
          <t>QL362 .K213</t>
        </is>
      </c>
      <c r="C161" t="inlineStr">
        <is>
          <t>0                      QL 0362000K  213</t>
        </is>
      </c>
      <c r="D161" t="inlineStr">
        <is>
          <t>Invertebrate zoology. Translated and adapted from the 2d German ed. by Herbert W. Levi and Lorna R. Levi.</t>
        </is>
      </c>
      <c r="E161" t="inlineStr">
        <is>
          <t>V.3</t>
        </is>
      </c>
      <c r="F161" t="inlineStr">
        <is>
          <t>Yes</t>
        </is>
      </c>
      <c r="G161" t="inlineStr">
        <is>
          <t>1</t>
        </is>
      </c>
      <c r="H161" t="inlineStr">
        <is>
          <t>No</t>
        </is>
      </c>
      <c r="I161" t="inlineStr">
        <is>
          <t>No</t>
        </is>
      </c>
      <c r="J161" t="inlineStr">
        <is>
          <t>0</t>
        </is>
      </c>
      <c r="K161" t="inlineStr">
        <is>
          <t>Kaestner, Alfred, 1901-1971.</t>
        </is>
      </c>
      <c r="L161" t="inlineStr">
        <is>
          <t>New York, Interscience [1967-</t>
        </is>
      </c>
      <c r="M161" t="inlineStr">
        <is>
          <t>1967</t>
        </is>
      </c>
      <c r="O161" t="inlineStr">
        <is>
          <t>eng</t>
        </is>
      </c>
      <c r="P161" t="inlineStr">
        <is>
          <t>nyu</t>
        </is>
      </c>
      <c r="R161" t="inlineStr">
        <is>
          <t xml:space="preserve">QL </t>
        </is>
      </c>
      <c r="S161" t="n">
        <v>0</v>
      </c>
      <c r="T161" t="n">
        <v>5</v>
      </c>
      <c r="V161" t="inlineStr">
        <is>
          <t>2002-02-24</t>
        </is>
      </c>
      <c r="W161" t="inlineStr">
        <is>
          <t>1997-07-19</t>
        </is>
      </c>
      <c r="X161" t="inlineStr">
        <is>
          <t>1997-07-19</t>
        </is>
      </c>
      <c r="Y161" t="n">
        <v>714</v>
      </c>
      <c r="Z161" t="n">
        <v>607</v>
      </c>
      <c r="AA161" t="n">
        <v>628</v>
      </c>
      <c r="AB161" t="n">
        <v>6</v>
      </c>
      <c r="AC161" t="n">
        <v>6</v>
      </c>
      <c r="AD161" t="n">
        <v>22</v>
      </c>
      <c r="AE161" t="n">
        <v>22</v>
      </c>
      <c r="AF161" t="n">
        <v>9</v>
      </c>
      <c r="AG161" t="n">
        <v>9</v>
      </c>
      <c r="AH161" t="n">
        <v>4</v>
      </c>
      <c r="AI161" t="n">
        <v>4</v>
      </c>
      <c r="AJ161" t="n">
        <v>11</v>
      </c>
      <c r="AK161" t="n">
        <v>11</v>
      </c>
      <c r="AL161" t="n">
        <v>5</v>
      </c>
      <c r="AM161" t="n">
        <v>5</v>
      </c>
      <c r="AN161" t="n">
        <v>0</v>
      </c>
      <c r="AO161" t="n">
        <v>0</v>
      </c>
      <c r="AP161" t="inlineStr">
        <is>
          <t>No</t>
        </is>
      </c>
      <c r="AQ161" t="inlineStr">
        <is>
          <t>Yes</t>
        </is>
      </c>
      <c r="AR161">
        <f>HYPERLINK("http://catalog.hathitrust.org/Record/000113921","HathiTrust Record")</f>
        <v/>
      </c>
      <c r="AS161">
        <f>HYPERLINK("https://creighton-primo.hosted.exlibrisgroup.com/primo-explore/search?tab=default_tab&amp;search_scope=EVERYTHING&amp;vid=01CRU&amp;lang=en_US&amp;offset=0&amp;query=any,contains,991001425759702656","Catalog Record")</f>
        <v/>
      </c>
      <c r="AT161">
        <f>HYPERLINK("http://www.worldcat.org/oclc/230967","WorldCat Record")</f>
        <v/>
      </c>
      <c r="AU161" t="inlineStr">
        <is>
          <t>4535656750:eng</t>
        </is>
      </c>
      <c r="AV161" t="inlineStr">
        <is>
          <t>230967</t>
        </is>
      </c>
      <c r="AW161" t="inlineStr">
        <is>
          <t>991001425759702656</t>
        </is>
      </c>
      <c r="AX161" t="inlineStr">
        <is>
          <t>991001425759702656</t>
        </is>
      </c>
      <c r="AY161" t="inlineStr">
        <is>
          <t>2269403640002656</t>
        </is>
      </c>
      <c r="AZ161" t="inlineStr">
        <is>
          <t>BOOK</t>
        </is>
      </c>
      <c r="BB161" t="inlineStr">
        <is>
          <t>9780471454175</t>
        </is>
      </c>
      <c r="BC161" t="inlineStr">
        <is>
          <t>32285002939659</t>
        </is>
      </c>
      <c r="BD161" t="inlineStr">
        <is>
          <t>893891569</t>
        </is>
      </c>
    </row>
    <row r="162">
      <c r="A162" t="inlineStr">
        <is>
          <t>No</t>
        </is>
      </c>
      <c r="B162" t="inlineStr">
        <is>
          <t>QL362 .K213</t>
        </is>
      </c>
      <c r="C162" t="inlineStr">
        <is>
          <t>0                      QL 0362000K  213</t>
        </is>
      </c>
      <c r="D162" t="inlineStr">
        <is>
          <t>Invertebrate zoology. Translated and adapted from the 2d German ed. by Herbert W. Levi and Lorna R. Levi.</t>
        </is>
      </c>
      <c r="E162" t="inlineStr">
        <is>
          <t>V.2</t>
        </is>
      </c>
      <c r="F162" t="inlineStr">
        <is>
          <t>Yes</t>
        </is>
      </c>
      <c r="G162" t="inlineStr">
        <is>
          <t>1</t>
        </is>
      </c>
      <c r="H162" t="inlineStr">
        <is>
          <t>No</t>
        </is>
      </c>
      <c r="I162" t="inlineStr">
        <is>
          <t>No</t>
        </is>
      </c>
      <c r="J162" t="inlineStr">
        <is>
          <t>0</t>
        </is>
      </c>
      <c r="K162" t="inlineStr">
        <is>
          <t>Kaestner, Alfred, 1901-1971.</t>
        </is>
      </c>
      <c r="L162" t="inlineStr">
        <is>
          <t>New York, Interscience [1967-</t>
        </is>
      </c>
      <c r="M162" t="inlineStr">
        <is>
          <t>1967</t>
        </is>
      </c>
      <c r="O162" t="inlineStr">
        <is>
          <t>eng</t>
        </is>
      </c>
      <c r="P162" t="inlineStr">
        <is>
          <t>nyu</t>
        </is>
      </c>
      <c r="R162" t="inlineStr">
        <is>
          <t xml:space="preserve">QL </t>
        </is>
      </c>
      <c r="S162" t="n">
        <v>0</v>
      </c>
      <c r="T162" t="n">
        <v>5</v>
      </c>
      <c r="V162" t="inlineStr">
        <is>
          <t>2002-02-24</t>
        </is>
      </c>
      <c r="W162" t="inlineStr">
        <is>
          <t>1997-07-19</t>
        </is>
      </c>
      <c r="X162" t="inlineStr">
        <is>
          <t>1997-07-19</t>
        </is>
      </c>
      <c r="Y162" t="n">
        <v>714</v>
      </c>
      <c r="Z162" t="n">
        <v>607</v>
      </c>
      <c r="AA162" t="n">
        <v>628</v>
      </c>
      <c r="AB162" t="n">
        <v>6</v>
      </c>
      <c r="AC162" t="n">
        <v>6</v>
      </c>
      <c r="AD162" t="n">
        <v>22</v>
      </c>
      <c r="AE162" t="n">
        <v>22</v>
      </c>
      <c r="AF162" t="n">
        <v>9</v>
      </c>
      <c r="AG162" t="n">
        <v>9</v>
      </c>
      <c r="AH162" t="n">
        <v>4</v>
      </c>
      <c r="AI162" t="n">
        <v>4</v>
      </c>
      <c r="AJ162" t="n">
        <v>11</v>
      </c>
      <c r="AK162" t="n">
        <v>11</v>
      </c>
      <c r="AL162" t="n">
        <v>5</v>
      </c>
      <c r="AM162" t="n">
        <v>5</v>
      </c>
      <c r="AN162" t="n">
        <v>0</v>
      </c>
      <c r="AO162" t="n">
        <v>0</v>
      </c>
      <c r="AP162" t="inlineStr">
        <is>
          <t>No</t>
        </is>
      </c>
      <c r="AQ162" t="inlineStr">
        <is>
          <t>Yes</t>
        </is>
      </c>
      <c r="AR162">
        <f>HYPERLINK("http://catalog.hathitrust.org/Record/000113921","HathiTrust Record")</f>
        <v/>
      </c>
      <c r="AS162">
        <f>HYPERLINK("https://creighton-primo.hosted.exlibrisgroup.com/primo-explore/search?tab=default_tab&amp;search_scope=EVERYTHING&amp;vid=01CRU&amp;lang=en_US&amp;offset=0&amp;query=any,contains,991001425759702656","Catalog Record")</f>
        <v/>
      </c>
      <c r="AT162">
        <f>HYPERLINK("http://www.worldcat.org/oclc/230967","WorldCat Record")</f>
        <v/>
      </c>
      <c r="AU162" t="inlineStr">
        <is>
          <t>4535656750:eng</t>
        </is>
      </c>
      <c r="AV162" t="inlineStr">
        <is>
          <t>230967</t>
        </is>
      </c>
      <c r="AW162" t="inlineStr">
        <is>
          <t>991001425759702656</t>
        </is>
      </c>
      <c r="AX162" t="inlineStr">
        <is>
          <t>991001425759702656</t>
        </is>
      </c>
      <c r="AY162" t="inlineStr">
        <is>
          <t>2269403640002656</t>
        </is>
      </c>
      <c r="AZ162" t="inlineStr">
        <is>
          <t>BOOK</t>
        </is>
      </c>
      <c r="BB162" t="inlineStr">
        <is>
          <t>9780471454175</t>
        </is>
      </c>
      <c r="BC162" t="inlineStr">
        <is>
          <t>32285002939642</t>
        </is>
      </c>
      <c r="BD162" t="inlineStr">
        <is>
          <t>893903418</t>
        </is>
      </c>
    </row>
    <row r="163">
      <c r="A163" t="inlineStr">
        <is>
          <t>No</t>
        </is>
      </c>
      <c r="B163" t="inlineStr">
        <is>
          <t>QL362 .M4 1972</t>
        </is>
      </c>
      <c r="C163" t="inlineStr">
        <is>
          <t>0                      QL 0362000M  4           1972</t>
        </is>
      </c>
      <c r="D163" t="inlineStr">
        <is>
          <t>Invertebrate zoology / [by] Paul A. Meglitsch.</t>
        </is>
      </c>
      <c r="F163" t="inlineStr">
        <is>
          <t>No</t>
        </is>
      </c>
      <c r="G163" t="inlineStr">
        <is>
          <t>1</t>
        </is>
      </c>
      <c r="H163" t="inlineStr">
        <is>
          <t>No</t>
        </is>
      </c>
      <c r="I163" t="inlineStr">
        <is>
          <t>No</t>
        </is>
      </c>
      <c r="J163" t="inlineStr">
        <is>
          <t>0</t>
        </is>
      </c>
      <c r="K163" t="inlineStr">
        <is>
          <t>Meglitsch, Paul A. (Paul Allen), 1914-</t>
        </is>
      </c>
      <c r="L163" t="inlineStr">
        <is>
          <t>New York : Oxford University Press, 1972.</t>
        </is>
      </c>
      <c r="M163" t="inlineStr">
        <is>
          <t>1972</t>
        </is>
      </c>
      <c r="N163" t="inlineStr">
        <is>
          <t>2d ed.</t>
        </is>
      </c>
      <c r="O163" t="inlineStr">
        <is>
          <t>eng</t>
        </is>
      </c>
      <c r="P163" t="inlineStr">
        <is>
          <t>nyu</t>
        </is>
      </c>
      <c r="R163" t="inlineStr">
        <is>
          <t xml:space="preserve">QL </t>
        </is>
      </c>
      <c r="S163" t="n">
        <v>20</v>
      </c>
      <c r="T163" t="n">
        <v>20</v>
      </c>
      <c r="U163" t="inlineStr">
        <is>
          <t>2009-12-01</t>
        </is>
      </c>
      <c r="V163" t="inlineStr">
        <is>
          <t>2009-12-01</t>
        </is>
      </c>
      <c r="W163" t="inlineStr">
        <is>
          <t>1995-02-24</t>
        </is>
      </c>
      <c r="X163" t="inlineStr">
        <is>
          <t>1995-02-24</t>
        </is>
      </c>
      <c r="Y163" t="n">
        <v>619</v>
      </c>
      <c r="Z163" t="n">
        <v>498</v>
      </c>
      <c r="AA163" t="n">
        <v>928</v>
      </c>
      <c r="AB163" t="n">
        <v>7</v>
      </c>
      <c r="AC163" t="n">
        <v>9</v>
      </c>
      <c r="AD163" t="n">
        <v>21</v>
      </c>
      <c r="AE163" t="n">
        <v>39</v>
      </c>
      <c r="AF163" t="n">
        <v>6</v>
      </c>
      <c r="AG163" t="n">
        <v>17</v>
      </c>
      <c r="AH163" t="n">
        <v>5</v>
      </c>
      <c r="AI163" t="n">
        <v>8</v>
      </c>
      <c r="AJ163" t="n">
        <v>10</v>
      </c>
      <c r="AK163" t="n">
        <v>15</v>
      </c>
      <c r="AL163" t="n">
        <v>5</v>
      </c>
      <c r="AM163" t="n">
        <v>7</v>
      </c>
      <c r="AN163" t="n">
        <v>0</v>
      </c>
      <c r="AO163" t="n">
        <v>0</v>
      </c>
      <c r="AP163" t="inlineStr">
        <is>
          <t>No</t>
        </is>
      </c>
      <c r="AQ163" t="inlineStr">
        <is>
          <t>Yes</t>
        </is>
      </c>
      <c r="AR163">
        <f>HYPERLINK("http://catalog.hathitrust.org/Record/001499259","HathiTrust Record")</f>
        <v/>
      </c>
      <c r="AS163">
        <f>HYPERLINK("https://creighton-primo.hosted.exlibrisgroup.com/primo-explore/search?tab=default_tab&amp;search_scope=EVERYTHING&amp;vid=01CRU&amp;lang=en_US&amp;offset=0&amp;query=any,contains,991002433019702656","Catalog Record")</f>
        <v/>
      </c>
      <c r="AT163">
        <f>HYPERLINK("http://www.worldcat.org/oclc/347796","WorldCat Record")</f>
        <v/>
      </c>
      <c r="AU163" t="inlineStr">
        <is>
          <t>1501122:eng</t>
        </is>
      </c>
      <c r="AV163" t="inlineStr">
        <is>
          <t>347796</t>
        </is>
      </c>
      <c r="AW163" t="inlineStr">
        <is>
          <t>991002433019702656</t>
        </is>
      </c>
      <c r="AX163" t="inlineStr">
        <is>
          <t>991002433019702656</t>
        </is>
      </c>
      <c r="AY163" t="inlineStr">
        <is>
          <t>2272647020002656</t>
        </is>
      </c>
      <c r="AZ163" t="inlineStr">
        <is>
          <t>BOOK</t>
        </is>
      </c>
      <c r="BB163" t="inlineStr">
        <is>
          <t>9780195015607</t>
        </is>
      </c>
      <c r="BC163" t="inlineStr">
        <is>
          <t>32285002010246</t>
        </is>
      </c>
      <c r="BD163" t="inlineStr">
        <is>
          <t>893622270</t>
        </is>
      </c>
    </row>
    <row r="164">
      <c r="A164" t="inlineStr">
        <is>
          <t>No</t>
        </is>
      </c>
      <c r="B164" t="inlineStr">
        <is>
          <t>QL362 .N4 1995</t>
        </is>
      </c>
      <c r="C164" t="inlineStr">
        <is>
          <t>0                      QL 0362000N  4           1995</t>
        </is>
      </c>
      <c r="D164" t="inlineStr">
        <is>
          <t>Introduction to invertebrate conservation biology / T.R. New.</t>
        </is>
      </c>
      <c r="F164" t="inlineStr">
        <is>
          <t>No</t>
        </is>
      </c>
      <c r="G164" t="inlineStr">
        <is>
          <t>1</t>
        </is>
      </c>
      <c r="H164" t="inlineStr">
        <is>
          <t>No</t>
        </is>
      </c>
      <c r="I164" t="inlineStr">
        <is>
          <t>No</t>
        </is>
      </c>
      <c r="J164" t="inlineStr">
        <is>
          <t>0</t>
        </is>
      </c>
      <c r="K164" t="inlineStr">
        <is>
          <t>New, T. R.</t>
        </is>
      </c>
      <c r="L164" t="inlineStr">
        <is>
          <t>Oxford ; New York : Oxford University Press, 1995.</t>
        </is>
      </c>
      <c r="M164" t="inlineStr">
        <is>
          <t>1995</t>
        </is>
      </c>
      <c r="O164" t="inlineStr">
        <is>
          <t>eng</t>
        </is>
      </c>
      <c r="P164" t="inlineStr">
        <is>
          <t>enk</t>
        </is>
      </c>
      <c r="Q164" t="inlineStr">
        <is>
          <t>Oxford science publications</t>
        </is>
      </c>
      <c r="R164" t="inlineStr">
        <is>
          <t xml:space="preserve">QL </t>
        </is>
      </c>
      <c r="S164" t="n">
        <v>3</v>
      </c>
      <c r="T164" t="n">
        <v>3</v>
      </c>
      <c r="U164" t="inlineStr">
        <is>
          <t>2004-02-22</t>
        </is>
      </c>
      <c r="V164" t="inlineStr">
        <is>
          <t>2004-02-22</t>
        </is>
      </c>
      <c r="W164" t="inlineStr">
        <is>
          <t>1996-10-24</t>
        </is>
      </c>
      <c r="X164" t="inlineStr">
        <is>
          <t>1996-10-24</t>
        </is>
      </c>
      <c r="Y164" t="n">
        <v>412</v>
      </c>
      <c r="Z164" t="n">
        <v>271</v>
      </c>
      <c r="AA164" t="n">
        <v>277</v>
      </c>
      <c r="AB164" t="n">
        <v>1</v>
      </c>
      <c r="AC164" t="n">
        <v>1</v>
      </c>
      <c r="AD164" t="n">
        <v>8</v>
      </c>
      <c r="AE164" t="n">
        <v>8</v>
      </c>
      <c r="AF164" t="n">
        <v>4</v>
      </c>
      <c r="AG164" t="n">
        <v>4</v>
      </c>
      <c r="AH164" t="n">
        <v>3</v>
      </c>
      <c r="AI164" t="n">
        <v>3</v>
      </c>
      <c r="AJ164" t="n">
        <v>3</v>
      </c>
      <c r="AK164" t="n">
        <v>3</v>
      </c>
      <c r="AL164" t="n">
        <v>0</v>
      </c>
      <c r="AM164" t="n">
        <v>0</v>
      </c>
      <c r="AN164" t="n">
        <v>0</v>
      </c>
      <c r="AO164" t="n">
        <v>0</v>
      </c>
      <c r="AP164" t="inlineStr">
        <is>
          <t>No</t>
        </is>
      </c>
      <c r="AQ164" t="inlineStr">
        <is>
          <t>Yes</t>
        </is>
      </c>
      <c r="AR164">
        <f>HYPERLINK("http://catalog.hathitrust.org/Record/003027471","HathiTrust Record")</f>
        <v/>
      </c>
      <c r="AS164">
        <f>HYPERLINK("https://creighton-primo.hosted.exlibrisgroup.com/primo-explore/search?tab=default_tab&amp;search_scope=EVERYTHING&amp;vid=01CRU&amp;lang=en_US&amp;offset=0&amp;query=any,contains,991002435009702656","Catalog Record")</f>
        <v/>
      </c>
      <c r="AT164">
        <f>HYPERLINK("http://www.worldcat.org/oclc/31740553","WorldCat Record")</f>
        <v/>
      </c>
      <c r="AU164" t="inlineStr">
        <is>
          <t>989188:eng</t>
        </is>
      </c>
      <c r="AV164" t="inlineStr">
        <is>
          <t>31740553</t>
        </is>
      </c>
      <c r="AW164" t="inlineStr">
        <is>
          <t>991002435009702656</t>
        </is>
      </c>
      <c r="AX164" t="inlineStr">
        <is>
          <t>991002435009702656</t>
        </is>
      </c>
      <c r="AY164" t="inlineStr">
        <is>
          <t>2269880880002656</t>
        </is>
      </c>
      <c r="AZ164" t="inlineStr">
        <is>
          <t>BOOK</t>
        </is>
      </c>
      <c r="BB164" t="inlineStr">
        <is>
          <t>9780198540519</t>
        </is>
      </c>
      <c r="BC164" t="inlineStr">
        <is>
          <t>32285002368701</t>
        </is>
      </c>
      <c r="BD164" t="inlineStr">
        <is>
          <t>893517286</t>
        </is>
      </c>
    </row>
    <row r="165">
      <c r="A165" t="inlineStr">
        <is>
          <t>No</t>
        </is>
      </c>
      <c r="B165" t="inlineStr">
        <is>
          <t>QL362 .P7 1935</t>
        </is>
      </c>
      <c r="C165" t="inlineStr">
        <is>
          <t>0                      QL 0362000P  7           1935</t>
        </is>
      </c>
      <c r="D165" t="inlineStr">
        <is>
          <t>A manual of the common invertebrate animals, exclusive of insects, by Henry Sherring Pratt ...</t>
        </is>
      </c>
      <c r="F165" t="inlineStr">
        <is>
          <t>No</t>
        </is>
      </c>
      <c r="G165" t="inlineStr">
        <is>
          <t>1</t>
        </is>
      </c>
      <c r="H165" t="inlineStr">
        <is>
          <t>No</t>
        </is>
      </c>
      <c r="I165" t="inlineStr">
        <is>
          <t>No</t>
        </is>
      </c>
      <c r="J165" t="inlineStr">
        <is>
          <t>0</t>
        </is>
      </c>
      <c r="K165" t="inlineStr">
        <is>
          <t>Pratt, Henry Sherring, 1859-1946.</t>
        </is>
      </c>
      <c r="L165" t="inlineStr">
        <is>
          <t>Philadelphia, P. Blakiston's Son &amp; Co., inc. [c1935]</t>
        </is>
      </c>
      <c r="M165" t="inlineStr">
        <is>
          <t>1935</t>
        </is>
      </c>
      <c r="N165" t="inlineStr">
        <is>
          <t>Thoroughly rev. ed. 974 illustrations.</t>
        </is>
      </c>
      <c r="O165" t="inlineStr">
        <is>
          <t>eng</t>
        </is>
      </c>
      <c r="P165" t="inlineStr">
        <is>
          <t>pau</t>
        </is>
      </c>
      <c r="R165" t="inlineStr">
        <is>
          <t xml:space="preserve">QL </t>
        </is>
      </c>
      <c r="S165" t="n">
        <v>9</v>
      </c>
      <c r="T165" t="n">
        <v>9</v>
      </c>
      <c r="U165" t="inlineStr">
        <is>
          <t>2004-02-22</t>
        </is>
      </c>
      <c r="V165" t="inlineStr">
        <is>
          <t>2004-02-22</t>
        </is>
      </c>
      <c r="W165" t="inlineStr">
        <is>
          <t>1997-07-19</t>
        </is>
      </c>
      <c r="X165" t="inlineStr">
        <is>
          <t>1997-07-19</t>
        </is>
      </c>
      <c r="Y165" t="n">
        <v>429</v>
      </c>
      <c r="Z165" t="n">
        <v>405</v>
      </c>
      <c r="AA165" t="n">
        <v>661</v>
      </c>
      <c r="AB165" t="n">
        <v>2</v>
      </c>
      <c r="AC165" t="n">
        <v>6</v>
      </c>
      <c r="AD165" t="n">
        <v>17</v>
      </c>
      <c r="AE165" t="n">
        <v>25</v>
      </c>
      <c r="AF165" t="n">
        <v>8</v>
      </c>
      <c r="AG165" t="n">
        <v>10</v>
      </c>
      <c r="AH165" t="n">
        <v>2</v>
      </c>
      <c r="AI165" t="n">
        <v>2</v>
      </c>
      <c r="AJ165" t="n">
        <v>10</v>
      </c>
      <c r="AK165" t="n">
        <v>13</v>
      </c>
      <c r="AL165" t="n">
        <v>1</v>
      </c>
      <c r="AM165" t="n">
        <v>5</v>
      </c>
      <c r="AN165" t="n">
        <v>0</v>
      </c>
      <c r="AO165" t="n">
        <v>0</v>
      </c>
      <c r="AP165" t="inlineStr">
        <is>
          <t>No</t>
        </is>
      </c>
      <c r="AQ165" t="inlineStr">
        <is>
          <t>Yes</t>
        </is>
      </c>
      <c r="AR165">
        <f>HYPERLINK("http://catalog.hathitrust.org/Record/001499261","HathiTrust Record")</f>
        <v/>
      </c>
      <c r="AS165">
        <f>HYPERLINK("https://creighton-primo.hosted.exlibrisgroup.com/primo-explore/search?tab=default_tab&amp;search_scope=EVERYTHING&amp;vid=01CRU&amp;lang=en_US&amp;offset=0&amp;query=any,contains,991003309029702656","Catalog Record")</f>
        <v/>
      </c>
      <c r="AT165">
        <f>HYPERLINK("http://www.worldcat.org/oclc/832669","WorldCat Record")</f>
        <v/>
      </c>
      <c r="AU165" t="inlineStr">
        <is>
          <t>3310293:eng</t>
        </is>
      </c>
      <c r="AV165" t="inlineStr">
        <is>
          <t>832669</t>
        </is>
      </c>
      <c r="AW165" t="inlineStr">
        <is>
          <t>991003309029702656</t>
        </is>
      </c>
      <c r="AX165" t="inlineStr">
        <is>
          <t>991003309029702656</t>
        </is>
      </c>
      <c r="AY165" t="inlineStr">
        <is>
          <t>2272404020002656</t>
        </is>
      </c>
      <c r="AZ165" t="inlineStr">
        <is>
          <t>BOOK</t>
        </is>
      </c>
      <c r="BC165" t="inlineStr">
        <is>
          <t>32285002939667</t>
        </is>
      </c>
      <c r="BD165" t="inlineStr">
        <is>
          <t>893899840</t>
        </is>
      </c>
    </row>
    <row r="166">
      <c r="A166" t="inlineStr">
        <is>
          <t>No</t>
        </is>
      </c>
      <c r="B166" t="inlineStr">
        <is>
          <t>QL362 .S3</t>
        </is>
      </c>
      <c r="C166" t="inlineStr">
        <is>
          <t>0                      QL 0362000S  3</t>
        </is>
      </c>
      <c r="D166" t="inlineStr">
        <is>
          <t>Invertebrate zoology.</t>
        </is>
      </c>
      <c r="F166" t="inlineStr">
        <is>
          <t>No</t>
        </is>
      </c>
      <c r="G166" t="inlineStr">
        <is>
          <t>1</t>
        </is>
      </c>
      <c r="H166" t="inlineStr">
        <is>
          <t>No</t>
        </is>
      </c>
      <c r="I166" t="inlineStr">
        <is>
          <t>No</t>
        </is>
      </c>
      <c r="J166" t="inlineStr">
        <is>
          <t>0</t>
        </is>
      </c>
      <c r="K166" t="inlineStr">
        <is>
          <t>Schechter, Victor, 1907-1959.</t>
        </is>
      </c>
      <c r="L166" t="inlineStr">
        <is>
          <t>Englewood Cliffs, N. J., Prentice-Hall, 1959.</t>
        </is>
      </c>
      <c r="M166" t="inlineStr">
        <is>
          <t>1959</t>
        </is>
      </c>
      <c r="O166" t="inlineStr">
        <is>
          <t>eng</t>
        </is>
      </c>
      <c r="P166" t="inlineStr">
        <is>
          <t>nju</t>
        </is>
      </c>
      <c r="Q166" t="inlineStr">
        <is>
          <t>Prentice-Hall animal science series</t>
        </is>
      </c>
      <c r="R166" t="inlineStr">
        <is>
          <t xml:space="preserve">QL </t>
        </is>
      </c>
      <c r="S166" t="n">
        <v>3</v>
      </c>
      <c r="T166" t="n">
        <v>3</v>
      </c>
      <c r="U166" t="inlineStr">
        <is>
          <t>2001-02-22</t>
        </is>
      </c>
      <c r="V166" t="inlineStr">
        <is>
          <t>2001-02-22</t>
        </is>
      </c>
      <c r="W166" t="inlineStr">
        <is>
          <t>1997-07-19</t>
        </is>
      </c>
      <c r="X166" t="inlineStr">
        <is>
          <t>1997-07-19</t>
        </is>
      </c>
      <c r="Y166" t="n">
        <v>173</v>
      </c>
      <c r="Z166" t="n">
        <v>142</v>
      </c>
      <c r="AA166" t="n">
        <v>152</v>
      </c>
      <c r="AB166" t="n">
        <v>1</v>
      </c>
      <c r="AC166" t="n">
        <v>1</v>
      </c>
      <c r="AD166" t="n">
        <v>6</v>
      </c>
      <c r="AE166" t="n">
        <v>6</v>
      </c>
      <c r="AF166" t="n">
        <v>3</v>
      </c>
      <c r="AG166" t="n">
        <v>3</v>
      </c>
      <c r="AH166" t="n">
        <v>0</v>
      </c>
      <c r="AI166" t="n">
        <v>0</v>
      </c>
      <c r="AJ166" t="n">
        <v>4</v>
      </c>
      <c r="AK166" t="n">
        <v>4</v>
      </c>
      <c r="AL166" t="n">
        <v>0</v>
      </c>
      <c r="AM166" t="n">
        <v>0</v>
      </c>
      <c r="AN166" t="n">
        <v>0</v>
      </c>
      <c r="AO166" t="n">
        <v>0</v>
      </c>
      <c r="AP166" t="inlineStr">
        <is>
          <t>Yes</t>
        </is>
      </c>
      <c r="AQ166" t="inlineStr">
        <is>
          <t>No</t>
        </is>
      </c>
      <c r="AR166">
        <f>HYPERLINK("http://catalog.hathitrust.org/Record/001692988","HathiTrust Record")</f>
        <v/>
      </c>
      <c r="AS166">
        <f>HYPERLINK("https://creighton-primo.hosted.exlibrisgroup.com/primo-explore/search?tab=default_tab&amp;search_scope=EVERYTHING&amp;vid=01CRU&amp;lang=en_US&amp;offset=0&amp;query=any,contains,991003739599702656","Catalog Record")</f>
        <v/>
      </c>
      <c r="AT166">
        <f>HYPERLINK("http://www.worldcat.org/oclc/1401638","WorldCat Record")</f>
        <v/>
      </c>
      <c r="AU166" t="inlineStr">
        <is>
          <t>2252191:eng</t>
        </is>
      </c>
      <c r="AV166" t="inlineStr">
        <is>
          <t>1401638</t>
        </is>
      </c>
      <c r="AW166" t="inlineStr">
        <is>
          <t>991003739599702656</t>
        </is>
      </c>
      <c r="AX166" t="inlineStr">
        <is>
          <t>991003739599702656</t>
        </is>
      </c>
      <c r="AY166" t="inlineStr">
        <is>
          <t>2263579560002656</t>
        </is>
      </c>
      <c r="AZ166" t="inlineStr">
        <is>
          <t>BOOK</t>
        </is>
      </c>
      <c r="BC166" t="inlineStr">
        <is>
          <t>32285002939683</t>
        </is>
      </c>
      <c r="BD166" t="inlineStr">
        <is>
          <t>893228401</t>
        </is>
      </c>
    </row>
    <row r="167">
      <c r="A167" t="inlineStr">
        <is>
          <t>No</t>
        </is>
      </c>
      <c r="B167" t="inlineStr">
        <is>
          <t>QL362 .V3</t>
        </is>
      </c>
      <c r="C167" t="inlineStr">
        <is>
          <t>0                      QL 0362000V  3</t>
        </is>
      </c>
      <c r="D167" t="inlineStr">
        <is>
          <t>Invertebrate zoology / by Harley Jones Van Cleave.</t>
        </is>
      </c>
      <c r="F167" t="inlineStr">
        <is>
          <t>No</t>
        </is>
      </c>
      <c r="G167" t="inlineStr">
        <is>
          <t>1</t>
        </is>
      </c>
      <c r="H167" t="inlineStr">
        <is>
          <t>No</t>
        </is>
      </c>
      <c r="I167" t="inlineStr">
        <is>
          <t>No</t>
        </is>
      </c>
      <c r="J167" t="inlineStr">
        <is>
          <t>0</t>
        </is>
      </c>
      <c r="K167" t="inlineStr">
        <is>
          <t>Van Cleave, Harley Jones, 1886-1953.</t>
        </is>
      </c>
      <c r="L167" t="inlineStr">
        <is>
          <t>New York : McGraw-Hill, 1924.</t>
        </is>
      </c>
      <c r="M167" t="inlineStr">
        <is>
          <t>1924</t>
        </is>
      </c>
      <c r="N167" t="inlineStr">
        <is>
          <t>1st ed.</t>
        </is>
      </c>
      <c r="O167" t="inlineStr">
        <is>
          <t>eng</t>
        </is>
      </c>
      <c r="P167" t="inlineStr">
        <is>
          <t>nyu</t>
        </is>
      </c>
      <c r="Q167" t="inlineStr">
        <is>
          <t>Agricultural and biological publications</t>
        </is>
      </c>
      <c r="R167" t="inlineStr">
        <is>
          <t xml:space="preserve">QL </t>
        </is>
      </c>
      <c r="S167" t="n">
        <v>2</v>
      </c>
      <c r="T167" t="n">
        <v>2</v>
      </c>
      <c r="U167" t="inlineStr">
        <is>
          <t>2001-02-18</t>
        </is>
      </c>
      <c r="V167" t="inlineStr">
        <is>
          <t>2001-02-18</t>
        </is>
      </c>
      <c r="W167" t="inlineStr">
        <is>
          <t>1998-02-26</t>
        </is>
      </c>
      <c r="X167" t="inlineStr">
        <is>
          <t>1998-02-26</t>
        </is>
      </c>
      <c r="Y167" t="n">
        <v>100</v>
      </c>
      <c r="Z167" t="n">
        <v>86</v>
      </c>
      <c r="AA167" t="n">
        <v>176</v>
      </c>
      <c r="AB167" t="n">
        <v>3</v>
      </c>
      <c r="AC167" t="n">
        <v>4</v>
      </c>
      <c r="AD167" t="n">
        <v>3</v>
      </c>
      <c r="AE167" t="n">
        <v>7</v>
      </c>
      <c r="AF167" t="n">
        <v>0</v>
      </c>
      <c r="AG167" t="n">
        <v>0</v>
      </c>
      <c r="AH167" t="n">
        <v>0</v>
      </c>
      <c r="AI167" t="n">
        <v>1</v>
      </c>
      <c r="AJ167" t="n">
        <v>1</v>
      </c>
      <c r="AK167" t="n">
        <v>3</v>
      </c>
      <c r="AL167" t="n">
        <v>2</v>
      </c>
      <c r="AM167" t="n">
        <v>3</v>
      </c>
      <c r="AN167" t="n">
        <v>0</v>
      </c>
      <c r="AO167" t="n">
        <v>0</v>
      </c>
      <c r="AP167" t="inlineStr">
        <is>
          <t>Yes</t>
        </is>
      </c>
      <c r="AQ167" t="inlineStr">
        <is>
          <t>No</t>
        </is>
      </c>
      <c r="AR167">
        <f>HYPERLINK("http://catalog.hathitrust.org/Record/009074339","HathiTrust Record")</f>
        <v/>
      </c>
      <c r="AS167">
        <f>HYPERLINK("https://creighton-primo.hosted.exlibrisgroup.com/primo-explore/search?tab=default_tab&amp;search_scope=EVERYTHING&amp;vid=01CRU&amp;lang=en_US&amp;offset=0&amp;query=any,contains,991004183409702656","Catalog Record")</f>
        <v/>
      </c>
      <c r="AT167">
        <f>HYPERLINK("http://www.worldcat.org/oclc/2611624","WorldCat Record")</f>
        <v/>
      </c>
      <c r="AU167" t="inlineStr">
        <is>
          <t>2219728:eng</t>
        </is>
      </c>
      <c r="AV167" t="inlineStr">
        <is>
          <t>2611624</t>
        </is>
      </c>
      <c r="AW167" t="inlineStr">
        <is>
          <t>991004183409702656</t>
        </is>
      </c>
      <c r="AX167" t="inlineStr">
        <is>
          <t>991004183409702656</t>
        </is>
      </c>
      <c r="AY167" t="inlineStr">
        <is>
          <t>2272772670002656</t>
        </is>
      </c>
      <c r="AZ167" t="inlineStr">
        <is>
          <t>BOOK</t>
        </is>
      </c>
      <c r="BC167" t="inlineStr">
        <is>
          <t>32285003355921</t>
        </is>
      </c>
      <c r="BD167" t="inlineStr">
        <is>
          <t>893712248</t>
        </is>
      </c>
    </row>
    <row r="168">
      <c r="A168" t="inlineStr">
        <is>
          <t>No</t>
        </is>
      </c>
      <c r="B168" t="inlineStr">
        <is>
          <t>QL362 .W37 1983</t>
        </is>
      </c>
      <c r="C168" t="inlineStr">
        <is>
          <t>0                      QL 0362000W  37          1983</t>
        </is>
      </c>
      <c r="D168" t="inlineStr">
        <is>
          <t>The IUCN invertebrate red data book / compiled jointly by Susan M. Wells, Robert M. Pyle, and N. Mark Collins of the IUCN Conservation Monitoring Centre, with the help and advice of the Species Survival Commission of the IUCN and other experts throughout the world ; illustrated by Sarah Anne Hughes.</t>
        </is>
      </c>
      <c r="F168" t="inlineStr">
        <is>
          <t>No</t>
        </is>
      </c>
      <c r="G168" t="inlineStr">
        <is>
          <t>1</t>
        </is>
      </c>
      <c r="H168" t="inlineStr">
        <is>
          <t>No</t>
        </is>
      </c>
      <c r="I168" t="inlineStr">
        <is>
          <t>No</t>
        </is>
      </c>
      <c r="J168" t="inlineStr">
        <is>
          <t>0</t>
        </is>
      </c>
      <c r="K168" t="inlineStr">
        <is>
          <t>Wells, Sue.</t>
        </is>
      </c>
      <c r="L168" t="inlineStr">
        <is>
          <t>Gland, Switzerland : IUCN, 1983.</t>
        </is>
      </c>
      <c r="M168" t="inlineStr">
        <is>
          <t>1983</t>
        </is>
      </c>
      <c r="O168" t="inlineStr">
        <is>
          <t>eng</t>
        </is>
      </c>
      <c r="P168" t="inlineStr">
        <is>
          <t xml:space="preserve">sz </t>
        </is>
      </c>
      <c r="R168" t="inlineStr">
        <is>
          <t xml:space="preserve">QL </t>
        </is>
      </c>
      <c r="S168" t="n">
        <v>2</v>
      </c>
      <c r="T168" t="n">
        <v>2</v>
      </c>
      <c r="U168" t="inlineStr">
        <is>
          <t>1998-12-05</t>
        </is>
      </c>
      <c r="V168" t="inlineStr">
        <is>
          <t>1998-12-05</t>
        </is>
      </c>
      <c r="W168" t="inlineStr">
        <is>
          <t>1998-08-31</t>
        </is>
      </c>
      <c r="X168" t="inlineStr">
        <is>
          <t>1998-08-31</t>
        </is>
      </c>
      <c r="Y168" t="n">
        <v>303</v>
      </c>
      <c r="Z168" t="n">
        <v>192</v>
      </c>
      <c r="AA168" t="n">
        <v>196</v>
      </c>
      <c r="AB168" t="n">
        <v>2</v>
      </c>
      <c r="AC168" t="n">
        <v>2</v>
      </c>
      <c r="AD168" t="n">
        <v>5</v>
      </c>
      <c r="AE168" t="n">
        <v>5</v>
      </c>
      <c r="AF168" t="n">
        <v>0</v>
      </c>
      <c r="AG168" t="n">
        <v>0</v>
      </c>
      <c r="AH168" t="n">
        <v>2</v>
      </c>
      <c r="AI168" t="n">
        <v>2</v>
      </c>
      <c r="AJ168" t="n">
        <v>3</v>
      </c>
      <c r="AK168" t="n">
        <v>3</v>
      </c>
      <c r="AL168" t="n">
        <v>1</v>
      </c>
      <c r="AM168" t="n">
        <v>1</v>
      </c>
      <c r="AN168" t="n">
        <v>0</v>
      </c>
      <c r="AO168" t="n">
        <v>0</v>
      </c>
      <c r="AP168" t="inlineStr">
        <is>
          <t>No</t>
        </is>
      </c>
      <c r="AQ168" t="inlineStr">
        <is>
          <t>Yes</t>
        </is>
      </c>
      <c r="AR168">
        <f>HYPERLINK("http://catalog.hathitrust.org/Record/000196613","HathiTrust Record")</f>
        <v/>
      </c>
      <c r="AS168">
        <f>HYPERLINK("https://creighton-primo.hosted.exlibrisgroup.com/primo-explore/search?tab=default_tab&amp;search_scope=EVERYTHING&amp;vid=01CRU&amp;lang=en_US&amp;offset=0&amp;query=any,contains,991000437829702656","Catalog Record")</f>
        <v/>
      </c>
      <c r="AT168">
        <f>HYPERLINK("http://www.worldcat.org/oclc/10800061","WorldCat Record")</f>
        <v/>
      </c>
      <c r="AU168" t="inlineStr">
        <is>
          <t>134558581:eng</t>
        </is>
      </c>
      <c r="AV168" t="inlineStr">
        <is>
          <t>10800061</t>
        </is>
      </c>
      <c r="AW168" t="inlineStr">
        <is>
          <t>991000437829702656</t>
        </is>
      </c>
      <c r="AX168" t="inlineStr">
        <is>
          <t>991000437829702656</t>
        </is>
      </c>
      <c r="AY168" t="inlineStr">
        <is>
          <t>2270584440002656</t>
        </is>
      </c>
      <c r="AZ168" t="inlineStr">
        <is>
          <t>BOOK</t>
        </is>
      </c>
      <c r="BC168" t="inlineStr">
        <is>
          <t>32285003463675</t>
        </is>
      </c>
      <c r="BD168" t="inlineStr">
        <is>
          <t>893224980</t>
        </is>
      </c>
    </row>
    <row r="169">
      <c r="A169" t="inlineStr">
        <is>
          <t>No</t>
        </is>
      </c>
      <c r="B169" t="inlineStr">
        <is>
          <t>QL362 .W5</t>
        </is>
      </c>
      <c r="C169" t="inlineStr">
        <is>
          <t>0                      QL 0362000W  5</t>
        </is>
      </c>
      <c r="D169" t="inlineStr">
        <is>
          <t>Biology of invertebrata / [by] James H. Wilmoth.</t>
        </is>
      </c>
      <c r="F169" t="inlineStr">
        <is>
          <t>No</t>
        </is>
      </c>
      <c r="G169" t="inlineStr">
        <is>
          <t>1</t>
        </is>
      </c>
      <c r="H169" t="inlineStr">
        <is>
          <t>No</t>
        </is>
      </c>
      <c r="I169" t="inlineStr">
        <is>
          <t>No</t>
        </is>
      </c>
      <c r="J169" t="inlineStr">
        <is>
          <t>0</t>
        </is>
      </c>
      <c r="K169" t="inlineStr">
        <is>
          <t>Wilmoth, James H. (James Herdman), 1910-</t>
        </is>
      </c>
      <c r="L169" t="inlineStr">
        <is>
          <t>Englewood Cliffs, N.J. : Prentice-Hall, [1967]</t>
        </is>
      </c>
      <c r="M169" t="inlineStr">
        <is>
          <t>1967</t>
        </is>
      </c>
      <c r="O169" t="inlineStr">
        <is>
          <t>eng</t>
        </is>
      </c>
      <c r="P169" t="inlineStr">
        <is>
          <t>nju</t>
        </is>
      </c>
      <c r="Q169" t="inlineStr">
        <is>
          <t>Prentice-Hall biological science series</t>
        </is>
      </c>
      <c r="R169" t="inlineStr">
        <is>
          <t xml:space="preserve">QL </t>
        </is>
      </c>
      <c r="S169" t="n">
        <v>11</v>
      </c>
      <c r="T169" t="n">
        <v>11</v>
      </c>
      <c r="U169" t="inlineStr">
        <is>
          <t>2009-03-01</t>
        </is>
      </c>
      <c r="V169" t="inlineStr">
        <is>
          <t>2009-03-01</t>
        </is>
      </c>
      <c r="W169" t="inlineStr">
        <is>
          <t>1995-05-06</t>
        </is>
      </c>
      <c r="X169" t="inlineStr">
        <is>
          <t>1995-05-06</t>
        </is>
      </c>
      <c r="Y169" t="n">
        <v>460</v>
      </c>
      <c r="Z169" t="n">
        <v>366</v>
      </c>
      <c r="AA169" t="n">
        <v>373</v>
      </c>
      <c r="AB169" t="n">
        <v>4</v>
      </c>
      <c r="AC169" t="n">
        <v>4</v>
      </c>
      <c r="AD169" t="n">
        <v>16</v>
      </c>
      <c r="AE169" t="n">
        <v>16</v>
      </c>
      <c r="AF169" t="n">
        <v>6</v>
      </c>
      <c r="AG169" t="n">
        <v>6</v>
      </c>
      <c r="AH169" t="n">
        <v>2</v>
      </c>
      <c r="AI169" t="n">
        <v>2</v>
      </c>
      <c r="AJ169" t="n">
        <v>8</v>
      </c>
      <c r="AK169" t="n">
        <v>8</v>
      </c>
      <c r="AL169" t="n">
        <v>3</v>
      </c>
      <c r="AM169" t="n">
        <v>3</v>
      </c>
      <c r="AN169" t="n">
        <v>0</v>
      </c>
      <c r="AO169" t="n">
        <v>0</v>
      </c>
      <c r="AP169" t="inlineStr">
        <is>
          <t>No</t>
        </is>
      </c>
      <c r="AQ169" t="inlineStr">
        <is>
          <t>Yes</t>
        </is>
      </c>
      <c r="AR169">
        <f>HYPERLINK("http://catalog.hathitrust.org/Record/001499270","HathiTrust Record")</f>
        <v/>
      </c>
      <c r="AS169">
        <f>HYPERLINK("https://creighton-primo.hosted.exlibrisgroup.com/primo-explore/search?tab=default_tab&amp;search_scope=EVERYTHING&amp;vid=01CRU&amp;lang=en_US&amp;offset=0&amp;query=any,contains,991003103749702656","Catalog Record")</f>
        <v/>
      </c>
      <c r="AT169">
        <f>HYPERLINK("http://www.worldcat.org/oclc/652733","WorldCat Record")</f>
        <v/>
      </c>
      <c r="AU169" t="inlineStr">
        <is>
          <t>1608739:eng</t>
        </is>
      </c>
      <c r="AV169" t="inlineStr">
        <is>
          <t>652733</t>
        </is>
      </c>
      <c r="AW169" t="inlineStr">
        <is>
          <t>991003103749702656</t>
        </is>
      </c>
      <c r="AX169" t="inlineStr">
        <is>
          <t>991003103749702656</t>
        </is>
      </c>
      <c r="AY169" t="inlineStr">
        <is>
          <t>2262815160002656</t>
        </is>
      </c>
      <c r="AZ169" t="inlineStr">
        <is>
          <t>BOOK</t>
        </is>
      </c>
      <c r="BC169" t="inlineStr">
        <is>
          <t>32285002032554</t>
        </is>
      </c>
      <c r="BD169" t="inlineStr">
        <is>
          <t>893874432</t>
        </is>
      </c>
    </row>
    <row r="170">
      <c r="A170" t="inlineStr">
        <is>
          <t>No</t>
        </is>
      </c>
      <c r="B170" t="inlineStr">
        <is>
          <t>QL362.5 .G68</t>
        </is>
      </c>
      <c r="C170" t="inlineStr">
        <is>
          <t>0                      QL 0362500G  68</t>
        </is>
      </c>
      <c r="D170" t="inlineStr">
        <is>
          <t>Guide to identification of marine and estuarine invertebrates; Cape Hatteras to the Bay of Fundy [by] Kenneth L. Gosner.</t>
        </is>
      </c>
      <c r="F170" t="inlineStr">
        <is>
          <t>No</t>
        </is>
      </c>
      <c r="G170" t="inlineStr">
        <is>
          <t>1</t>
        </is>
      </c>
      <c r="H170" t="inlineStr">
        <is>
          <t>No</t>
        </is>
      </c>
      <c r="I170" t="inlineStr">
        <is>
          <t>No</t>
        </is>
      </c>
      <c r="J170" t="inlineStr">
        <is>
          <t>0</t>
        </is>
      </c>
      <c r="K170" t="inlineStr">
        <is>
          <t>Gosner, Kenneth L., 1925-</t>
        </is>
      </c>
      <c r="L170" t="inlineStr">
        <is>
          <t>New York, Wiley-Interscience [1971]</t>
        </is>
      </c>
      <c r="M170" t="inlineStr">
        <is>
          <t>1971</t>
        </is>
      </c>
      <c r="O170" t="inlineStr">
        <is>
          <t>eng</t>
        </is>
      </c>
      <c r="P170" t="inlineStr">
        <is>
          <t>nyu</t>
        </is>
      </c>
      <c r="R170" t="inlineStr">
        <is>
          <t xml:space="preserve">QL </t>
        </is>
      </c>
      <c r="S170" t="n">
        <v>7</v>
      </c>
      <c r="T170" t="n">
        <v>7</v>
      </c>
      <c r="U170" t="inlineStr">
        <is>
          <t>2000-01-21</t>
        </is>
      </c>
      <c r="V170" t="inlineStr">
        <is>
          <t>2000-01-21</t>
        </is>
      </c>
      <c r="W170" t="inlineStr">
        <is>
          <t>1997-07-19</t>
        </is>
      </c>
      <c r="X170" t="inlineStr">
        <is>
          <t>1997-07-19</t>
        </is>
      </c>
      <c r="Y170" t="n">
        <v>817</v>
      </c>
      <c r="Z170" t="n">
        <v>699</v>
      </c>
      <c r="AA170" t="n">
        <v>705</v>
      </c>
      <c r="AB170" t="n">
        <v>3</v>
      </c>
      <c r="AC170" t="n">
        <v>3</v>
      </c>
      <c r="AD170" t="n">
        <v>19</v>
      </c>
      <c r="AE170" t="n">
        <v>19</v>
      </c>
      <c r="AF170" t="n">
        <v>10</v>
      </c>
      <c r="AG170" t="n">
        <v>10</v>
      </c>
      <c r="AH170" t="n">
        <v>2</v>
      </c>
      <c r="AI170" t="n">
        <v>2</v>
      </c>
      <c r="AJ170" t="n">
        <v>11</v>
      </c>
      <c r="AK170" t="n">
        <v>11</v>
      </c>
      <c r="AL170" t="n">
        <v>2</v>
      </c>
      <c r="AM170" t="n">
        <v>2</v>
      </c>
      <c r="AN170" t="n">
        <v>0</v>
      </c>
      <c r="AO170" t="n">
        <v>0</v>
      </c>
      <c r="AP170" t="inlineStr">
        <is>
          <t>No</t>
        </is>
      </c>
      <c r="AQ170" t="inlineStr">
        <is>
          <t>Yes</t>
        </is>
      </c>
      <c r="AR170">
        <f>HYPERLINK("http://catalog.hathitrust.org/Record/001499271","HathiTrust Record")</f>
        <v/>
      </c>
      <c r="AS170">
        <f>HYPERLINK("https://creighton-primo.hosted.exlibrisgroup.com/primo-explore/search?tab=default_tab&amp;search_scope=EVERYTHING&amp;vid=01CRU&amp;lang=en_US&amp;offset=0&amp;query=any,contains,991000894559702656","Catalog Record")</f>
        <v/>
      </c>
      <c r="AT170">
        <f>HYPERLINK("http://www.worldcat.org/oclc/155406","WorldCat Record")</f>
        <v/>
      </c>
      <c r="AU170" t="inlineStr">
        <is>
          <t>489868:eng</t>
        </is>
      </c>
      <c r="AV170" t="inlineStr">
        <is>
          <t>155406</t>
        </is>
      </c>
      <c r="AW170" t="inlineStr">
        <is>
          <t>991000894559702656</t>
        </is>
      </c>
      <c r="AX170" t="inlineStr">
        <is>
          <t>991000894559702656</t>
        </is>
      </c>
      <c r="AY170" t="inlineStr">
        <is>
          <t>2256460060002656</t>
        </is>
      </c>
      <c r="AZ170" t="inlineStr">
        <is>
          <t>BOOK</t>
        </is>
      </c>
      <c r="BB170" t="inlineStr">
        <is>
          <t>9780471318972</t>
        </is>
      </c>
      <c r="BC170" t="inlineStr">
        <is>
          <t>32285002939691</t>
        </is>
      </c>
      <c r="BD170" t="inlineStr">
        <is>
          <t>893315331</t>
        </is>
      </c>
    </row>
    <row r="171">
      <c r="A171" t="inlineStr">
        <is>
          <t>No</t>
        </is>
      </c>
      <c r="B171" t="inlineStr">
        <is>
          <t>QL362.5 .M6</t>
        </is>
      </c>
      <c r="C171" t="inlineStr">
        <is>
          <t>0                      QL 0362500M  6</t>
        </is>
      </c>
      <c r="D171" t="inlineStr">
        <is>
          <t>Intertidal invertebrates of California / Robert H. Morris, Donald P. Abbott, and Eugene C. Haderlie, with 31 text contributors.</t>
        </is>
      </c>
      <c r="F171" t="inlineStr">
        <is>
          <t>No</t>
        </is>
      </c>
      <c r="G171" t="inlineStr">
        <is>
          <t>1</t>
        </is>
      </c>
      <c r="H171" t="inlineStr">
        <is>
          <t>No</t>
        </is>
      </c>
      <c r="I171" t="inlineStr">
        <is>
          <t>No</t>
        </is>
      </c>
      <c r="J171" t="inlineStr">
        <is>
          <t>0</t>
        </is>
      </c>
      <c r="K171" t="inlineStr">
        <is>
          <t>Morris, Robert H.</t>
        </is>
      </c>
      <c r="L171" t="inlineStr">
        <is>
          <t>Stanford, Calif. : Stanford University Press, 1980.</t>
        </is>
      </c>
      <c r="M171" t="inlineStr">
        <is>
          <t>1980</t>
        </is>
      </c>
      <c r="O171" t="inlineStr">
        <is>
          <t>eng</t>
        </is>
      </c>
      <c r="P171" t="inlineStr">
        <is>
          <t>cau</t>
        </is>
      </c>
      <c r="R171" t="inlineStr">
        <is>
          <t xml:space="preserve">QL </t>
        </is>
      </c>
      <c r="S171" t="n">
        <v>5</v>
      </c>
      <c r="T171" t="n">
        <v>5</v>
      </c>
      <c r="U171" t="inlineStr">
        <is>
          <t>2004-02-23</t>
        </is>
      </c>
      <c r="V171" t="inlineStr">
        <is>
          <t>2004-02-23</t>
        </is>
      </c>
      <c r="W171" t="inlineStr">
        <is>
          <t>1993-05-25</t>
        </is>
      </c>
      <c r="X171" t="inlineStr">
        <is>
          <t>1993-05-25</t>
        </is>
      </c>
      <c r="Y171" t="n">
        <v>426</v>
      </c>
      <c r="Z171" t="n">
        <v>377</v>
      </c>
      <c r="AA171" t="n">
        <v>380</v>
      </c>
      <c r="AB171" t="n">
        <v>3</v>
      </c>
      <c r="AC171" t="n">
        <v>3</v>
      </c>
      <c r="AD171" t="n">
        <v>11</v>
      </c>
      <c r="AE171" t="n">
        <v>11</v>
      </c>
      <c r="AF171" t="n">
        <v>3</v>
      </c>
      <c r="AG171" t="n">
        <v>3</v>
      </c>
      <c r="AH171" t="n">
        <v>3</v>
      </c>
      <c r="AI171" t="n">
        <v>3</v>
      </c>
      <c r="AJ171" t="n">
        <v>6</v>
      </c>
      <c r="AK171" t="n">
        <v>6</v>
      </c>
      <c r="AL171" t="n">
        <v>2</v>
      </c>
      <c r="AM171" t="n">
        <v>2</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HYPERLINK("https://creighton-primo.hosted.exlibrisgroup.com/primo-explore/search?tab=default_tab&amp;search_scope=EVERYTHING&amp;vid=01CRU&amp;lang=en_US&amp;offset=0&amp;query=any,contains,991005072049702656","Catalog Record")</f>
        <v/>
      </c>
      <c r="AT171">
        <f>HYPERLINK("http://www.worldcat.org/oclc/7043400","WorldCat Record")</f>
        <v/>
      </c>
      <c r="AU171" t="inlineStr">
        <is>
          <t>355688527:eng</t>
        </is>
      </c>
      <c r="AV171" t="inlineStr">
        <is>
          <t>7043400</t>
        </is>
      </c>
      <c r="AW171" t="inlineStr">
        <is>
          <t>991005072049702656</t>
        </is>
      </c>
      <c r="AX171" t="inlineStr">
        <is>
          <t>991005072049702656</t>
        </is>
      </c>
      <c r="AY171" t="inlineStr">
        <is>
          <t>2254784180002656</t>
        </is>
      </c>
      <c r="AZ171" t="inlineStr">
        <is>
          <t>BOOK</t>
        </is>
      </c>
      <c r="BB171" t="inlineStr">
        <is>
          <t>9780804710459</t>
        </is>
      </c>
      <c r="BC171" t="inlineStr">
        <is>
          <t>32285001686517</t>
        </is>
      </c>
      <c r="BD171" t="inlineStr">
        <is>
          <t>893501270</t>
        </is>
      </c>
    </row>
    <row r="172">
      <c r="A172" t="inlineStr">
        <is>
          <t>No</t>
        </is>
      </c>
      <c r="B172" t="inlineStr">
        <is>
          <t>QL362.5 .P5</t>
        </is>
      </c>
      <c r="C172" t="inlineStr">
        <is>
          <t>0                      QL 0362500P  5</t>
        </is>
      </c>
      <c r="D172" t="inlineStr">
        <is>
          <t>Invertebrate identification manual [by] Richard A. Pimentel.</t>
        </is>
      </c>
      <c r="F172" t="inlineStr">
        <is>
          <t>No</t>
        </is>
      </c>
      <c r="G172" t="inlineStr">
        <is>
          <t>1</t>
        </is>
      </c>
      <c r="H172" t="inlineStr">
        <is>
          <t>No</t>
        </is>
      </c>
      <c r="I172" t="inlineStr">
        <is>
          <t>No</t>
        </is>
      </c>
      <c r="J172" t="inlineStr">
        <is>
          <t>0</t>
        </is>
      </c>
      <c r="K172" t="inlineStr">
        <is>
          <t>Pimentel, Richard A.</t>
        </is>
      </c>
      <c r="L172" t="inlineStr">
        <is>
          <t>New York, Reinhold Pub. Corp. [1967]</t>
        </is>
      </c>
      <c r="M172" t="inlineStr">
        <is>
          <t>1967</t>
        </is>
      </c>
      <c r="O172" t="inlineStr">
        <is>
          <t>eng</t>
        </is>
      </c>
      <c r="P172" t="inlineStr">
        <is>
          <t>nyu</t>
        </is>
      </c>
      <c r="Q172" t="inlineStr">
        <is>
          <t>Reinhold books in the biological sciences</t>
        </is>
      </c>
      <c r="R172" t="inlineStr">
        <is>
          <t xml:space="preserve">QL </t>
        </is>
      </c>
      <c r="S172" t="n">
        <v>7</v>
      </c>
      <c r="T172" t="n">
        <v>7</v>
      </c>
      <c r="U172" t="inlineStr">
        <is>
          <t>2004-03-25</t>
        </is>
      </c>
      <c r="V172" t="inlineStr">
        <is>
          <t>2004-03-25</t>
        </is>
      </c>
      <c r="W172" t="inlineStr">
        <is>
          <t>1997-07-19</t>
        </is>
      </c>
      <c r="X172" t="inlineStr">
        <is>
          <t>1997-07-19</t>
        </is>
      </c>
      <c r="Y172" t="n">
        <v>463</v>
      </c>
      <c r="Z172" t="n">
        <v>403</v>
      </c>
      <c r="AA172" t="n">
        <v>424</v>
      </c>
      <c r="AB172" t="n">
        <v>4</v>
      </c>
      <c r="AC172" t="n">
        <v>4</v>
      </c>
      <c r="AD172" t="n">
        <v>15</v>
      </c>
      <c r="AE172" t="n">
        <v>15</v>
      </c>
      <c r="AF172" t="n">
        <v>7</v>
      </c>
      <c r="AG172" t="n">
        <v>7</v>
      </c>
      <c r="AH172" t="n">
        <v>4</v>
      </c>
      <c r="AI172" t="n">
        <v>4</v>
      </c>
      <c r="AJ172" t="n">
        <v>4</v>
      </c>
      <c r="AK172" t="n">
        <v>4</v>
      </c>
      <c r="AL172" t="n">
        <v>3</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HYPERLINK("https://creighton-primo.hosted.exlibrisgroup.com/primo-explore/search?tab=default_tab&amp;search_scope=EVERYTHING&amp;vid=01CRU&amp;lang=en_US&amp;offset=0&amp;query=any,contains,991002265679702656","Catalog Record")</f>
        <v/>
      </c>
      <c r="AT172">
        <f>HYPERLINK("http://www.worldcat.org/oclc/306911","WorldCat Record")</f>
        <v/>
      </c>
      <c r="AU172" t="inlineStr">
        <is>
          <t>1359789:eng</t>
        </is>
      </c>
      <c r="AV172" t="inlineStr">
        <is>
          <t>306911</t>
        </is>
      </c>
      <c r="AW172" t="inlineStr">
        <is>
          <t>991002265679702656</t>
        </is>
      </c>
      <c r="AX172" t="inlineStr">
        <is>
          <t>991002265679702656</t>
        </is>
      </c>
      <c r="AY172" t="inlineStr">
        <is>
          <t>2266150790002656</t>
        </is>
      </c>
      <c r="AZ172" t="inlineStr">
        <is>
          <t>BOOK</t>
        </is>
      </c>
      <c r="BC172" t="inlineStr">
        <is>
          <t>32285002939709</t>
        </is>
      </c>
      <c r="BD172" t="inlineStr">
        <is>
          <t>893226637</t>
        </is>
      </c>
    </row>
    <row r="173">
      <c r="A173" t="inlineStr">
        <is>
          <t>No</t>
        </is>
      </c>
      <c r="B173" t="inlineStr">
        <is>
          <t>QL362.5 .W56</t>
        </is>
      </c>
      <c r="C173" t="inlineStr">
        <is>
          <t>0                      QL 0362500W  56</t>
        </is>
      </c>
      <c r="D173" t="inlineStr">
        <is>
          <t>Starfish, jellyfish, and the order of life : issues in nineteenth-century science / Mary P. Winsor.</t>
        </is>
      </c>
      <c r="F173" t="inlineStr">
        <is>
          <t>No</t>
        </is>
      </c>
      <c r="G173" t="inlineStr">
        <is>
          <t>1</t>
        </is>
      </c>
      <c r="H173" t="inlineStr">
        <is>
          <t>No</t>
        </is>
      </c>
      <c r="I173" t="inlineStr">
        <is>
          <t>No</t>
        </is>
      </c>
      <c r="J173" t="inlineStr">
        <is>
          <t>0</t>
        </is>
      </c>
      <c r="K173" t="inlineStr">
        <is>
          <t>Winsor, Mary P.</t>
        </is>
      </c>
      <c r="L173" t="inlineStr">
        <is>
          <t>New Haven : Yale University Press, c1976.</t>
        </is>
      </c>
      <c r="M173" t="inlineStr">
        <is>
          <t>1976</t>
        </is>
      </c>
      <c r="O173" t="inlineStr">
        <is>
          <t>eng</t>
        </is>
      </c>
      <c r="P173" t="inlineStr">
        <is>
          <t>ctu</t>
        </is>
      </c>
      <c r="Q173" t="inlineStr">
        <is>
          <t>Yale studies in the history of science and medicine ; 10</t>
        </is>
      </c>
      <c r="R173" t="inlineStr">
        <is>
          <t xml:space="preserve">QL </t>
        </is>
      </c>
      <c r="S173" t="n">
        <v>16</v>
      </c>
      <c r="T173" t="n">
        <v>16</v>
      </c>
      <c r="U173" t="inlineStr">
        <is>
          <t>2006-02-12</t>
        </is>
      </c>
      <c r="V173" t="inlineStr">
        <is>
          <t>2006-02-12</t>
        </is>
      </c>
      <c r="W173" t="inlineStr">
        <is>
          <t>1997-07-19</t>
        </is>
      </c>
      <c r="X173" t="inlineStr">
        <is>
          <t>1997-07-19</t>
        </is>
      </c>
      <c r="Y173" t="n">
        <v>494</v>
      </c>
      <c r="Z173" t="n">
        <v>386</v>
      </c>
      <c r="AA173" t="n">
        <v>386</v>
      </c>
      <c r="AB173" t="n">
        <v>3</v>
      </c>
      <c r="AC173" t="n">
        <v>3</v>
      </c>
      <c r="AD173" t="n">
        <v>8</v>
      </c>
      <c r="AE173" t="n">
        <v>8</v>
      </c>
      <c r="AF173" t="n">
        <v>2</v>
      </c>
      <c r="AG173" t="n">
        <v>2</v>
      </c>
      <c r="AH173" t="n">
        <v>1</v>
      </c>
      <c r="AI173" t="n">
        <v>1</v>
      </c>
      <c r="AJ173" t="n">
        <v>4</v>
      </c>
      <c r="AK173" t="n">
        <v>4</v>
      </c>
      <c r="AL173" t="n">
        <v>2</v>
      </c>
      <c r="AM173" t="n">
        <v>2</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HYPERLINK("https://creighton-primo.hosted.exlibrisgroup.com/primo-explore/search?tab=default_tab&amp;search_scope=EVERYTHING&amp;vid=01CRU&amp;lang=en_US&amp;offset=0&amp;query=any,contains,991003975859702656","Catalog Record")</f>
        <v/>
      </c>
      <c r="AT173">
        <f>HYPERLINK("http://www.worldcat.org/oclc/2005321","WorldCat Record")</f>
        <v/>
      </c>
      <c r="AU173" t="inlineStr">
        <is>
          <t>237679500:eng</t>
        </is>
      </c>
      <c r="AV173" t="inlineStr">
        <is>
          <t>2005321</t>
        </is>
      </c>
      <c r="AW173" t="inlineStr">
        <is>
          <t>991003975859702656</t>
        </is>
      </c>
      <c r="AX173" t="inlineStr">
        <is>
          <t>991003975859702656</t>
        </is>
      </c>
      <c r="AY173" t="inlineStr">
        <is>
          <t>2261992180002656</t>
        </is>
      </c>
      <c r="AZ173" t="inlineStr">
        <is>
          <t>BOOK</t>
        </is>
      </c>
      <c r="BB173" t="inlineStr">
        <is>
          <t>9780300016352</t>
        </is>
      </c>
      <c r="BC173" t="inlineStr">
        <is>
          <t>32285002939717</t>
        </is>
      </c>
      <c r="BD173" t="inlineStr">
        <is>
          <t>893429497</t>
        </is>
      </c>
    </row>
    <row r="174">
      <c r="A174" t="inlineStr">
        <is>
          <t>No</t>
        </is>
      </c>
      <c r="B174" t="inlineStr">
        <is>
          <t>QL362.75 .W55 1990</t>
        </is>
      </c>
      <c r="C174" t="inlineStr">
        <is>
          <t>0                      QL 0362750W  55          1990</t>
        </is>
      </c>
      <c r="D174" t="inlineStr">
        <is>
          <t>Invertebrate relationships : patterns in animal evolution / Pat Willmer.</t>
        </is>
      </c>
      <c r="F174" t="inlineStr">
        <is>
          <t>No</t>
        </is>
      </c>
      <c r="G174" t="inlineStr">
        <is>
          <t>1</t>
        </is>
      </c>
      <c r="H174" t="inlineStr">
        <is>
          <t>No</t>
        </is>
      </c>
      <c r="I174" t="inlineStr">
        <is>
          <t>No</t>
        </is>
      </c>
      <c r="J174" t="inlineStr">
        <is>
          <t>0</t>
        </is>
      </c>
      <c r="K174" t="inlineStr">
        <is>
          <t>Willmer, Pat, 1953-</t>
        </is>
      </c>
      <c r="L174" t="inlineStr">
        <is>
          <t>Cambridge ; New York : Cambridge University Press, 1990.</t>
        </is>
      </c>
      <c r="M174" t="inlineStr">
        <is>
          <t>1990</t>
        </is>
      </c>
      <c r="O174" t="inlineStr">
        <is>
          <t>eng</t>
        </is>
      </c>
      <c r="P174" t="inlineStr">
        <is>
          <t>enk</t>
        </is>
      </c>
      <c r="R174" t="inlineStr">
        <is>
          <t xml:space="preserve">QL </t>
        </is>
      </c>
      <c r="S174" t="n">
        <v>10</v>
      </c>
      <c r="T174" t="n">
        <v>10</v>
      </c>
      <c r="U174" t="inlineStr">
        <is>
          <t>2004-02-24</t>
        </is>
      </c>
      <c r="V174" t="inlineStr">
        <is>
          <t>2004-02-24</t>
        </is>
      </c>
      <c r="W174" t="inlineStr">
        <is>
          <t>1994-03-11</t>
        </is>
      </c>
      <c r="X174" t="inlineStr">
        <is>
          <t>1994-03-11</t>
        </is>
      </c>
      <c r="Y174" t="n">
        <v>730</v>
      </c>
      <c r="Z174" t="n">
        <v>539</v>
      </c>
      <c r="AA174" t="n">
        <v>548</v>
      </c>
      <c r="AB174" t="n">
        <v>5</v>
      </c>
      <c r="AC174" t="n">
        <v>5</v>
      </c>
      <c r="AD174" t="n">
        <v>27</v>
      </c>
      <c r="AE174" t="n">
        <v>28</v>
      </c>
      <c r="AF174" t="n">
        <v>10</v>
      </c>
      <c r="AG174" t="n">
        <v>10</v>
      </c>
      <c r="AH174" t="n">
        <v>5</v>
      </c>
      <c r="AI174" t="n">
        <v>6</v>
      </c>
      <c r="AJ174" t="n">
        <v>14</v>
      </c>
      <c r="AK174" t="n">
        <v>15</v>
      </c>
      <c r="AL174" t="n">
        <v>4</v>
      </c>
      <c r="AM174" t="n">
        <v>4</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HYPERLINK("https://creighton-primo.hosted.exlibrisgroup.com/primo-explore/search?tab=default_tab&amp;search_scope=EVERYTHING&amp;vid=01CRU&amp;lang=en_US&amp;offset=0&amp;query=any,contains,991001181099702656","Catalog Record")</f>
        <v/>
      </c>
      <c r="AT174">
        <f>HYPERLINK("http://www.worldcat.org/oclc/17108338","WorldCat Record")</f>
        <v/>
      </c>
      <c r="AU174" t="inlineStr">
        <is>
          <t>13252694:eng</t>
        </is>
      </c>
      <c r="AV174" t="inlineStr">
        <is>
          <t>17108338</t>
        </is>
      </c>
      <c r="AW174" t="inlineStr">
        <is>
          <t>991001181099702656</t>
        </is>
      </c>
      <c r="AX174" t="inlineStr">
        <is>
          <t>991001181099702656</t>
        </is>
      </c>
      <c r="AY174" t="inlineStr">
        <is>
          <t>2259412540002656</t>
        </is>
      </c>
      <c r="AZ174" t="inlineStr">
        <is>
          <t>BOOK</t>
        </is>
      </c>
      <c r="BB174" t="inlineStr">
        <is>
          <t>9780521337120</t>
        </is>
      </c>
      <c r="BC174" t="inlineStr">
        <is>
          <t>32285001856201</t>
        </is>
      </c>
      <c r="BD174" t="inlineStr">
        <is>
          <t>893438941</t>
        </is>
      </c>
    </row>
    <row r="175">
      <c r="A175" t="inlineStr">
        <is>
          <t>No</t>
        </is>
      </c>
      <c r="B175" t="inlineStr">
        <is>
          <t>QL362.8 .I578 1979</t>
        </is>
      </c>
      <c r="C175" t="inlineStr">
        <is>
          <t>0                      QL 0362800I  578         1979</t>
        </is>
      </c>
      <c r="D175" t="inlineStr">
        <is>
          <t>Invertebrate animals collection and preservation / compiled by Roger J. Lincoln &amp; J. Gordon Sheals.</t>
        </is>
      </c>
      <c r="F175" t="inlineStr">
        <is>
          <t>No</t>
        </is>
      </c>
      <c r="G175" t="inlineStr">
        <is>
          <t>1</t>
        </is>
      </c>
      <c r="H175" t="inlineStr">
        <is>
          <t>No</t>
        </is>
      </c>
      <c r="I175" t="inlineStr">
        <is>
          <t>No</t>
        </is>
      </c>
      <c r="J175" t="inlineStr">
        <is>
          <t>0</t>
        </is>
      </c>
      <c r="L175" t="inlineStr">
        <is>
          <t>London : British Museum (Natural History); Cambridge, [Eng.] ; New York : Cambridge University Press, 1979.</t>
        </is>
      </c>
      <c r="M175" t="inlineStr">
        <is>
          <t>1979</t>
        </is>
      </c>
      <c r="O175" t="inlineStr">
        <is>
          <t>eng</t>
        </is>
      </c>
      <c r="P175" t="inlineStr">
        <is>
          <t>enk</t>
        </is>
      </c>
      <c r="R175" t="inlineStr">
        <is>
          <t xml:space="preserve">QL </t>
        </is>
      </c>
      <c r="S175" t="n">
        <v>10</v>
      </c>
      <c r="T175" t="n">
        <v>10</v>
      </c>
      <c r="U175" t="inlineStr">
        <is>
          <t>2004-03-25</t>
        </is>
      </c>
      <c r="V175" t="inlineStr">
        <is>
          <t>2004-03-25</t>
        </is>
      </c>
      <c r="W175" t="inlineStr">
        <is>
          <t>1993-05-25</t>
        </is>
      </c>
      <c r="X175" t="inlineStr">
        <is>
          <t>1993-05-25</t>
        </is>
      </c>
      <c r="Y175" t="n">
        <v>510</v>
      </c>
      <c r="Z175" t="n">
        <v>341</v>
      </c>
      <c r="AA175" t="n">
        <v>353</v>
      </c>
      <c r="AB175" t="n">
        <v>5</v>
      </c>
      <c r="AC175" t="n">
        <v>5</v>
      </c>
      <c r="AD175" t="n">
        <v>13</v>
      </c>
      <c r="AE175" t="n">
        <v>13</v>
      </c>
      <c r="AF175" t="n">
        <v>2</v>
      </c>
      <c r="AG175" t="n">
        <v>2</v>
      </c>
      <c r="AH175" t="n">
        <v>4</v>
      </c>
      <c r="AI175" t="n">
        <v>4</v>
      </c>
      <c r="AJ175" t="n">
        <v>5</v>
      </c>
      <c r="AK175" t="n">
        <v>5</v>
      </c>
      <c r="AL175" t="n">
        <v>4</v>
      </c>
      <c r="AM175" t="n">
        <v>4</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HYPERLINK("https://creighton-primo.hosted.exlibrisgroup.com/primo-explore/search?tab=default_tab&amp;search_scope=EVERYTHING&amp;vid=01CRU&amp;lang=en_US&amp;offset=0&amp;query=any,contains,991004741159702656","Catalog Record")</f>
        <v/>
      </c>
      <c r="AT175">
        <f>HYPERLINK("http://www.worldcat.org/oclc/4883629","WorldCat Record")</f>
        <v/>
      </c>
      <c r="AU175" t="inlineStr">
        <is>
          <t>15076840:eng</t>
        </is>
      </c>
      <c r="AV175" t="inlineStr">
        <is>
          <t>4883629</t>
        </is>
      </c>
      <c r="AW175" t="inlineStr">
        <is>
          <t>991004741159702656</t>
        </is>
      </c>
      <c r="AX175" t="inlineStr">
        <is>
          <t>991004741159702656</t>
        </is>
      </c>
      <c r="AY175" t="inlineStr">
        <is>
          <t>2264001400002656</t>
        </is>
      </c>
      <c r="AZ175" t="inlineStr">
        <is>
          <t>BOOK</t>
        </is>
      </c>
      <c r="BB175" t="inlineStr">
        <is>
          <t>9780521228510</t>
        </is>
      </c>
      <c r="BC175" t="inlineStr">
        <is>
          <t>32285001686525</t>
        </is>
      </c>
      <c r="BD175" t="inlineStr">
        <is>
          <t>893889209</t>
        </is>
      </c>
    </row>
    <row r="176">
      <c r="A176" t="inlineStr">
        <is>
          <t>No</t>
        </is>
      </c>
      <c r="B176" t="inlineStr">
        <is>
          <t>QL362.8 .P73 1970</t>
        </is>
      </c>
      <c r="C176" t="inlineStr">
        <is>
          <t>0                      QL 0362800P  73          1970</t>
        </is>
      </c>
      <c r="D176" t="inlineStr">
        <is>
          <t>Practical invertebrate zoology : a laboratory manual for the study of the major groups of invertebrates, excluding protochordates / by F. E. G. Cox [and others] Compiled and edited by R. Phillips Dales.</t>
        </is>
      </c>
      <c r="F176" t="inlineStr">
        <is>
          <t>No</t>
        </is>
      </c>
      <c r="G176" t="inlineStr">
        <is>
          <t>1</t>
        </is>
      </c>
      <c r="H176" t="inlineStr">
        <is>
          <t>No</t>
        </is>
      </c>
      <c r="I176" t="inlineStr">
        <is>
          <t>Yes</t>
        </is>
      </c>
      <c r="J176" t="inlineStr">
        <is>
          <t>0</t>
        </is>
      </c>
      <c r="K176" t="inlineStr">
        <is>
          <t>Dales, Rodney Phillips.</t>
        </is>
      </c>
      <c r="L176" t="inlineStr">
        <is>
          <t>Seattle, University of Washington Press [1970, c1969]</t>
        </is>
      </c>
      <c r="M176" t="inlineStr">
        <is>
          <t>1970</t>
        </is>
      </c>
      <c r="O176" t="inlineStr">
        <is>
          <t>eng</t>
        </is>
      </c>
      <c r="P176" t="inlineStr">
        <is>
          <t>wau</t>
        </is>
      </c>
      <c r="Q176" t="inlineStr">
        <is>
          <t>Biology series</t>
        </is>
      </c>
      <c r="R176" t="inlineStr">
        <is>
          <t xml:space="preserve">QL </t>
        </is>
      </c>
      <c r="S176" t="n">
        <v>7</v>
      </c>
      <c r="T176" t="n">
        <v>7</v>
      </c>
      <c r="U176" t="inlineStr">
        <is>
          <t>2005-04-11</t>
        </is>
      </c>
      <c r="V176" t="inlineStr">
        <is>
          <t>2005-04-11</t>
        </is>
      </c>
      <c r="W176" t="inlineStr">
        <is>
          <t>1997-09-22</t>
        </is>
      </c>
      <c r="X176" t="inlineStr">
        <is>
          <t>1997-09-22</t>
        </is>
      </c>
      <c r="Y176" t="n">
        <v>472</v>
      </c>
      <c r="Z176" t="n">
        <v>426</v>
      </c>
      <c r="AA176" t="n">
        <v>552</v>
      </c>
      <c r="AB176" t="n">
        <v>4</v>
      </c>
      <c r="AC176" t="n">
        <v>4</v>
      </c>
      <c r="AD176" t="n">
        <v>16</v>
      </c>
      <c r="AE176" t="n">
        <v>21</v>
      </c>
      <c r="AF176" t="n">
        <v>4</v>
      </c>
      <c r="AG176" t="n">
        <v>5</v>
      </c>
      <c r="AH176" t="n">
        <v>2</v>
      </c>
      <c r="AI176" t="n">
        <v>5</v>
      </c>
      <c r="AJ176" t="n">
        <v>9</v>
      </c>
      <c r="AK176" t="n">
        <v>14</v>
      </c>
      <c r="AL176" t="n">
        <v>3</v>
      </c>
      <c r="AM176" t="n">
        <v>3</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HYPERLINK("https://creighton-primo.hosted.exlibrisgroup.com/primo-explore/search?tab=default_tab&amp;search_scope=EVERYTHING&amp;vid=01CRU&amp;lang=en_US&amp;offset=0&amp;query=any,contains,991000216019702656","Catalog Record")</f>
        <v/>
      </c>
      <c r="AT176">
        <f>HYPERLINK("http://www.worldcat.org/oclc/66802","WorldCat Record")</f>
        <v/>
      </c>
      <c r="AU176" t="inlineStr">
        <is>
          <t>469993170:eng</t>
        </is>
      </c>
      <c r="AV176" t="inlineStr">
        <is>
          <t>66802</t>
        </is>
      </c>
      <c r="AW176" t="inlineStr">
        <is>
          <t>991000216019702656</t>
        </is>
      </c>
      <c r="AX176" t="inlineStr">
        <is>
          <t>991000216019702656</t>
        </is>
      </c>
      <c r="AY176" t="inlineStr">
        <is>
          <t>2258651660002656</t>
        </is>
      </c>
      <c r="AZ176" t="inlineStr">
        <is>
          <t>BOOK</t>
        </is>
      </c>
      <c r="BC176" t="inlineStr">
        <is>
          <t>32285003174579</t>
        </is>
      </c>
      <c r="BD176" t="inlineStr">
        <is>
          <t>893601587</t>
        </is>
      </c>
    </row>
    <row r="177">
      <c r="A177" t="inlineStr">
        <is>
          <t>No</t>
        </is>
      </c>
      <c r="B177" t="inlineStr">
        <is>
          <t>QL362.8 .P73 1981</t>
        </is>
      </c>
      <c r="C177" t="inlineStr">
        <is>
          <t>0                      QL 0362800P  73          1981</t>
        </is>
      </c>
      <c r="D177" t="inlineStr">
        <is>
          <t>Practical invertebrate zoology : a laboratory manual for the study of the major groups of invertebrates, excluding protochordates / compiled and edited by R.P. Dales ; contributors, F.E.G. Cox ... [et al.].</t>
        </is>
      </c>
      <c r="F177" t="inlineStr">
        <is>
          <t>No</t>
        </is>
      </c>
      <c r="G177" t="inlineStr">
        <is>
          <t>1</t>
        </is>
      </c>
      <c r="H177" t="inlineStr">
        <is>
          <t>No</t>
        </is>
      </c>
      <c r="I177" t="inlineStr">
        <is>
          <t>Yes</t>
        </is>
      </c>
      <c r="J177" t="inlineStr">
        <is>
          <t>0</t>
        </is>
      </c>
      <c r="L177" t="inlineStr">
        <is>
          <t>New York : Wiley, 1981.</t>
        </is>
      </c>
      <c r="M177" t="inlineStr">
        <is>
          <t>1981</t>
        </is>
      </c>
      <c r="N177" t="inlineStr">
        <is>
          <t>2nd ed.</t>
        </is>
      </c>
      <c r="O177" t="inlineStr">
        <is>
          <t>eng</t>
        </is>
      </c>
      <c r="P177" t="inlineStr">
        <is>
          <t>enk</t>
        </is>
      </c>
      <c r="R177" t="inlineStr">
        <is>
          <t xml:space="preserve">QL </t>
        </is>
      </c>
      <c r="S177" t="n">
        <v>6</v>
      </c>
      <c r="T177" t="n">
        <v>6</v>
      </c>
      <c r="U177" t="inlineStr">
        <is>
          <t>2004-03-25</t>
        </is>
      </c>
      <c r="V177" t="inlineStr">
        <is>
          <t>2004-03-25</t>
        </is>
      </c>
      <c r="W177" t="inlineStr">
        <is>
          <t>1993-05-25</t>
        </is>
      </c>
      <c r="X177" t="inlineStr">
        <is>
          <t>1993-05-25</t>
        </is>
      </c>
      <c r="Y177" t="n">
        <v>169</v>
      </c>
      <c r="Z177" t="n">
        <v>157</v>
      </c>
      <c r="AA177" t="n">
        <v>552</v>
      </c>
      <c r="AB177" t="n">
        <v>2</v>
      </c>
      <c r="AC177" t="n">
        <v>4</v>
      </c>
      <c r="AD177" t="n">
        <v>7</v>
      </c>
      <c r="AE177" t="n">
        <v>21</v>
      </c>
      <c r="AF177" t="n">
        <v>1</v>
      </c>
      <c r="AG177" t="n">
        <v>5</v>
      </c>
      <c r="AH177" t="n">
        <v>2</v>
      </c>
      <c r="AI177" t="n">
        <v>5</v>
      </c>
      <c r="AJ177" t="n">
        <v>6</v>
      </c>
      <c r="AK177" t="n">
        <v>14</v>
      </c>
      <c r="AL177" t="n">
        <v>1</v>
      </c>
      <c r="AM177" t="n">
        <v>3</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HYPERLINK("https://creighton-primo.hosted.exlibrisgroup.com/primo-explore/search?tab=default_tab&amp;search_scope=EVERYTHING&amp;vid=01CRU&amp;lang=en_US&amp;offset=0&amp;query=any,contains,991005159069702656","Catalog Record")</f>
        <v/>
      </c>
      <c r="AT177">
        <f>HYPERLINK("http://www.worldcat.org/oclc/7772892","WorldCat Record")</f>
        <v/>
      </c>
      <c r="AU177" t="inlineStr">
        <is>
          <t>469993170:eng</t>
        </is>
      </c>
      <c r="AV177" t="inlineStr">
        <is>
          <t>7772892</t>
        </is>
      </c>
      <c r="AW177" t="inlineStr">
        <is>
          <t>991005159069702656</t>
        </is>
      </c>
      <c r="AX177" t="inlineStr">
        <is>
          <t>991005159069702656</t>
        </is>
      </c>
      <c r="AY177" t="inlineStr">
        <is>
          <t>2270682730002656</t>
        </is>
      </c>
      <c r="AZ177" t="inlineStr">
        <is>
          <t>BOOK</t>
        </is>
      </c>
      <c r="BC177" t="inlineStr">
        <is>
          <t>32285001686533</t>
        </is>
      </c>
      <c r="BD177" t="inlineStr">
        <is>
          <t>893783122</t>
        </is>
      </c>
    </row>
    <row r="178">
      <c r="A178" t="inlineStr">
        <is>
          <t>No</t>
        </is>
      </c>
      <c r="B178" t="inlineStr">
        <is>
          <t>QL363 .B413</t>
        </is>
      </c>
      <c r="C178" t="inlineStr">
        <is>
          <t>0                      QL 0363000B  413</t>
        </is>
      </c>
      <c r="D178" t="inlineStr">
        <is>
          <t>Principles of comparative anatomy of invertebrates [by] W. N. Beklemishev; translated [from the Russian] by J. M. MacLennan, edited by Z. Kabata.</t>
        </is>
      </c>
      <c r="F178" t="inlineStr">
        <is>
          <t>Yes</t>
        </is>
      </c>
      <c r="G178" t="inlineStr">
        <is>
          <t>1</t>
        </is>
      </c>
      <c r="H178" t="inlineStr">
        <is>
          <t>Yes</t>
        </is>
      </c>
      <c r="I178" t="inlineStr">
        <is>
          <t>No</t>
        </is>
      </c>
      <c r="J178" t="inlineStr">
        <is>
          <t>0</t>
        </is>
      </c>
      <c r="K178" t="inlineStr">
        <is>
          <t>Beklemishev, V. N. (Vladimir Nikolaevich), 1890-1962.</t>
        </is>
      </c>
      <c r="L178" t="inlineStr">
        <is>
          <t>Edinburgh, Oliver &amp; Boyd, 1969.</t>
        </is>
      </c>
      <c r="M178" t="inlineStr">
        <is>
          <t>1969</t>
        </is>
      </c>
      <c r="O178" t="inlineStr">
        <is>
          <t>eng</t>
        </is>
      </c>
      <c r="P178" t="inlineStr">
        <is>
          <t>stk</t>
        </is>
      </c>
      <c r="R178" t="inlineStr">
        <is>
          <t xml:space="preserve">QL </t>
        </is>
      </c>
      <c r="S178" t="n">
        <v>0</v>
      </c>
      <c r="T178" t="n">
        <v>1</v>
      </c>
      <c r="V178" t="inlineStr">
        <is>
          <t>2001-02-18</t>
        </is>
      </c>
      <c r="W178" t="inlineStr">
        <is>
          <t>1997-07-19</t>
        </is>
      </c>
      <c r="X178" t="inlineStr">
        <is>
          <t>1997-07-19</t>
        </is>
      </c>
      <c r="Y178" t="n">
        <v>417</v>
      </c>
      <c r="Z178" t="n">
        <v>343</v>
      </c>
      <c r="AA178" t="n">
        <v>611</v>
      </c>
      <c r="AB178" t="n">
        <v>4</v>
      </c>
      <c r="AC178" t="n">
        <v>6</v>
      </c>
      <c r="AD178" t="n">
        <v>15</v>
      </c>
      <c r="AE178" t="n">
        <v>24</v>
      </c>
      <c r="AF178" t="n">
        <v>3</v>
      </c>
      <c r="AG178" t="n">
        <v>9</v>
      </c>
      <c r="AH178" t="n">
        <v>3</v>
      </c>
      <c r="AI178" t="n">
        <v>4</v>
      </c>
      <c r="AJ178" t="n">
        <v>10</v>
      </c>
      <c r="AK178" t="n">
        <v>12</v>
      </c>
      <c r="AL178" t="n">
        <v>3</v>
      </c>
      <c r="AM178" t="n">
        <v>5</v>
      </c>
      <c r="AN178" t="n">
        <v>0</v>
      </c>
      <c r="AO178" t="n">
        <v>0</v>
      </c>
      <c r="AP178" t="inlineStr">
        <is>
          <t>No</t>
        </is>
      </c>
      <c r="AQ178" t="inlineStr">
        <is>
          <t>Yes</t>
        </is>
      </c>
      <c r="AR178">
        <f>HYPERLINK("http://catalog.hathitrust.org/Record/008335158","HathiTrust Record")</f>
        <v/>
      </c>
      <c r="AS178">
        <f>HYPERLINK("https://creighton-primo.hosted.exlibrisgroup.com/primo-explore/search?tab=default_tab&amp;search_scope=EVERYTHING&amp;vid=01CRU&amp;lang=en_US&amp;offset=0&amp;query=any,contains,991000648669702656","Catalog Record")</f>
        <v/>
      </c>
      <c r="AT178">
        <f>HYPERLINK("http://www.worldcat.org/oclc/112210","WorldCat Record")</f>
        <v/>
      </c>
      <c r="AU178" t="inlineStr">
        <is>
          <t>489927754:eng</t>
        </is>
      </c>
      <c r="AV178" t="inlineStr">
        <is>
          <t>112210</t>
        </is>
      </c>
      <c r="AW178" t="inlineStr">
        <is>
          <t>991000648669702656</t>
        </is>
      </c>
      <c r="AX178" t="inlineStr">
        <is>
          <t>991000648669702656</t>
        </is>
      </c>
      <c r="AY178" t="inlineStr">
        <is>
          <t>2268095340002656</t>
        </is>
      </c>
      <c r="AZ178" t="inlineStr">
        <is>
          <t>BOOK</t>
        </is>
      </c>
      <c r="BB178" t="inlineStr">
        <is>
          <t>9780050021897</t>
        </is>
      </c>
      <c r="BC178" t="inlineStr">
        <is>
          <t>32285002939733</t>
        </is>
      </c>
      <c r="BD178" t="inlineStr">
        <is>
          <t>893796863</t>
        </is>
      </c>
    </row>
    <row r="179">
      <c r="A179" t="inlineStr">
        <is>
          <t>No</t>
        </is>
      </c>
      <c r="B179" t="inlineStr">
        <is>
          <t>QL363 .B413 V.2</t>
        </is>
      </c>
      <c r="C179" t="inlineStr">
        <is>
          <t>0                      QL 0363000B  413                                                     V.2</t>
        </is>
      </c>
      <c r="D179" t="inlineStr">
        <is>
          <t>Principles of comparative anatomy of invertebrates [by] W. N. Beklemishev; translated [from the Russian] by J. M. MacLennan, edited by Z. Kabata.</t>
        </is>
      </c>
      <c r="E179" t="inlineStr">
        <is>
          <t>V.2*</t>
        </is>
      </c>
      <c r="F179" t="inlineStr">
        <is>
          <t>Yes</t>
        </is>
      </c>
      <c r="G179" t="inlineStr">
        <is>
          <t>1</t>
        </is>
      </c>
      <c r="H179" t="inlineStr">
        <is>
          <t>No</t>
        </is>
      </c>
      <c r="I179" t="inlineStr">
        <is>
          <t>No</t>
        </is>
      </c>
      <c r="J179" t="inlineStr">
        <is>
          <t>0</t>
        </is>
      </c>
      <c r="K179" t="inlineStr">
        <is>
          <t>Beklemishev, V. N. (Vladimir Nikolaevich), 1890-1962.</t>
        </is>
      </c>
      <c r="L179" t="inlineStr">
        <is>
          <t>Edinburgh, Oliver &amp; Boyd, 1969.</t>
        </is>
      </c>
      <c r="M179" t="inlineStr">
        <is>
          <t>1969</t>
        </is>
      </c>
      <c r="O179" t="inlineStr">
        <is>
          <t>eng</t>
        </is>
      </c>
      <c r="P179" t="inlineStr">
        <is>
          <t>stk</t>
        </is>
      </c>
      <c r="R179" t="inlineStr">
        <is>
          <t xml:space="preserve">QL </t>
        </is>
      </c>
      <c r="S179" t="n">
        <v>1</v>
      </c>
      <c r="T179" t="n">
        <v>1</v>
      </c>
      <c r="U179" t="inlineStr">
        <is>
          <t>2001-02-18</t>
        </is>
      </c>
      <c r="V179" t="inlineStr">
        <is>
          <t>2001-02-18</t>
        </is>
      </c>
      <c r="W179" t="inlineStr">
        <is>
          <t>1997-07-19</t>
        </is>
      </c>
      <c r="X179" t="inlineStr">
        <is>
          <t>1997-07-19</t>
        </is>
      </c>
      <c r="Y179" t="n">
        <v>417</v>
      </c>
      <c r="Z179" t="n">
        <v>343</v>
      </c>
      <c r="AA179" t="n">
        <v>611</v>
      </c>
      <c r="AB179" t="n">
        <v>4</v>
      </c>
      <c r="AC179" t="n">
        <v>6</v>
      </c>
      <c r="AD179" t="n">
        <v>15</v>
      </c>
      <c r="AE179" t="n">
        <v>24</v>
      </c>
      <c r="AF179" t="n">
        <v>3</v>
      </c>
      <c r="AG179" t="n">
        <v>9</v>
      </c>
      <c r="AH179" t="n">
        <v>3</v>
      </c>
      <c r="AI179" t="n">
        <v>4</v>
      </c>
      <c r="AJ179" t="n">
        <v>10</v>
      </c>
      <c r="AK179" t="n">
        <v>12</v>
      </c>
      <c r="AL179" t="n">
        <v>3</v>
      </c>
      <c r="AM179" t="n">
        <v>5</v>
      </c>
      <c r="AN179" t="n">
        <v>0</v>
      </c>
      <c r="AO179" t="n">
        <v>0</v>
      </c>
      <c r="AP179" t="inlineStr">
        <is>
          <t>No</t>
        </is>
      </c>
      <c r="AQ179" t="inlineStr">
        <is>
          <t>Yes</t>
        </is>
      </c>
      <c r="AR179">
        <f>HYPERLINK("http://catalog.hathitrust.org/Record/008335158","HathiTrust Record")</f>
        <v/>
      </c>
      <c r="AS179">
        <f>HYPERLINK("https://creighton-primo.hosted.exlibrisgroup.com/primo-explore/search?tab=default_tab&amp;search_scope=EVERYTHING&amp;vid=01CRU&amp;lang=en_US&amp;offset=0&amp;query=any,contains,991000648669702656","Catalog Record")</f>
        <v/>
      </c>
      <c r="AT179">
        <f>HYPERLINK("http://www.worldcat.org/oclc/112210","WorldCat Record")</f>
        <v/>
      </c>
      <c r="AU179" t="inlineStr">
        <is>
          <t>489927754:eng</t>
        </is>
      </c>
      <c r="AV179" t="inlineStr">
        <is>
          <t>112210</t>
        </is>
      </c>
      <c r="AW179" t="inlineStr">
        <is>
          <t>991000648669702656</t>
        </is>
      </c>
      <c r="AX179" t="inlineStr">
        <is>
          <t>991000648669702656</t>
        </is>
      </c>
      <c r="AY179" t="inlineStr">
        <is>
          <t>2268095340002656</t>
        </is>
      </c>
      <c r="AZ179" t="inlineStr">
        <is>
          <t>BOOK</t>
        </is>
      </c>
      <c r="BB179" t="inlineStr">
        <is>
          <t>9780050021897</t>
        </is>
      </c>
      <c r="BC179" t="inlineStr">
        <is>
          <t>32285002939741</t>
        </is>
      </c>
      <c r="BD179" t="inlineStr">
        <is>
          <t>893784411</t>
        </is>
      </c>
    </row>
    <row r="180">
      <c r="A180" t="inlineStr">
        <is>
          <t>No</t>
        </is>
      </c>
      <c r="B180" t="inlineStr">
        <is>
          <t>QL363 .B78</t>
        </is>
      </c>
      <c r="C180" t="inlineStr">
        <is>
          <t>0                      QL 0363000B  78</t>
        </is>
      </c>
      <c r="D180" t="inlineStr">
        <is>
          <t>Practical invertebrate anatomy.</t>
        </is>
      </c>
      <c r="F180" t="inlineStr">
        <is>
          <t>No</t>
        </is>
      </c>
      <c r="G180" t="inlineStr">
        <is>
          <t>1</t>
        </is>
      </c>
      <c r="H180" t="inlineStr">
        <is>
          <t>No</t>
        </is>
      </c>
      <c r="I180" t="inlineStr">
        <is>
          <t>No</t>
        </is>
      </c>
      <c r="J180" t="inlineStr">
        <is>
          <t>0</t>
        </is>
      </c>
      <c r="K180" t="inlineStr">
        <is>
          <t>Bullough, William Sydney, 1914-2010.</t>
        </is>
      </c>
      <c r="L180" t="inlineStr">
        <is>
          <t>London, Macmillan, 1950.</t>
        </is>
      </c>
      <c r="M180" t="inlineStr">
        <is>
          <t>1950</t>
        </is>
      </c>
      <c r="O180" t="inlineStr">
        <is>
          <t>eng</t>
        </is>
      </c>
      <c r="P180" t="inlineStr">
        <is>
          <t>enk</t>
        </is>
      </c>
      <c r="R180" t="inlineStr">
        <is>
          <t xml:space="preserve">QL </t>
        </is>
      </c>
      <c r="S180" t="n">
        <v>3</v>
      </c>
      <c r="T180" t="n">
        <v>3</v>
      </c>
      <c r="U180" t="inlineStr">
        <is>
          <t>2002-04-08</t>
        </is>
      </c>
      <c r="V180" t="inlineStr">
        <is>
          <t>2002-04-08</t>
        </is>
      </c>
      <c r="W180" t="inlineStr">
        <is>
          <t>1997-07-19</t>
        </is>
      </c>
      <c r="X180" t="inlineStr">
        <is>
          <t>1997-07-19</t>
        </is>
      </c>
      <c r="Y180" t="n">
        <v>257</v>
      </c>
      <c r="Z180" t="n">
        <v>205</v>
      </c>
      <c r="AA180" t="n">
        <v>556</v>
      </c>
      <c r="AB180" t="n">
        <v>2</v>
      </c>
      <c r="AC180" t="n">
        <v>4</v>
      </c>
      <c r="AD180" t="n">
        <v>5</v>
      </c>
      <c r="AE180" t="n">
        <v>21</v>
      </c>
      <c r="AF180" t="n">
        <v>3</v>
      </c>
      <c r="AG180" t="n">
        <v>11</v>
      </c>
      <c r="AH180" t="n">
        <v>1</v>
      </c>
      <c r="AI180" t="n">
        <v>4</v>
      </c>
      <c r="AJ180" t="n">
        <v>1</v>
      </c>
      <c r="AK180" t="n">
        <v>9</v>
      </c>
      <c r="AL180" t="n">
        <v>1</v>
      </c>
      <c r="AM180" t="n">
        <v>3</v>
      </c>
      <c r="AN180" t="n">
        <v>0</v>
      </c>
      <c r="AO180" t="n">
        <v>0</v>
      </c>
      <c r="AP180" t="inlineStr">
        <is>
          <t>No</t>
        </is>
      </c>
      <c r="AQ180" t="inlineStr">
        <is>
          <t>Yes</t>
        </is>
      </c>
      <c r="AR180">
        <f>HYPERLINK("http://catalog.hathitrust.org/Record/001499273","HathiTrust Record")</f>
        <v/>
      </c>
      <c r="AS180">
        <f>HYPERLINK("https://creighton-primo.hosted.exlibrisgroup.com/primo-explore/search?tab=default_tab&amp;search_scope=EVERYTHING&amp;vid=01CRU&amp;lang=en_US&amp;offset=0&amp;query=any,contains,991002226839702656","Catalog Record")</f>
        <v/>
      </c>
      <c r="AT180">
        <f>HYPERLINK("http://www.worldcat.org/oclc/291925","WorldCat Record")</f>
        <v/>
      </c>
      <c r="AU180" t="inlineStr">
        <is>
          <t>1476416:eng</t>
        </is>
      </c>
      <c r="AV180" t="inlineStr">
        <is>
          <t>291925</t>
        </is>
      </c>
      <c r="AW180" t="inlineStr">
        <is>
          <t>991002226839702656</t>
        </is>
      </c>
      <c r="AX180" t="inlineStr">
        <is>
          <t>991002226839702656</t>
        </is>
      </c>
      <c r="AY180" t="inlineStr">
        <is>
          <t>2268129660002656</t>
        </is>
      </c>
      <c r="AZ180" t="inlineStr">
        <is>
          <t>BOOK</t>
        </is>
      </c>
      <c r="BC180" t="inlineStr">
        <is>
          <t>32285002939758</t>
        </is>
      </c>
      <c r="BD180" t="inlineStr">
        <is>
          <t>893892294</t>
        </is>
      </c>
    </row>
    <row r="181">
      <c r="A181" t="inlineStr">
        <is>
          <t>No</t>
        </is>
      </c>
      <c r="B181" t="inlineStr">
        <is>
          <t>QL363 .F76 1999</t>
        </is>
      </c>
      <c r="C181" t="inlineStr">
        <is>
          <t>0                      QL 0363000F  76          1999</t>
        </is>
      </c>
      <c r="D181" t="inlineStr">
        <is>
          <t>Functional morphology of the invertebrate skeleton / edited by Enrico Savazzi.</t>
        </is>
      </c>
      <c r="F181" t="inlineStr">
        <is>
          <t>No</t>
        </is>
      </c>
      <c r="G181" t="inlineStr">
        <is>
          <t>1</t>
        </is>
      </c>
      <c r="H181" t="inlineStr">
        <is>
          <t>No</t>
        </is>
      </c>
      <c r="I181" t="inlineStr">
        <is>
          <t>No</t>
        </is>
      </c>
      <c r="J181" t="inlineStr">
        <is>
          <t>0</t>
        </is>
      </c>
      <c r="L181" t="inlineStr">
        <is>
          <t>Chichester ; New York : J. Wiley, c1999.</t>
        </is>
      </c>
      <c r="M181" t="inlineStr">
        <is>
          <t>1999</t>
        </is>
      </c>
      <c r="O181" t="inlineStr">
        <is>
          <t>eng</t>
        </is>
      </c>
      <c r="P181" t="inlineStr">
        <is>
          <t>enk</t>
        </is>
      </c>
      <c r="R181" t="inlineStr">
        <is>
          <t xml:space="preserve">QL </t>
        </is>
      </c>
      <c r="S181" t="n">
        <v>3</v>
      </c>
      <c r="T181" t="n">
        <v>3</v>
      </c>
      <c r="U181" t="inlineStr">
        <is>
          <t>2010-02-19</t>
        </is>
      </c>
      <c r="V181" t="inlineStr">
        <is>
          <t>2010-02-19</t>
        </is>
      </c>
      <c r="W181" t="inlineStr">
        <is>
          <t>2001-04-25</t>
        </is>
      </c>
      <c r="X181" t="inlineStr">
        <is>
          <t>2001-04-25</t>
        </is>
      </c>
      <c r="Y181" t="n">
        <v>189</v>
      </c>
      <c r="Z181" t="n">
        <v>134</v>
      </c>
      <c r="AA181" t="n">
        <v>135</v>
      </c>
      <c r="AB181" t="n">
        <v>1</v>
      </c>
      <c r="AC181" t="n">
        <v>1</v>
      </c>
      <c r="AD181" t="n">
        <v>6</v>
      </c>
      <c r="AE181" t="n">
        <v>6</v>
      </c>
      <c r="AF181" t="n">
        <v>3</v>
      </c>
      <c r="AG181" t="n">
        <v>3</v>
      </c>
      <c r="AH181" t="n">
        <v>1</v>
      </c>
      <c r="AI181" t="n">
        <v>1</v>
      </c>
      <c r="AJ181" t="n">
        <v>4</v>
      </c>
      <c r="AK181" t="n">
        <v>4</v>
      </c>
      <c r="AL181" t="n">
        <v>0</v>
      </c>
      <c r="AM181" t="n">
        <v>0</v>
      </c>
      <c r="AN181" t="n">
        <v>0</v>
      </c>
      <c r="AO181" t="n">
        <v>0</v>
      </c>
      <c r="AP181" t="inlineStr">
        <is>
          <t>No</t>
        </is>
      </c>
      <c r="AQ181" t="inlineStr">
        <is>
          <t>Yes</t>
        </is>
      </c>
      <c r="AR181">
        <f>HYPERLINK("http://catalog.hathitrust.org/Record/004005767","HathiTrust Record")</f>
        <v/>
      </c>
      <c r="AS181">
        <f>HYPERLINK("https://creighton-primo.hosted.exlibrisgroup.com/primo-explore/search?tab=default_tab&amp;search_scope=EVERYTHING&amp;vid=01CRU&amp;lang=en_US&amp;offset=0&amp;query=any,contains,991003511269702656","Catalog Record")</f>
        <v/>
      </c>
      <c r="AT181">
        <f>HYPERLINK("http://www.worldcat.org/oclc/39368506","WorldCat Record")</f>
        <v/>
      </c>
      <c r="AU181" t="inlineStr">
        <is>
          <t>56298889:eng</t>
        </is>
      </c>
      <c r="AV181" t="inlineStr">
        <is>
          <t>39368506</t>
        </is>
      </c>
      <c r="AW181" t="inlineStr">
        <is>
          <t>991003511269702656</t>
        </is>
      </c>
      <c r="AX181" t="inlineStr">
        <is>
          <t>991003511269702656</t>
        </is>
      </c>
      <c r="AY181" t="inlineStr">
        <is>
          <t>2258080770002656</t>
        </is>
      </c>
      <c r="AZ181" t="inlineStr">
        <is>
          <t>BOOK</t>
        </is>
      </c>
      <c r="BB181" t="inlineStr">
        <is>
          <t>9780471977766</t>
        </is>
      </c>
      <c r="BC181" t="inlineStr">
        <is>
          <t>32285004314919</t>
        </is>
      </c>
      <c r="BD181" t="inlineStr">
        <is>
          <t>893318050</t>
        </is>
      </c>
    </row>
    <row r="182">
      <c r="A182" t="inlineStr">
        <is>
          <t>No</t>
        </is>
      </c>
      <c r="B182" t="inlineStr">
        <is>
          <t>QL363 .M53 1991, v...</t>
        </is>
      </c>
      <c r="C182" t="inlineStr">
        <is>
          <t>0                      QL 0363000M  53          1991                                        v...</t>
        </is>
      </c>
      <c r="D182" t="inlineStr">
        <is>
          <t>Microscopic anatomy of invertebrates / treatise editor, Frederick W. Harrison.</t>
        </is>
      </c>
      <c r="E182" t="inlineStr">
        <is>
          <t>V. 14</t>
        </is>
      </c>
      <c r="F182" t="inlineStr">
        <is>
          <t>Yes</t>
        </is>
      </c>
      <c r="G182" t="inlineStr">
        <is>
          <t>1</t>
        </is>
      </c>
      <c r="H182" t="inlineStr">
        <is>
          <t>No</t>
        </is>
      </c>
      <c r="I182" t="inlineStr">
        <is>
          <t>No</t>
        </is>
      </c>
      <c r="J182" t="inlineStr">
        <is>
          <t>0</t>
        </is>
      </c>
      <c r="L182" t="inlineStr">
        <is>
          <t>New York : Wiley-Liss, c1991-</t>
        </is>
      </c>
      <c r="M182" t="inlineStr">
        <is>
          <t>1991</t>
        </is>
      </c>
      <c r="O182" t="inlineStr">
        <is>
          <t>eng</t>
        </is>
      </c>
      <c r="P182" t="inlineStr">
        <is>
          <t>nyu</t>
        </is>
      </c>
      <c r="R182" t="inlineStr">
        <is>
          <t xml:space="preserve">QL </t>
        </is>
      </c>
      <c r="S182" t="n">
        <v>0</v>
      </c>
      <c r="T182" t="n">
        <v>18</v>
      </c>
      <c r="V182" t="inlineStr">
        <is>
          <t>2010-04-30</t>
        </is>
      </c>
      <c r="W182" t="inlineStr">
        <is>
          <t>1995-10-05</t>
        </is>
      </c>
      <c r="X182" t="inlineStr">
        <is>
          <t>1999-03-23</t>
        </is>
      </c>
      <c r="Y182" t="n">
        <v>470</v>
      </c>
      <c r="Z182" t="n">
        <v>396</v>
      </c>
      <c r="AA182" t="n">
        <v>409</v>
      </c>
      <c r="AB182" t="n">
        <v>2</v>
      </c>
      <c r="AC182" t="n">
        <v>2</v>
      </c>
      <c r="AD182" t="n">
        <v>18</v>
      </c>
      <c r="AE182" t="n">
        <v>18</v>
      </c>
      <c r="AF182" t="n">
        <v>8</v>
      </c>
      <c r="AG182" t="n">
        <v>8</v>
      </c>
      <c r="AH182" t="n">
        <v>5</v>
      </c>
      <c r="AI182" t="n">
        <v>5</v>
      </c>
      <c r="AJ182" t="n">
        <v>8</v>
      </c>
      <c r="AK182" t="n">
        <v>8</v>
      </c>
      <c r="AL182" t="n">
        <v>1</v>
      </c>
      <c r="AM182" t="n">
        <v>1</v>
      </c>
      <c r="AN182" t="n">
        <v>0</v>
      </c>
      <c r="AO182" t="n">
        <v>0</v>
      </c>
      <c r="AP182" t="inlineStr">
        <is>
          <t>No</t>
        </is>
      </c>
      <c r="AQ182" t="inlineStr">
        <is>
          <t>Yes</t>
        </is>
      </c>
      <c r="AR182">
        <f>HYPERLINK("http://catalog.hathitrust.org/Record/002234921","HathiTrust Record")</f>
        <v/>
      </c>
      <c r="AS182">
        <f>HYPERLINK("https://creighton-primo.hosted.exlibrisgroup.com/primo-explore/search?tab=default_tab&amp;search_scope=EVERYTHING&amp;vid=01CRU&amp;lang=en_US&amp;offset=0&amp;query=any,contains,991001496759702656","Catalog Record")</f>
        <v/>
      </c>
      <c r="AT182">
        <f>HYPERLINK("http://www.worldcat.org/oclc/19774404","WorldCat Record")</f>
        <v/>
      </c>
      <c r="AU182" t="inlineStr">
        <is>
          <t>5092214031:eng</t>
        </is>
      </c>
      <c r="AV182" t="inlineStr">
        <is>
          <t>19774404</t>
        </is>
      </c>
      <c r="AW182" t="inlineStr">
        <is>
          <t>991001496759702656</t>
        </is>
      </c>
      <c r="AX182" t="inlineStr">
        <is>
          <t>991001496759702656</t>
        </is>
      </c>
      <c r="AY182" t="inlineStr">
        <is>
          <t>2271594430002656</t>
        </is>
      </c>
      <c r="AZ182" t="inlineStr">
        <is>
          <t>BOOK</t>
        </is>
      </c>
      <c r="BB182" t="inlineStr">
        <is>
          <t>9780471568421</t>
        </is>
      </c>
      <c r="BC182" t="inlineStr">
        <is>
          <t>32285002086758</t>
        </is>
      </c>
      <c r="BD182" t="inlineStr">
        <is>
          <t>893497126</t>
        </is>
      </c>
    </row>
    <row r="183">
      <c r="A183" t="inlineStr">
        <is>
          <t>No</t>
        </is>
      </c>
      <c r="B183" t="inlineStr">
        <is>
          <t>QL363 .M53 1991, v...</t>
        </is>
      </c>
      <c r="C183" t="inlineStr">
        <is>
          <t>0                      QL 0363000M  53          1991                                        v...</t>
        </is>
      </c>
      <c r="D183" t="inlineStr">
        <is>
          <t>Microscopic anatomy of invertebrates / treatise editor, Frederick W. Harrison.</t>
        </is>
      </c>
      <c r="E183" t="inlineStr">
        <is>
          <t>V. 6A</t>
        </is>
      </c>
      <c r="F183" t="inlineStr">
        <is>
          <t>Yes</t>
        </is>
      </c>
      <c r="G183" t="inlineStr">
        <is>
          <t>1</t>
        </is>
      </c>
      <c r="H183" t="inlineStr">
        <is>
          <t>No</t>
        </is>
      </c>
      <c r="I183" t="inlineStr">
        <is>
          <t>No</t>
        </is>
      </c>
      <c r="J183" t="inlineStr">
        <is>
          <t>0</t>
        </is>
      </c>
      <c r="L183" t="inlineStr">
        <is>
          <t>New York : Wiley-Liss, c1991-</t>
        </is>
      </c>
      <c r="M183" t="inlineStr">
        <is>
          <t>1991</t>
        </is>
      </c>
      <c r="O183" t="inlineStr">
        <is>
          <t>eng</t>
        </is>
      </c>
      <c r="P183" t="inlineStr">
        <is>
          <t>nyu</t>
        </is>
      </c>
      <c r="R183" t="inlineStr">
        <is>
          <t xml:space="preserve">QL </t>
        </is>
      </c>
      <c r="S183" t="n">
        <v>2</v>
      </c>
      <c r="T183" t="n">
        <v>18</v>
      </c>
      <c r="U183" t="inlineStr">
        <is>
          <t>2008-04-06</t>
        </is>
      </c>
      <c r="V183" t="inlineStr">
        <is>
          <t>2010-04-30</t>
        </is>
      </c>
      <c r="W183" t="inlineStr">
        <is>
          <t>1997-02-19</t>
        </is>
      </c>
      <c r="X183" t="inlineStr">
        <is>
          <t>1999-03-23</t>
        </is>
      </c>
      <c r="Y183" t="n">
        <v>470</v>
      </c>
      <c r="Z183" t="n">
        <v>396</v>
      </c>
      <c r="AA183" t="n">
        <v>409</v>
      </c>
      <c r="AB183" t="n">
        <v>2</v>
      </c>
      <c r="AC183" t="n">
        <v>2</v>
      </c>
      <c r="AD183" t="n">
        <v>18</v>
      </c>
      <c r="AE183" t="n">
        <v>18</v>
      </c>
      <c r="AF183" t="n">
        <v>8</v>
      </c>
      <c r="AG183" t="n">
        <v>8</v>
      </c>
      <c r="AH183" t="n">
        <v>5</v>
      </c>
      <c r="AI183" t="n">
        <v>5</v>
      </c>
      <c r="AJ183" t="n">
        <v>8</v>
      </c>
      <c r="AK183" t="n">
        <v>8</v>
      </c>
      <c r="AL183" t="n">
        <v>1</v>
      </c>
      <c r="AM183" t="n">
        <v>1</v>
      </c>
      <c r="AN183" t="n">
        <v>0</v>
      </c>
      <c r="AO183" t="n">
        <v>0</v>
      </c>
      <c r="AP183" t="inlineStr">
        <is>
          <t>No</t>
        </is>
      </c>
      <c r="AQ183" t="inlineStr">
        <is>
          <t>Yes</t>
        </is>
      </c>
      <c r="AR183">
        <f>HYPERLINK("http://catalog.hathitrust.org/Record/002234921","HathiTrust Record")</f>
        <v/>
      </c>
      <c r="AS183">
        <f>HYPERLINK("https://creighton-primo.hosted.exlibrisgroup.com/primo-explore/search?tab=default_tab&amp;search_scope=EVERYTHING&amp;vid=01CRU&amp;lang=en_US&amp;offset=0&amp;query=any,contains,991001496759702656","Catalog Record")</f>
        <v/>
      </c>
      <c r="AT183">
        <f>HYPERLINK("http://www.worldcat.org/oclc/19774404","WorldCat Record")</f>
        <v/>
      </c>
      <c r="AU183" t="inlineStr">
        <is>
          <t>5092214031:eng</t>
        </is>
      </c>
      <c r="AV183" t="inlineStr">
        <is>
          <t>19774404</t>
        </is>
      </c>
      <c r="AW183" t="inlineStr">
        <is>
          <t>991001496759702656</t>
        </is>
      </c>
      <c r="AX183" t="inlineStr">
        <is>
          <t>991001496759702656</t>
        </is>
      </c>
      <c r="AY183" t="inlineStr">
        <is>
          <t>2271594430002656</t>
        </is>
      </c>
      <c r="AZ183" t="inlineStr">
        <is>
          <t>BOOK</t>
        </is>
      </c>
      <c r="BB183" t="inlineStr">
        <is>
          <t>9780471568421</t>
        </is>
      </c>
      <c r="BC183" t="inlineStr">
        <is>
          <t>32285002466430</t>
        </is>
      </c>
      <c r="BD183" t="inlineStr">
        <is>
          <t>893528963</t>
        </is>
      </c>
    </row>
    <row r="184">
      <c r="A184" t="inlineStr">
        <is>
          <t>No</t>
        </is>
      </c>
      <c r="B184" t="inlineStr">
        <is>
          <t>QL363 .M53 1991, v...</t>
        </is>
      </c>
      <c r="C184" t="inlineStr">
        <is>
          <t>0                      QL 0363000M  53          1991                                        v...</t>
        </is>
      </c>
      <c r="D184" t="inlineStr">
        <is>
          <t>Microscopic anatomy of invertebrates / treatise editor, Frederick W. Harrison.</t>
        </is>
      </c>
      <c r="E184" t="inlineStr">
        <is>
          <t>V. 7</t>
        </is>
      </c>
      <c r="F184" t="inlineStr">
        <is>
          <t>Yes</t>
        </is>
      </c>
      <c r="G184" t="inlineStr">
        <is>
          <t>1</t>
        </is>
      </c>
      <c r="H184" t="inlineStr">
        <is>
          <t>No</t>
        </is>
      </c>
      <c r="I184" t="inlineStr">
        <is>
          <t>No</t>
        </is>
      </c>
      <c r="J184" t="inlineStr">
        <is>
          <t>0</t>
        </is>
      </c>
      <c r="L184" t="inlineStr">
        <is>
          <t>New York : Wiley-Liss, c1991-</t>
        </is>
      </c>
      <c r="M184" t="inlineStr">
        <is>
          <t>1991</t>
        </is>
      </c>
      <c r="O184" t="inlineStr">
        <is>
          <t>eng</t>
        </is>
      </c>
      <c r="P184" t="inlineStr">
        <is>
          <t>nyu</t>
        </is>
      </c>
      <c r="R184" t="inlineStr">
        <is>
          <t xml:space="preserve">QL </t>
        </is>
      </c>
      <c r="S184" t="n">
        <v>0</v>
      </c>
      <c r="T184" t="n">
        <v>18</v>
      </c>
      <c r="V184" t="inlineStr">
        <is>
          <t>2010-04-30</t>
        </is>
      </c>
      <c r="W184" t="inlineStr">
        <is>
          <t>1995-10-13</t>
        </is>
      </c>
      <c r="X184" t="inlineStr">
        <is>
          <t>1999-03-23</t>
        </is>
      </c>
      <c r="Y184" t="n">
        <v>470</v>
      </c>
      <c r="Z184" t="n">
        <v>396</v>
      </c>
      <c r="AA184" t="n">
        <v>409</v>
      </c>
      <c r="AB184" t="n">
        <v>2</v>
      </c>
      <c r="AC184" t="n">
        <v>2</v>
      </c>
      <c r="AD184" t="n">
        <v>18</v>
      </c>
      <c r="AE184" t="n">
        <v>18</v>
      </c>
      <c r="AF184" t="n">
        <v>8</v>
      </c>
      <c r="AG184" t="n">
        <v>8</v>
      </c>
      <c r="AH184" t="n">
        <v>5</v>
      </c>
      <c r="AI184" t="n">
        <v>5</v>
      </c>
      <c r="AJ184" t="n">
        <v>8</v>
      </c>
      <c r="AK184" t="n">
        <v>8</v>
      </c>
      <c r="AL184" t="n">
        <v>1</v>
      </c>
      <c r="AM184" t="n">
        <v>1</v>
      </c>
      <c r="AN184" t="n">
        <v>0</v>
      </c>
      <c r="AO184" t="n">
        <v>0</v>
      </c>
      <c r="AP184" t="inlineStr">
        <is>
          <t>No</t>
        </is>
      </c>
      <c r="AQ184" t="inlineStr">
        <is>
          <t>Yes</t>
        </is>
      </c>
      <c r="AR184">
        <f>HYPERLINK("http://catalog.hathitrust.org/Record/002234921","HathiTrust Record")</f>
        <v/>
      </c>
      <c r="AS184">
        <f>HYPERLINK("https://creighton-primo.hosted.exlibrisgroup.com/primo-explore/search?tab=default_tab&amp;search_scope=EVERYTHING&amp;vid=01CRU&amp;lang=en_US&amp;offset=0&amp;query=any,contains,991001496759702656","Catalog Record")</f>
        <v/>
      </c>
      <c r="AT184">
        <f>HYPERLINK("http://www.worldcat.org/oclc/19774404","WorldCat Record")</f>
        <v/>
      </c>
      <c r="AU184" t="inlineStr">
        <is>
          <t>5092214031:eng</t>
        </is>
      </c>
      <c r="AV184" t="inlineStr">
        <is>
          <t>19774404</t>
        </is>
      </c>
      <c r="AW184" t="inlineStr">
        <is>
          <t>991001496759702656</t>
        </is>
      </c>
      <c r="AX184" t="inlineStr">
        <is>
          <t>991001496759702656</t>
        </is>
      </c>
      <c r="AY184" t="inlineStr">
        <is>
          <t>2271594430002656</t>
        </is>
      </c>
      <c r="AZ184" t="inlineStr">
        <is>
          <t>BOOK</t>
        </is>
      </c>
      <c r="BB184" t="inlineStr">
        <is>
          <t>9780471568421</t>
        </is>
      </c>
      <c r="BC184" t="inlineStr">
        <is>
          <t>32285002087053</t>
        </is>
      </c>
      <c r="BD184" t="inlineStr">
        <is>
          <t>893534576</t>
        </is>
      </c>
    </row>
    <row r="185">
      <c r="A185" t="inlineStr">
        <is>
          <t>No</t>
        </is>
      </c>
      <c r="B185" t="inlineStr">
        <is>
          <t>QL363 .M53 1991, v...</t>
        </is>
      </c>
      <c r="C185" t="inlineStr">
        <is>
          <t>0                      QL 0363000M  53          1991                                        v...</t>
        </is>
      </c>
      <c r="D185" t="inlineStr">
        <is>
          <t>Microscopic anatomy of invertebrates / treatise editor, Frederick W. Harrison.</t>
        </is>
      </c>
      <c r="E185" t="inlineStr">
        <is>
          <t>V. 8C</t>
        </is>
      </c>
      <c r="F185" t="inlineStr">
        <is>
          <t>Yes</t>
        </is>
      </c>
      <c r="G185" t="inlineStr">
        <is>
          <t>1</t>
        </is>
      </c>
      <c r="H185" t="inlineStr">
        <is>
          <t>No</t>
        </is>
      </c>
      <c r="I185" t="inlineStr">
        <is>
          <t>No</t>
        </is>
      </c>
      <c r="J185" t="inlineStr">
        <is>
          <t>0</t>
        </is>
      </c>
      <c r="L185" t="inlineStr">
        <is>
          <t>New York : Wiley-Liss, c1991-</t>
        </is>
      </c>
      <c r="M185" t="inlineStr">
        <is>
          <t>1991</t>
        </is>
      </c>
      <c r="O185" t="inlineStr">
        <is>
          <t>eng</t>
        </is>
      </c>
      <c r="P185" t="inlineStr">
        <is>
          <t>nyu</t>
        </is>
      </c>
      <c r="R185" t="inlineStr">
        <is>
          <t xml:space="preserve">QL </t>
        </is>
      </c>
      <c r="S185" t="n">
        <v>0</v>
      </c>
      <c r="T185" t="n">
        <v>18</v>
      </c>
      <c r="V185" t="inlineStr">
        <is>
          <t>2010-04-30</t>
        </is>
      </c>
      <c r="W185" t="inlineStr">
        <is>
          <t>1999-03-23</t>
        </is>
      </c>
      <c r="X185" t="inlineStr">
        <is>
          <t>1999-03-23</t>
        </is>
      </c>
      <c r="Y185" t="n">
        <v>470</v>
      </c>
      <c r="Z185" t="n">
        <v>396</v>
      </c>
      <c r="AA185" t="n">
        <v>409</v>
      </c>
      <c r="AB185" t="n">
        <v>2</v>
      </c>
      <c r="AC185" t="n">
        <v>2</v>
      </c>
      <c r="AD185" t="n">
        <v>18</v>
      </c>
      <c r="AE185" t="n">
        <v>18</v>
      </c>
      <c r="AF185" t="n">
        <v>8</v>
      </c>
      <c r="AG185" t="n">
        <v>8</v>
      </c>
      <c r="AH185" t="n">
        <v>5</v>
      </c>
      <c r="AI185" t="n">
        <v>5</v>
      </c>
      <c r="AJ185" t="n">
        <v>8</v>
      </c>
      <c r="AK185" t="n">
        <v>8</v>
      </c>
      <c r="AL185" t="n">
        <v>1</v>
      </c>
      <c r="AM185" t="n">
        <v>1</v>
      </c>
      <c r="AN185" t="n">
        <v>0</v>
      </c>
      <c r="AO185" t="n">
        <v>0</v>
      </c>
      <c r="AP185" t="inlineStr">
        <is>
          <t>No</t>
        </is>
      </c>
      <c r="AQ185" t="inlineStr">
        <is>
          <t>Yes</t>
        </is>
      </c>
      <c r="AR185">
        <f>HYPERLINK("http://catalog.hathitrust.org/Record/002234921","HathiTrust Record")</f>
        <v/>
      </c>
      <c r="AS185">
        <f>HYPERLINK("https://creighton-primo.hosted.exlibrisgroup.com/primo-explore/search?tab=default_tab&amp;search_scope=EVERYTHING&amp;vid=01CRU&amp;lang=en_US&amp;offset=0&amp;query=any,contains,991001496759702656","Catalog Record")</f>
        <v/>
      </c>
      <c r="AT185">
        <f>HYPERLINK("http://www.worldcat.org/oclc/19774404","WorldCat Record")</f>
        <v/>
      </c>
      <c r="AU185" t="inlineStr">
        <is>
          <t>5092214031:eng</t>
        </is>
      </c>
      <c r="AV185" t="inlineStr">
        <is>
          <t>19774404</t>
        </is>
      </c>
      <c r="AW185" t="inlineStr">
        <is>
          <t>991001496759702656</t>
        </is>
      </c>
      <c r="AX185" t="inlineStr">
        <is>
          <t>991001496759702656</t>
        </is>
      </c>
      <c r="AY185" t="inlineStr">
        <is>
          <t>2271594430002656</t>
        </is>
      </c>
      <c r="AZ185" t="inlineStr">
        <is>
          <t>BOOK</t>
        </is>
      </c>
      <c r="BB185" t="inlineStr">
        <is>
          <t>9780471568421</t>
        </is>
      </c>
      <c r="BC185" t="inlineStr">
        <is>
          <t>32285003545414</t>
        </is>
      </c>
      <c r="BD185" t="inlineStr">
        <is>
          <t>893497123</t>
        </is>
      </c>
    </row>
    <row r="186">
      <c r="A186" t="inlineStr">
        <is>
          <t>No</t>
        </is>
      </c>
      <c r="B186" t="inlineStr">
        <is>
          <t>QL363 .M53 1991, v...</t>
        </is>
      </c>
      <c r="C186" t="inlineStr">
        <is>
          <t>0                      QL 0363000M  53          1991                                        v...</t>
        </is>
      </c>
      <c r="D186" t="inlineStr">
        <is>
          <t>Microscopic anatomy of invertebrates / treatise editor, Frederick W. Harrison.</t>
        </is>
      </c>
      <c r="E186" t="inlineStr">
        <is>
          <t>V. 11B</t>
        </is>
      </c>
      <c r="F186" t="inlineStr">
        <is>
          <t>Yes</t>
        </is>
      </c>
      <c r="G186" t="inlineStr">
        <is>
          <t>1</t>
        </is>
      </c>
      <c r="H186" t="inlineStr">
        <is>
          <t>No</t>
        </is>
      </c>
      <c r="I186" t="inlineStr">
        <is>
          <t>No</t>
        </is>
      </c>
      <c r="J186" t="inlineStr">
        <is>
          <t>0</t>
        </is>
      </c>
      <c r="L186" t="inlineStr">
        <is>
          <t>New York : Wiley-Liss, c1991-</t>
        </is>
      </c>
      <c r="M186" t="inlineStr">
        <is>
          <t>1991</t>
        </is>
      </c>
      <c r="O186" t="inlineStr">
        <is>
          <t>eng</t>
        </is>
      </c>
      <c r="P186" t="inlineStr">
        <is>
          <t>nyu</t>
        </is>
      </c>
      <c r="R186" t="inlineStr">
        <is>
          <t xml:space="preserve">QL </t>
        </is>
      </c>
      <c r="S186" t="n">
        <v>0</v>
      </c>
      <c r="T186" t="n">
        <v>18</v>
      </c>
      <c r="V186" t="inlineStr">
        <is>
          <t>2010-04-30</t>
        </is>
      </c>
      <c r="W186" t="inlineStr">
        <is>
          <t>1998-03-10</t>
        </is>
      </c>
      <c r="X186" t="inlineStr">
        <is>
          <t>1999-03-23</t>
        </is>
      </c>
      <c r="Y186" t="n">
        <v>470</v>
      </c>
      <c r="Z186" t="n">
        <v>396</v>
      </c>
      <c r="AA186" t="n">
        <v>409</v>
      </c>
      <c r="AB186" t="n">
        <v>2</v>
      </c>
      <c r="AC186" t="n">
        <v>2</v>
      </c>
      <c r="AD186" t="n">
        <v>18</v>
      </c>
      <c r="AE186" t="n">
        <v>18</v>
      </c>
      <c r="AF186" t="n">
        <v>8</v>
      </c>
      <c r="AG186" t="n">
        <v>8</v>
      </c>
      <c r="AH186" t="n">
        <v>5</v>
      </c>
      <c r="AI186" t="n">
        <v>5</v>
      </c>
      <c r="AJ186" t="n">
        <v>8</v>
      </c>
      <c r="AK186" t="n">
        <v>8</v>
      </c>
      <c r="AL186" t="n">
        <v>1</v>
      </c>
      <c r="AM186" t="n">
        <v>1</v>
      </c>
      <c r="AN186" t="n">
        <v>0</v>
      </c>
      <c r="AO186" t="n">
        <v>0</v>
      </c>
      <c r="AP186" t="inlineStr">
        <is>
          <t>No</t>
        </is>
      </c>
      <c r="AQ186" t="inlineStr">
        <is>
          <t>Yes</t>
        </is>
      </c>
      <c r="AR186">
        <f>HYPERLINK("http://catalog.hathitrust.org/Record/002234921","HathiTrust Record")</f>
        <v/>
      </c>
      <c r="AS186">
        <f>HYPERLINK("https://creighton-primo.hosted.exlibrisgroup.com/primo-explore/search?tab=default_tab&amp;search_scope=EVERYTHING&amp;vid=01CRU&amp;lang=en_US&amp;offset=0&amp;query=any,contains,991001496759702656","Catalog Record")</f>
        <v/>
      </c>
      <c r="AT186">
        <f>HYPERLINK("http://www.worldcat.org/oclc/19774404","WorldCat Record")</f>
        <v/>
      </c>
      <c r="AU186" t="inlineStr">
        <is>
          <t>5092214031:eng</t>
        </is>
      </c>
      <c r="AV186" t="inlineStr">
        <is>
          <t>19774404</t>
        </is>
      </c>
      <c r="AW186" t="inlineStr">
        <is>
          <t>991001496759702656</t>
        </is>
      </c>
      <c r="AX186" t="inlineStr">
        <is>
          <t>991001496759702656</t>
        </is>
      </c>
      <c r="AY186" t="inlineStr">
        <is>
          <t>2271594430002656</t>
        </is>
      </c>
      <c r="AZ186" t="inlineStr">
        <is>
          <t>BOOK</t>
        </is>
      </c>
      <c r="BB186" t="inlineStr">
        <is>
          <t>9780471568421</t>
        </is>
      </c>
      <c r="BC186" t="inlineStr">
        <is>
          <t>32285003357323</t>
        </is>
      </c>
      <c r="BD186" t="inlineStr">
        <is>
          <t>893503452</t>
        </is>
      </c>
    </row>
    <row r="187">
      <c r="A187" t="inlineStr">
        <is>
          <t>No</t>
        </is>
      </c>
      <c r="B187" t="inlineStr">
        <is>
          <t>QL363 .M53 1991, v...</t>
        </is>
      </c>
      <c r="C187" t="inlineStr">
        <is>
          <t>0                      QL 0363000M  53          1991                                        v...</t>
        </is>
      </c>
      <c r="D187" t="inlineStr">
        <is>
          <t>Microscopic anatomy of invertebrates / treatise editor, Frederick W. Harrison.</t>
        </is>
      </c>
      <c r="E187" t="inlineStr">
        <is>
          <t>V. 3</t>
        </is>
      </c>
      <c r="F187" t="inlineStr">
        <is>
          <t>Yes</t>
        </is>
      </c>
      <c r="G187" t="inlineStr">
        <is>
          <t>1</t>
        </is>
      </c>
      <c r="H187" t="inlineStr">
        <is>
          <t>No</t>
        </is>
      </c>
      <c r="I187" t="inlineStr">
        <is>
          <t>No</t>
        </is>
      </c>
      <c r="J187" t="inlineStr">
        <is>
          <t>0</t>
        </is>
      </c>
      <c r="L187" t="inlineStr">
        <is>
          <t>New York : Wiley-Liss, c1991-</t>
        </is>
      </c>
      <c r="M187" t="inlineStr">
        <is>
          <t>1991</t>
        </is>
      </c>
      <c r="O187" t="inlineStr">
        <is>
          <t>eng</t>
        </is>
      </c>
      <c r="P187" t="inlineStr">
        <is>
          <t>nyu</t>
        </is>
      </c>
      <c r="R187" t="inlineStr">
        <is>
          <t xml:space="preserve">QL </t>
        </is>
      </c>
      <c r="S187" t="n">
        <v>1</v>
      </c>
      <c r="T187" t="n">
        <v>18</v>
      </c>
      <c r="U187" t="inlineStr">
        <is>
          <t>2005-02-27</t>
        </is>
      </c>
      <c r="V187" t="inlineStr">
        <is>
          <t>2010-04-30</t>
        </is>
      </c>
      <c r="W187" t="inlineStr">
        <is>
          <t>1995-10-13</t>
        </is>
      </c>
      <c r="X187" t="inlineStr">
        <is>
          <t>1999-03-23</t>
        </is>
      </c>
      <c r="Y187" t="n">
        <v>470</v>
      </c>
      <c r="Z187" t="n">
        <v>396</v>
      </c>
      <c r="AA187" t="n">
        <v>409</v>
      </c>
      <c r="AB187" t="n">
        <v>2</v>
      </c>
      <c r="AC187" t="n">
        <v>2</v>
      </c>
      <c r="AD187" t="n">
        <v>18</v>
      </c>
      <c r="AE187" t="n">
        <v>18</v>
      </c>
      <c r="AF187" t="n">
        <v>8</v>
      </c>
      <c r="AG187" t="n">
        <v>8</v>
      </c>
      <c r="AH187" t="n">
        <v>5</v>
      </c>
      <c r="AI187" t="n">
        <v>5</v>
      </c>
      <c r="AJ187" t="n">
        <v>8</v>
      </c>
      <c r="AK187" t="n">
        <v>8</v>
      </c>
      <c r="AL187" t="n">
        <v>1</v>
      </c>
      <c r="AM187" t="n">
        <v>1</v>
      </c>
      <c r="AN187" t="n">
        <v>0</v>
      </c>
      <c r="AO187" t="n">
        <v>0</v>
      </c>
      <c r="AP187" t="inlineStr">
        <is>
          <t>No</t>
        </is>
      </c>
      <c r="AQ187" t="inlineStr">
        <is>
          <t>Yes</t>
        </is>
      </c>
      <c r="AR187">
        <f>HYPERLINK("http://catalog.hathitrust.org/Record/002234921","HathiTrust Record")</f>
        <v/>
      </c>
      <c r="AS187">
        <f>HYPERLINK("https://creighton-primo.hosted.exlibrisgroup.com/primo-explore/search?tab=default_tab&amp;search_scope=EVERYTHING&amp;vid=01CRU&amp;lang=en_US&amp;offset=0&amp;query=any,contains,991001496759702656","Catalog Record")</f>
        <v/>
      </c>
      <c r="AT187">
        <f>HYPERLINK("http://www.worldcat.org/oclc/19774404","WorldCat Record")</f>
        <v/>
      </c>
      <c r="AU187" t="inlineStr">
        <is>
          <t>5092214031:eng</t>
        </is>
      </c>
      <c r="AV187" t="inlineStr">
        <is>
          <t>19774404</t>
        </is>
      </c>
      <c r="AW187" t="inlineStr">
        <is>
          <t>991001496759702656</t>
        </is>
      </c>
      <c r="AX187" t="inlineStr">
        <is>
          <t>991001496759702656</t>
        </is>
      </c>
      <c r="AY187" t="inlineStr">
        <is>
          <t>2271594430002656</t>
        </is>
      </c>
      <c r="AZ187" t="inlineStr">
        <is>
          <t>BOOK</t>
        </is>
      </c>
      <c r="BB187" t="inlineStr">
        <is>
          <t>9780471568421</t>
        </is>
      </c>
      <c r="BC187" t="inlineStr">
        <is>
          <t>32285002087020</t>
        </is>
      </c>
      <c r="BD187" t="inlineStr">
        <is>
          <t>893534577</t>
        </is>
      </c>
    </row>
    <row r="188">
      <c r="A188" t="inlineStr">
        <is>
          <t>No</t>
        </is>
      </c>
      <c r="B188" t="inlineStr">
        <is>
          <t>QL363 .M53 1991, v...</t>
        </is>
      </c>
      <c r="C188" t="inlineStr">
        <is>
          <t>0                      QL 0363000M  53          1991                                        v...</t>
        </is>
      </c>
      <c r="D188" t="inlineStr">
        <is>
          <t>Microscopic anatomy of invertebrates / treatise editor, Frederick W. Harrison.</t>
        </is>
      </c>
      <c r="E188" t="inlineStr">
        <is>
          <t>V. 11A</t>
        </is>
      </c>
      <c r="F188" t="inlineStr">
        <is>
          <t>Yes</t>
        </is>
      </c>
      <c r="G188" t="inlineStr">
        <is>
          <t>1</t>
        </is>
      </c>
      <c r="H188" t="inlineStr">
        <is>
          <t>No</t>
        </is>
      </c>
      <c r="I188" t="inlineStr">
        <is>
          <t>No</t>
        </is>
      </c>
      <c r="J188" t="inlineStr">
        <is>
          <t>0</t>
        </is>
      </c>
      <c r="L188" t="inlineStr">
        <is>
          <t>New York : Wiley-Liss, c1991-</t>
        </is>
      </c>
      <c r="M188" t="inlineStr">
        <is>
          <t>1991</t>
        </is>
      </c>
      <c r="O188" t="inlineStr">
        <is>
          <t>eng</t>
        </is>
      </c>
      <c r="P188" t="inlineStr">
        <is>
          <t>nyu</t>
        </is>
      </c>
      <c r="R188" t="inlineStr">
        <is>
          <t xml:space="preserve">QL </t>
        </is>
      </c>
      <c r="S188" t="n">
        <v>0</v>
      </c>
      <c r="T188" t="n">
        <v>18</v>
      </c>
      <c r="V188" t="inlineStr">
        <is>
          <t>2010-04-30</t>
        </is>
      </c>
      <c r="W188" t="inlineStr">
        <is>
          <t>1998-03-10</t>
        </is>
      </c>
      <c r="X188" t="inlineStr">
        <is>
          <t>1999-03-23</t>
        </is>
      </c>
      <c r="Y188" t="n">
        <v>470</v>
      </c>
      <c r="Z188" t="n">
        <v>396</v>
      </c>
      <c r="AA188" t="n">
        <v>409</v>
      </c>
      <c r="AB188" t="n">
        <v>2</v>
      </c>
      <c r="AC188" t="n">
        <v>2</v>
      </c>
      <c r="AD188" t="n">
        <v>18</v>
      </c>
      <c r="AE188" t="n">
        <v>18</v>
      </c>
      <c r="AF188" t="n">
        <v>8</v>
      </c>
      <c r="AG188" t="n">
        <v>8</v>
      </c>
      <c r="AH188" t="n">
        <v>5</v>
      </c>
      <c r="AI188" t="n">
        <v>5</v>
      </c>
      <c r="AJ188" t="n">
        <v>8</v>
      </c>
      <c r="AK188" t="n">
        <v>8</v>
      </c>
      <c r="AL188" t="n">
        <v>1</v>
      </c>
      <c r="AM188" t="n">
        <v>1</v>
      </c>
      <c r="AN188" t="n">
        <v>0</v>
      </c>
      <c r="AO188" t="n">
        <v>0</v>
      </c>
      <c r="AP188" t="inlineStr">
        <is>
          <t>No</t>
        </is>
      </c>
      <c r="AQ188" t="inlineStr">
        <is>
          <t>Yes</t>
        </is>
      </c>
      <c r="AR188">
        <f>HYPERLINK("http://catalog.hathitrust.org/Record/002234921","HathiTrust Record")</f>
        <v/>
      </c>
      <c r="AS188">
        <f>HYPERLINK("https://creighton-primo.hosted.exlibrisgroup.com/primo-explore/search?tab=default_tab&amp;search_scope=EVERYTHING&amp;vid=01CRU&amp;lang=en_US&amp;offset=0&amp;query=any,contains,991001496759702656","Catalog Record")</f>
        <v/>
      </c>
      <c r="AT188">
        <f>HYPERLINK("http://www.worldcat.org/oclc/19774404","WorldCat Record")</f>
        <v/>
      </c>
      <c r="AU188" t="inlineStr">
        <is>
          <t>5092214031:eng</t>
        </is>
      </c>
      <c r="AV188" t="inlineStr">
        <is>
          <t>19774404</t>
        </is>
      </c>
      <c r="AW188" t="inlineStr">
        <is>
          <t>991001496759702656</t>
        </is>
      </c>
      <c r="AX188" t="inlineStr">
        <is>
          <t>991001496759702656</t>
        </is>
      </c>
      <c r="AY188" t="inlineStr">
        <is>
          <t>2271594430002656</t>
        </is>
      </c>
      <c r="AZ188" t="inlineStr">
        <is>
          <t>BOOK</t>
        </is>
      </c>
      <c r="BB188" t="inlineStr">
        <is>
          <t>9780471568421</t>
        </is>
      </c>
      <c r="BC188" t="inlineStr">
        <is>
          <t>32285003357315</t>
        </is>
      </c>
      <c r="BD188" t="inlineStr">
        <is>
          <t>893534574</t>
        </is>
      </c>
    </row>
    <row r="189">
      <c r="A189" t="inlineStr">
        <is>
          <t>No</t>
        </is>
      </c>
      <c r="B189" t="inlineStr">
        <is>
          <t>QL363 .M53 1991, v...</t>
        </is>
      </c>
      <c r="C189" t="inlineStr">
        <is>
          <t>0                      QL 0363000M  53          1991                                        v...</t>
        </is>
      </c>
      <c r="D189" t="inlineStr">
        <is>
          <t>Microscopic anatomy of invertebrates / treatise editor, Frederick W. Harrison.</t>
        </is>
      </c>
      <c r="E189" t="inlineStr">
        <is>
          <t>V. 6B</t>
        </is>
      </c>
      <c r="F189" t="inlineStr">
        <is>
          <t>Yes</t>
        </is>
      </c>
      <c r="G189" t="inlineStr">
        <is>
          <t>1</t>
        </is>
      </c>
      <c r="H189" t="inlineStr">
        <is>
          <t>No</t>
        </is>
      </c>
      <c r="I189" t="inlineStr">
        <is>
          <t>No</t>
        </is>
      </c>
      <c r="J189" t="inlineStr">
        <is>
          <t>0</t>
        </is>
      </c>
      <c r="L189" t="inlineStr">
        <is>
          <t>New York : Wiley-Liss, c1991-</t>
        </is>
      </c>
      <c r="M189" t="inlineStr">
        <is>
          <t>1991</t>
        </is>
      </c>
      <c r="O189" t="inlineStr">
        <is>
          <t>eng</t>
        </is>
      </c>
      <c r="P189" t="inlineStr">
        <is>
          <t>nyu</t>
        </is>
      </c>
      <c r="R189" t="inlineStr">
        <is>
          <t xml:space="preserve">QL </t>
        </is>
      </c>
      <c r="S189" t="n">
        <v>4</v>
      </c>
      <c r="T189" t="n">
        <v>18</v>
      </c>
      <c r="U189" t="inlineStr">
        <is>
          <t>2004-02-22</t>
        </is>
      </c>
      <c r="V189" t="inlineStr">
        <is>
          <t>2010-04-30</t>
        </is>
      </c>
      <c r="W189" t="inlineStr">
        <is>
          <t>1997-02-19</t>
        </is>
      </c>
      <c r="X189" t="inlineStr">
        <is>
          <t>1999-03-23</t>
        </is>
      </c>
      <c r="Y189" t="n">
        <v>470</v>
      </c>
      <c r="Z189" t="n">
        <v>396</v>
      </c>
      <c r="AA189" t="n">
        <v>409</v>
      </c>
      <c r="AB189" t="n">
        <v>2</v>
      </c>
      <c r="AC189" t="n">
        <v>2</v>
      </c>
      <c r="AD189" t="n">
        <v>18</v>
      </c>
      <c r="AE189" t="n">
        <v>18</v>
      </c>
      <c r="AF189" t="n">
        <v>8</v>
      </c>
      <c r="AG189" t="n">
        <v>8</v>
      </c>
      <c r="AH189" t="n">
        <v>5</v>
      </c>
      <c r="AI189" t="n">
        <v>5</v>
      </c>
      <c r="AJ189" t="n">
        <v>8</v>
      </c>
      <c r="AK189" t="n">
        <v>8</v>
      </c>
      <c r="AL189" t="n">
        <v>1</v>
      </c>
      <c r="AM189" t="n">
        <v>1</v>
      </c>
      <c r="AN189" t="n">
        <v>0</v>
      </c>
      <c r="AO189" t="n">
        <v>0</v>
      </c>
      <c r="AP189" t="inlineStr">
        <is>
          <t>No</t>
        </is>
      </c>
      <c r="AQ189" t="inlineStr">
        <is>
          <t>Yes</t>
        </is>
      </c>
      <c r="AR189">
        <f>HYPERLINK("http://catalog.hathitrust.org/Record/002234921","HathiTrust Record")</f>
        <v/>
      </c>
      <c r="AS189">
        <f>HYPERLINK("https://creighton-primo.hosted.exlibrisgroup.com/primo-explore/search?tab=default_tab&amp;search_scope=EVERYTHING&amp;vid=01CRU&amp;lang=en_US&amp;offset=0&amp;query=any,contains,991001496759702656","Catalog Record")</f>
        <v/>
      </c>
      <c r="AT189">
        <f>HYPERLINK("http://www.worldcat.org/oclc/19774404","WorldCat Record")</f>
        <v/>
      </c>
      <c r="AU189" t="inlineStr">
        <is>
          <t>5092214031:eng</t>
        </is>
      </c>
      <c r="AV189" t="inlineStr">
        <is>
          <t>19774404</t>
        </is>
      </c>
      <c r="AW189" t="inlineStr">
        <is>
          <t>991001496759702656</t>
        </is>
      </c>
      <c r="AX189" t="inlineStr">
        <is>
          <t>991001496759702656</t>
        </is>
      </c>
      <c r="AY189" t="inlineStr">
        <is>
          <t>2271594430002656</t>
        </is>
      </c>
      <c r="AZ189" t="inlineStr">
        <is>
          <t>BOOK</t>
        </is>
      </c>
      <c r="BB189" t="inlineStr">
        <is>
          <t>9780471568421</t>
        </is>
      </c>
      <c r="BC189" t="inlineStr">
        <is>
          <t>32285002466448</t>
        </is>
      </c>
      <c r="BD189" t="inlineStr">
        <is>
          <t>893528962</t>
        </is>
      </c>
    </row>
    <row r="190">
      <c r="A190" t="inlineStr">
        <is>
          <t>No</t>
        </is>
      </c>
      <c r="B190" t="inlineStr">
        <is>
          <t>QL363 .M53 1991, v...</t>
        </is>
      </c>
      <c r="C190" t="inlineStr">
        <is>
          <t>0                      QL 0363000M  53          1991                                        v...</t>
        </is>
      </c>
      <c r="D190" t="inlineStr">
        <is>
          <t>Microscopic anatomy of invertebrates / treatise editor, Frederick W. Harrison.</t>
        </is>
      </c>
      <c r="E190" t="inlineStr">
        <is>
          <t>V. 9</t>
        </is>
      </c>
      <c r="F190" t="inlineStr">
        <is>
          <t>Yes</t>
        </is>
      </c>
      <c r="G190" t="inlineStr">
        <is>
          <t>1</t>
        </is>
      </c>
      <c r="H190" t="inlineStr">
        <is>
          <t>No</t>
        </is>
      </c>
      <c r="I190" t="inlineStr">
        <is>
          <t>No</t>
        </is>
      </c>
      <c r="J190" t="inlineStr">
        <is>
          <t>0</t>
        </is>
      </c>
      <c r="L190" t="inlineStr">
        <is>
          <t>New York : Wiley-Liss, c1991-</t>
        </is>
      </c>
      <c r="M190" t="inlineStr">
        <is>
          <t>1991</t>
        </is>
      </c>
      <c r="O190" t="inlineStr">
        <is>
          <t>eng</t>
        </is>
      </c>
      <c r="P190" t="inlineStr">
        <is>
          <t>nyu</t>
        </is>
      </c>
      <c r="R190" t="inlineStr">
        <is>
          <t xml:space="preserve">QL </t>
        </is>
      </c>
      <c r="S190" t="n">
        <v>2</v>
      </c>
      <c r="T190" t="n">
        <v>18</v>
      </c>
      <c r="V190" t="inlineStr">
        <is>
          <t>2010-04-30</t>
        </is>
      </c>
      <c r="W190" t="inlineStr">
        <is>
          <t>1995-10-13</t>
        </is>
      </c>
      <c r="X190" t="inlineStr">
        <is>
          <t>1999-03-23</t>
        </is>
      </c>
      <c r="Y190" t="n">
        <v>470</v>
      </c>
      <c r="Z190" t="n">
        <v>396</v>
      </c>
      <c r="AA190" t="n">
        <v>409</v>
      </c>
      <c r="AB190" t="n">
        <v>2</v>
      </c>
      <c r="AC190" t="n">
        <v>2</v>
      </c>
      <c r="AD190" t="n">
        <v>18</v>
      </c>
      <c r="AE190" t="n">
        <v>18</v>
      </c>
      <c r="AF190" t="n">
        <v>8</v>
      </c>
      <c r="AG190" t="n">
        <v>8</v>
      </c>
      <c r="AH190" t="n">
        <v>5</v>
      </c>
      <c r="AI190" t="n">
        <v>5</v>
      </c>
      <c r="AJ190" t="n">
        <v>8</v>
      </c>
      <c r="AK190" t="n">
        <v>8</v>
      </c>
      <c r="AL190" t="n">
        <v>1</v>
      </c>
      <c r="AM190" t="n">
        <v>1</v>
      </c>
      <c r="AN190" t="n">
        <v>0</v>
      </c>
      <c r="AO190" t="n">
        <v>0</v>
      </c>
      <c r="AP190" t="inlineStr">
        <is>
          <t>No</t>
        </is>
      </c>
      <c r="AQ190" t="inlineStr">
        <is>
          <t>Yes</t>
        </is>
      </c>
      <c r="AR190">
        <f>HYPERLINK("http://catalog.hathitrust.org/Record/002234921","HathiTrust Record")</f>
        <v/>
      </c>
      <c r="AS190">
        <f>HYPERLINK("https://creighton-primo.hosted.exlibrisgroup.com/primo-explore/search?tab=default_tab&amp;search_scope=EVERYTHING&amp;vid=01CRU&amp;lang=en_US&amp;offset=0&amp;query=any,contains,991001496759702656","Catalog Record")</f>
        <v/>
      </c>
      <c r="AT190">
        <f>HYPERLINK("http://www.worldcat.org/oclc/19774404","WorldCat Record")</f>
        <v/>
      </c>
      <c r="AU190" t="inlineStr">
        <is>
          <t>5092214031:eng</t>
        </is>
      </c>
      <c r="AV190" t="inlineStr">
        <is>
          <t>19774404</t>
        </is>
      </c>
      <c r="AW190" t="inlineStr">
        <is>
          <t>991001496759702656</t>
        </is>
      </c>
      <c r="AX190" t="inlineStr">
        <is>
          <t>991001496759702656</t>
        </is>
      </c>
      <c r="AY190" t="inlineStr">
        <is>
          <t>2271594430002656</t>
        </is>
      </c>
      <c r="AZ190" t="inlineStr">
        <is>
          <t>BOOK</t>
        </is>
      </c>
      <c r="BB190" t="inlineStr">
        <is>
          <t>9780471568421</t>
        </is>
      </c>
      <c r="BC190" t="inlineStr">
        <is>
          <t>32285002087061</t>
        </is>
      </c>
      <c r="BD190" t="inlineStr">
        <is>
          <t>893516234</t>
        </is>
      </c>
    </row>
    <row r="191">
      <c r="A191" t="inlineStr">
        <is>
          <t>No</t>
        </is>
      </c>
      <c r="B191" t="inlineStr">
        <is>
          <t>QL363 .M53 1991, v...</t>
        </is>
      </c>
      <c r="C191" t="inlineStr">
        <is>
          <t>0                      QL 0363000M  53          1991                                        v...</t>
        </is>
      </c>
      <c r="D191" t="inlineStr">
        <is>
          <t>Microscopic anatomy of invertebrates / treatise editor, Frederick W. Harrison.</t>
        </is>
      </c>
      <c r="E191" t="inlineStr">
        <is>
          <t>V. 5</t>
        </is>
      </c>
      <c r="F191" t="inlineStr">
        <is>
          <t>Yes</t>
        </is>
      </c>
      <c r="G191" t="inlineStr">
        <is>
          <t>1</t>
        </is>
      </c>
      <c r="H191" t="inlineStr">
        <is>
          <t>No</t>
        </is>
      </c>
      <c r="I191" t="inlineStr">
        <is>
          <t>No</t>
        </is>
      </c>
      <c r="J191" t="inlineStr">
        <is>
          <t>0</t>
        </is>
      </c>
      <c r="L191" t="inlineStr">
        <is>
          <t>New York : Wiley-Liss, c1991-</t>
        </is>
      </c>
      <c r="M191" t="inlineStr">
        <is>
          <t>1991</t>
        </is>
      </c>
      <c r="O191" t="inlineStr">
        <is>
          <t>eng</t>
        </is>
      </c>
      <c r="P191" t="inlineStr">
        <is>
          <t>nyu</t>
        </is>
      </c>
      <c r="R191" t="inlineStr">
        <is>
          <t xml:space="preserve">QL </t>
        </is>
      </c>
      <c r="S191" t="n">
        <v>0</v>
      </c>
      <c r="T191" t="n">
        <v>18</v>
      </c>
      <c r="V191" t="inlineStr">
        <is>
          <t>2010-04-30</t>
        </is>
      </c>
      <c r="W191" t="inlineStr">
        <is>
          <t>1995-10-13</t>
        </is>
      </c>
      <c r="X191" t="inlineStr">
        <is>
          <t>1999-03-23</t>
        </is>
      </c>
      <c r="Y191" t="n">
        <v>470</v>
      </c>
      <c r="Z191" t="n">
        <v>396</v>
      </c>
      <c r="AA191" t="n">
        <v>409</v>
      </c>
      <c r="AB191" t="n">
        <v>2</v>
      </c>
      <c r="AC191" t="n">
        <v>2</v>
      </c>
      <c r="AD191" t="n">
        <v>18</v>
      </c>
      <c r="AE191" t="n">
        <v>18</v>
      </c>
      <c r="AF191" t="n">
        <v>8</v>
      </c>
      <c r="AG191" t="n">
        <v>8</v>
      </c>
      <c r="AH191" t="n">
        <v>5</v>
      </c>
      <c r="AI191" t="n">
        <v>5</v>
      </c>
      <c r="AJ191" t="n">
        <v>8</v>
      </c>
      <c r="AK191" t="n">
        <v>8</v>
      </c>
      <c r="AL191" t="n">
        <v>1</v>
      </c>
      <c r="AM191" t="n">
        <v>1</v>
      </c>
      <c r="AN191" t="n">
        <v>0</v>
      </c>
      <c r="AO191" t="n">
        <v>0</v>
      </c>
      <c r="AP191" t="inlineStr">
        <is>
          <t>No</t>
        </is>
      </c>
      <c r="AQ191" t="inlineStr">
        <is>
          <t>Yes</t>
        </is>
      </c>
      <c r="AR191">
        <f>HYPERLINK("http://catalog.hathitrust.org/Record/002234921","HathiTrust Record")</f>
        <v/>
      </c>
      <c r="AS191">
        <f>HYPERLINK("https://creighton-primo.hosted.exlibrisgroup.com/primo-explore/search?tab=default_tab&amp;search_scope=EVERYTHING&amp;vid=01CRU&amp;lang=en_US&amp;offset=0&amp;query=any,contains,991001496759702656","Catalog Record")</f>
        <v/>
      </c>
      <c r="AT191">
        <f>HYPERLINK("http://www.worldcat.org/oclc/19774404","WorldCat Record")</f>
        <v/>
      </c>
      <c r="AU191" t="inlineStr">
        <is>
          <t>5092214031:eng</t>
        </is>
      </c>
      <c r="AV191" t="inlineStr">
        <is>
          <t>19774404</t>
        </is>
      </c>
      <c r="AW191" t="inlineStr">
        <is>
          <t>991001496759702656</t>
        </is>
      </c>
      <c r="AX191" t="inlineStr">
        <is>
          <t>991001496759702656</t>
        </is>
      </c>
      <c r="AY191" t="inlineStr">
        <is>
          <t>2271594430002656</t>
        </is>
      </c>
      <c r="AZ191" t="inlineStr">
        <is>
          <t>BOOK</t>
        </is>
      </c>
      <c r="BB191" t="inlineStr">
        <is>
          <t>9780471568421</t>
        </is>
      </c>
      <c r="BC191" t="inlineStr">
        <is>
          <t>32285002087046</t>
        </is>
      </c>
      <c r="BD191" t="inlineStr">
        <is>
          <t>893497124</t>
        </is>
      </c>
    </row>
    <row r="192">
      <c r="A192" t="inlineStr">
        <is>
          <t>No</t>
        </is>
      </c>
      <c r="B192" t="inlineStr">
        <is>
          <t>QL363 .M53 1991, v...</t>
        </is>
      </c>
      <c r="C192" t="inlineStr">
        <is>
          <t>0                      QL 0363000M  53          1991                                        v...</t>
        </is>
      </c>
      <c r="D192" t="inlineStr">
        <is>
          <t>Microscopic anatomy of invertebrates / treatise editor, Frederick W. Harrison.</t>
        </is>
      </c>
      <c r="E192" t="inlineStr">
        <is>
          <t>V. 13</t>
        </is>
      </c>
      <c r="F192" t="inlineStr">
        <is>
          <t>Yes</t>
        </is>
      </c>
      <c r="G192" t="inlineStr">
        <is>
          <t>1</t>
        </is>
      </c>
      <c r="H192" t="inlineStr">
        <is>
          <t>No</t>
        </is>
      </c>
      <c r="I192" t="inlineStr">
        <is>
          <t>No</t>
        </is>
      </c>
      <c r="J192" t="inlineStr">
        <is>
          <t>0</t>
        </is>
      </c>
      <c r="L192" t="inlineStr">
        <is>
          <t>New York : Wiley-Liss, c1991-</t>
        </is>
      </c>
      <c r="M192" t="inlineStr">
        <is>
          <t>1991</t>
        </is>
      </c>
      <c r="O192" t="inlineStr">
        <is>
          <t>eng</t>
        </is>
      </c>
      <c r="P192" t="inlineStr">
        <is>
          <t>nyu</t>
        </is>
      </c>
      <c r="R192" t="inlineStr">
        <is>
          <t xml:space="preserve">QL </t>
        </is>
      </c>
      <c r="S192" t="n">
        <v>1</v>
      </c>
      <c r="T192" t="n">
        <v>18</v>
      </c>
      <c r="V192" t="inlineStr">
        <is>
          <t>2010-04-30</t>
        </is>
      </c>
      <c r="W192" t="inlineStr">
        <is>
          <t>1997-06-10</t>
        </is>
      </c>
      <c r="X192" t="inlineStr">
        <is>
          <t>1999-03-23</t>
        </is>
      </c>
      <c r="Y192" t="n">
        <v>470</v>
      </c>
      <c r="Z192" t="n">
        <v>396</v>
      </c>
      <c r="AA192" t="n">
        <v>409</v>
      </c>
      <c r="AB192" t="n">
        <v>2</v>
      </c>
      <c r="AC192" t="n">
        <v>2</v>
      </c>
      <c r="AD192" t="n">
        <v>18</v>
      </c>
      <c r="AE192" t="n">
        <v>18</v>
      </c>
      <c r="AF192" t="n">
        <v>8</v>
      </c>
      <c r="AG192" t="n">
        <v>8</v>
      </c>
      <c r="AH192" t="n">
        <v>5</v>
      </c>
      <c r="AI192" t="n">
        <v>5</v>
      </c>
      <c r="AJ192" t="n">
        <v>8</v>
      </c>
      <c r="AK192" t="n">
        <v>8</v>
      </c>
      <c r="AL192" t="n">
        <v>1</v>
      </c>
      <c r="AM192" t="n">
        <v>1</v>
      </c>
      <c r="AN192" t="n">
        <v>0</v>
      </c>
      <c r="AO192" t="n">
        <v>0</v>
      </c>
      <c r="AP192" t="inlineStr">
        <is>
          <t>No</t>
        </is>
      </c>
      <c r="AQ192" t="inlineStr">
        <is>
          <t>Yes</t>
        </is>
      </c>
      <c r="AR192">
        <f>HYPERLINK("http://catalog.hathitrust.org/Record/002234921","HathiTrust Record")</f>
        <v/>
      </c>
      <c r="AS192">
        <f>HYPERLINK("https://creighton-primo.hosted.exlibrisgroup.com/primo-explore/search?tab=default_tab&amp;search_scope=EVERYTHING&amp;vid=01CRU&amp;lang=en_US&amp;offset=0&amp;query=any,contains,991001496759702656","Catalog Record")</f>
        <v/>
      </c>
      <c r="AT192">
        <f>HYPERLINK("http://www.worldcat.org/oclc/19774404","WorldCat Record")</f>
        <v/>
      </c>
      <c r="AU192" t="inlineStr">
        <is>
          <t>5092214031:eng</t>
        </is>
      </c>
      <c r="AV192" t="inlineStr">
        <is>
          <t>19774404</t>
        </is>
      </c>
      <c r="AW192" t="inlineStr">
        <is>
          <t>991001496759702656</t>
        </is>
      </c>
      <c r="AX192" t="inlineStr">
        <is>
          <t>991001496759702656</t>
        </is>
      </c>
      <c r="AY192" t="inlineStr">
        <is>
          <t>2271594430002656</t>
        </is>
      </c>
      <c r="AZ192" t="inlineStr">
        <is>
          <t>BOOK</t>
        </is>
      </c>
      <c r="BB192" t="inlineStr">
        <is>
          <t>9780471568421</t>
        </is>
      </c>
      <c r="BC192" t="inlineStr">
        <is>
          <t>32285002756764</t>
        </is>
      </c>
      <c r="BD192" t="inlineStr">
        <is>
          <t>893528958</t>
        </is>
      </c>
    </row>
    <row r="193">
      <c r="A193" t="inlineStr">
        <is>
          <t>No</t>
        </is>
      </c>
      <c r="B193" t="inlineStr">
        <is>
          <t>QL363 .M53 1991, v...</t>
        </is>
      </c>
      <c r="C193" t="inlineStr">
        <is>
          <t>0                      QL 0363000M  53          1991                                        v...</t>
        </is>
      </c>
      <c r="D193" t="inlineStr">
        <is>
          <t>Microscopic anatomy of invertebrates / treatise editor, Frederick W. Harrison.</t>
        </is>
      </c>
      <c r="E193" t="inlineStr">
        <is>
          <t>V. 1</t>
        </is>
      </c>
      <c r="F193" t="inlineStr">
        <is>
          <t>Yes</t>
        </is>
      </c>
      <c r="G193" t="inlineStr">
        <is>
          <t>1</t>
        </is>
      </c>
      <c r="H193" t="inlineStr">
        <is>
          <t>No</t>
        </is>
      </c>
      <c r="I193" t="inlineStr">
        <is>
          <t>No</t>
        </is>
      </c>
      <c r="J193" t="inlineStr">
        <is>
          <t>0</t>
        </is>
      </c>
      <c r="L193" t="inlineStr">
        <is>
          <t>New York : Wiley-Liss, c1991-</t>
        </is>
      </c>
      <c r="M193" t="inlineStr">
        <is>
          <t>1991</t>
        </is>
      </c>
      <c r="O193" t="inlineStr">
        <is>
          <t>eng</t>
        </is>
      </c>
      <c r="P193" t="inlineStr">
        <is>
          <t>nyu</t>
        </is>
      </c>
      <c r="R193" t="inlineStr">
        <is>
          <t xml:space="preserve">QL </t>
        </is>
      </c>
      <c r="S193" t="n">
        <v>1</v>
      </c>
      <c r="T193" t="n">
        <v>18</v>
      </c>
      <c r="V193" t="inlineStr">
        <is>
          <t>2010-04-30</t>
        </is>
      </c>
      <c r="W193" t="inlineStr">
        <is>
          <t>1994-02-03</t>
        </is>
      </c>
      <c r="X193" t="inlineStr">
        <is>
          <t>1999-03-23</t>
        </is>
      </c>
      <c r="Y193" t="n">
        <v>470</v>
      </c>
      <c r="Z193" t="n">
        <v>396</v>
      </c>
      <c r="AA193" t="n">
        <v>409</v>
      </c>
      <c r="AB193" t="n">
        <v>2</v>
      </c>
      <c r="AC193" t="n">
        <v>2</v>
      </c>
      <c r="AD193" t="n">
        <v>18</v>
      </c>
      <c r="AE193" t="n">
        <v>18</v>
      </c>
      <c r="AF193" t="n">
        <v>8</v>
      </c>
      <c r="AG193" t="n">
        <v>8</v>
      </c>
      <c r="AH193" t="n">
        <v>5</v>
      </c>
      <c r="AI193" t="n">
        <v>5</v>
      </c>
      <c r="AJ193" t="n">
        <v>8</v>
      </c>
      <c r="AK193" t="n">
        <v>8</v>
      </c>
      <c r="AL193" t="n">
        <v>1</v>
      </c>
      <c r="AM193" t="n">
        <v>1</v>
      </c>
      <c r="AN193" t="n">
        <v>0</v>
      </c>
      <c r="AO193" t="n">
        <v>0</v>
      </c>
      <c r="AP193" t="inlineStr">
        <is>
          <t>No</t>
        </is>
      </c>
      <c r="AQ193" t="inlineStr">
        <is>
          <t>Yes</t>
        </is>
      </c>
      <c r="AR193">
        <f>HYPERLINK("http://catalog.hathitrust.org/Record/002234921","HathiTrust Record")</f>
        <v/>
      </c>
      <c r="AS193">
        <f>HYPERLINK("https://creighton-primo.hosted.exlibrisgroup.com/primo-explore/search?tab=default_tab&amp;search_scope=EVERYTHING&amp;vid=01CRU&amp;lang=en_US&amp;offset=0&amp;query=any,contains,991001496759702656","Catalog Record")</f>
        <v/>
      </c>
      <c r="AT193">
        <f>HYPERLINK("http://www.worldcat.org/oclc/19774404","WorldCat Record")</f>
        <v/>
      </c>
      <c r="AU193" t="inlineStr">
        <is>
          <t>5092214031:eng</t>
        </is>
      </c>
      <c r="AV193" t="inlineStr">
        <is>
          <t>19774404</t>
        </is>
      </c>
      <c r="AW193" t="inlineStr">
        <is>
          <t>991001496759702656</t>
        </is>
      </c>
      <c r="AX193" t="inlineStr">
        <is>
          <t>991001496759702656</t>
        </is>
      </c>
      <c r="AY193" t="inlineStr">
        <is>
          <t>2271594430002656</t>
        </is>
      </c>
      <c r="AZ193" t="inlineStr">
        <is>
          <t>BOOK</t>
        </is>
      </c>
      <c r="BB193" t="inlineStr">
        <is>
          <t>9780471568421</t>
        </is>
      </c>
      <c r="BC193" t="inlineStr">
        <is>
          <t>32285001834885</t>
        </is>
      </c>
      <c r="BD193" t="inlineStr">
        <is>
          <t>893534578</t>
        </is>
      </c>
    </row>
    <row r="194">
      <c r="A194" t="inlineStr">
        <is>
          <t>No</t>
        </is>
      </c>
      <c r="B194" t="inlineStr">
        <is>
          <t>QL363 .M53 1991, v...</t>
        </is>
      </c>
      <c r="C194" t="inlineStr">
        <is>
          <t>0                      QL 0363000M  53          1991                                        v...</t>
        </is>
      </c>
      <c r="D194" t="inlineStr">
        <is>
          <t>Microscopic anatomy of invertebrates / treatise editor, Frederick W. Harrison.</t>
        </is>
      </c>
      <c r="E194" t="inlineStr">
        <is>
          <t>V. 11C</t>
        </is>
      </c>
      <c r="F194" t="inlineStr">
        <is>
          <t>Yes</t>
        </is>
      </c>
      <c r="G194" t="inlineStr">
        <is>
          <t>1</t>
        </is>
      </c>
      <c r="H194" t="inlineStr">
        <is>
          <t>No</t>
        </is>
      </c>
      <c r="I194" t="inlineStr">
        <is>
          <t>No</t>
        </is>
      </c>
      <c r="J194" t="inlineStr">
        <is>
          <t>0</t>
        </is>
      </c>
      <c r="L194" t="inlineStr">
        <is>
          <t>New York : Wiley-Liss, c1991-</t>
        </is>
      </c>
      <c r="M194" t="inlineStr">
        <is>
          <t>1991</t>
        </is>
      </c>
      <c r="O194" t="inlineStr">
        <is>
          <t>eng</t>
        </is>
      </c>
      <c r="P194" t="inlineStr">
        <is>
          <t>nyu</t>
        </is>
      </c>
      <c r="R194" t="inlineStr">
        <is>
          <t xml:space="preserve">QL </t>
        </is>
      </c>
      <c r="S194" t="n">
        <v>0</v>
      </c>
      <c r="T194" t="n">
        <v>18</v>
      </c>
      <c r="V194" t="inlineStr">
        <is>
          <t>2010-04-30</t>
        </is>
      </c>
      <c r="W194" t="inlineStr">
        <is>
          <t>1998-03-10</t>
        </is>
      </c>
      <c r="X194" t="inlineStr">
        <is>
          <t>1999-03-23</t>
        </is>
      </c>
      <c r="Y194" t="n">
        <v>470</v>
      </c>
      <c r="Z194" t="n">
        <v>396</v>
      </c>
      <c r="AA194" t="n">
        <v>409</v>
      </c>
      <c r="AB194" t="n">
        <v>2</v>
      </c>
      <c r="AC194" t="n">
        <v>2</v>
      </c>
      <c r="AD194" t="n">
        <v>18</v>
      </c>
      <c r="AE194" t="n">
        <v>18</v>
      </c>
      <c r="AF194" t="n">
        <v>8</v>
      </c>
      <c r="AG194" t="n">
        <v>8</v>
      </c>
      <c r="AH194" t="n">
        <v>5</v>
      </c>
      <c r="AI194" t="n">
        <v>5</v>
      </c>
      <c r="AJ194" t="n">
        <v>8</v>
      </c>
      <c r="AK194" t="n">
        <v>8</v>
      </c>
      <c r="AL194" t="n">
        <v>1</v>
      </c>
      <c r="AM194" t="n">
        <v>1</v>
      </c>
      <c r="AN194" t="n">
        <v>0</v>
      </c>
      <c r="AO194" t="n">
        <v>0</v>
      </c>
      <c r="AP194" t="inlineStr">
        <is>
          <t>No</t>
        </is>
      </c>
      <c r="AQ194" t="inlineStr">
        <is>
          <t>Yes</t>
        </is>
      </c>
      <c r="AR194">
        <f>HYPERLINK("http://catalog.hathitrust.org/Record/002234921","HathiTrust Record")</f>
        <v/>
      </c>
      <c r="AS194">
        <f>HYPERLINK("https://creighton-primo.hosted.exlibrisgroup.com/primo-explore/search?tab=default_tab&amp;search_scope=EVERYTHING&amp;vid=01CRU&amp;lang=en_US&amp;offset=0&amp;query=any,contains,991001496759702656","Catalog Record")</f>
        <v/>
      </c>
      <c r="AT194">
        <f>HYPERLINK("http://www.worldcat.org/oclc/19774404","WorldCat Record")</f>
        <v/>
      </c>
      <c r="AU194" t="inlineStr">
        <is>
          <t>5092214031:eng</t>
        </is>
      </c>
      <c r="AV194" t="inlineStr">
        <is>
          <t>19774404</t>
        </is>
      </c>
      <c r="AW194" t="inlineStr">
        <is>
          <t>991001496759702656</t>
        </is>
      </c>
      <c r="AX194" t="inlineStr">
        <is>
          <t>991001496759702656</t>
        </is>
      </c>
      <c r="AY194" t="inlineStr">
        <is>
          <t>2271594430002656</t>
        </is>
      </c>
      <c r="AZ194" t="inlineStr">
        <is>
          <t>BOOK</t>
        </is>
      </c>
      <c r="BB194" t="inlineStr">
        <is>
          <t>9780471568421</t>
        </is>
      </c>
      <c r="BC194" t="inlineStr">
        <is>
          <t>32285003357331</t>
        </is>
      </c>
      <c r="BD194" t="inlineStr">
        <is>
          <t>893534573</t>
        </is>
      </c>
    </row>
    <row r="195">
      <c r="A195" t="inlineStr">
        <is>
          <t>No</t>
        </is>
      </c>
      <c r="B195" t="inlineStr">
        <is>
          <t>QL363 .M53 1991, v...</t>
        </is>
      </c>
      <c r="C195" t="inlineStr">
        <is>
          <t>0                      QL 0363000M  53          1991                                        v...</t>
        </is>
      </c>
      <c r="D195" t="inlineStr">
        <is>
          <t>Microscopic anatomy of invertebrates / treatise editor, Frederick W. Harrison.</t>
        </is>
      </c>
      <c r="E195" t="inlineStr">
        <is>
          <t>V. 8B</t>
        </is>
      </c>
      <c r="F195" t="inlineStr">
        <is>
          <t>Yes</t>
        </is>
      </c>
      <c r="G195" t="inlineStr">
        <is>
          <t>1</t>
        </is>
      </c>
      <c r="H195" t="inlineStr">
        <is>
          <t>No</t>
        </is>
      </c>
      <c r="I195" t="inlineStr">
        <is>
          <t>No</t>
        </is>
      </c>
      <c r="J195" t="inlineStr">
        <is>
          <t>0</t>
        </is>
      </c>
      <c r="L195" t="inlineStr">
        <is>
          <t>New York : Wiley-Liss, c1991-</t>
        </is>
      </c>
      <c r="M195" t="inlineStr">
        <is>
          <t>1991</t>
        </is>
      </c>
      <c r="O195" t="inlineStr">
        <is>
          <t>eng</t>
        </is>
      </c>
      <c r="P195" t="inlineStr">
        <is>
          <t>nyu</t>
        </is>
      </c>
      <c r="R195" t="inlineStr">
        <is>
          <t xml:space="preserve">QL </t>
        </is>
      </c>
      <c r="S195" t="n">
        <v>0</v>
      </c>
      <c r="T195" t="n">
        <v>18</v>
      </c>
      <c r="V195" t="inlineStr">
        <is>
          <t>2010-04-30</t>
        </is>
      </c>
      <c r="W195" t="inlineStr">
        <is>
          <t>1999-03-23</t>
        </is>
      </c>
      <c r="X195" t="inlineStr">
        <is>
          <t>1999-03-23</t>
        </is>
      </c>
      <c r="Y195" t="n">
        <v>470</v>
      </c>
      <c r="Z195" t="n">
        <v>396</v>
      </c>
      <c r="AA195" t="n">
        <v>409</v>
      </c>
      <c r="AB195" t="n">
        <v>2</v>
      </c>
      <c r="AC195" t="n">
        <v>2</v>
      </c>
      <c r="AD195" t="n">
        <v>18</v>
      </c>
      <c r="AE195" t="n">
        <v>18</v>
      </c>
      <c r="AF195" t="n">
        <v>8</v>
      </c>
      <c r="AG195" t="n">
        <v>8</v>
      </c>
      <c r="AH195" t="n">
        <v>5</v>
      </c>
      <c r="AI195" t="n">
        <v>5</v>
      </c>
      <c r="AJ195" t="n">
        <v>8</v>
      </c>
      <c r="AK195" t="n">
        <v>8</v>
      </c>
      <c r="AL195" t="n">
        <v>1</v>
      </c>
      <c r="AM195" t="n">
        <v>1</v>
      </c>
      <c r="AN195" t="n">
        <v>0</v>
      </c>
      <c r="AO195" t="n">
        <v>0</v>
      </c>
      <c r="AP195" t="inlineStr">
        <is>
          <t>No</t>
        </is>
      </c>
      <c r="AQ195" t="inlineStr">
        <is>
          <t>Yes</t>
        </is>
      </c>
      <c r="AR195">
        <f>HYPERLINK("http://catalog.hathitrust.org/Record/002234921","HathiTrust Record")</f>
        <v/>
      </c>
      <c r="AS195">
        <f>HYPERLINK("https://creighton-primo.hosted.exlibrisgroup.com/primo-explore/search?tab=default_tab&amp;search_scope=EVERYTHING&amp;vid=01CRU&amp;lang=en_US&amp;offset=0&amp;query=any,contains,991001496759702656","Catalog Record")</f>
        <v/>
      </c>
      <c r="AT195">
        <f>HYPERLINK("http://www.worldcat.org/oclc/19774404","WorldCat Record")</f>
        <v/>
      </c>
      <c r="AU195" t="inlineStr">
        <is>
          <t>5092214031:eng</t>
        </is>
      </c>
      <c r="AV195" t="inlineStr">
        <is>
          <t>19774404</t>
        </is>
      </c>
      <c r="AW195" t="inlineStr">
        <is>
          <t>991001496759702656</t>
        </is>
      </c>
      <c r="AX195" t="inlineStr">
        <is>
          <t>991001496759702656</t>
        </is>
      </c>
      <c r="AY195" t="inlineStr">
        <is>
          <t>2271594430002656</t>
        </is>
      </c>
      <c r="AZ195" t="inlineStr">
        <is>
          <t>BOOK</t>
        </is>
      </c>
      <c r="BB195" t="inlineStr">
        <is>
          <t>9780471568421</t>
        </is>
      </c>
      <c r="BC195" t="inlineStr">
        <is>
          <t>32285003545406</t>
        </is>
      </c>
      <c r="BD195" t="inlineStr">
        <is>
          <t>893516233</t>
        </is>
      </c>
    </row>
    <row r="196">
      <c r="A196" t="inlineStr">
        <is>
          <t>No</t>
        </is>
      </c>
      <c r="B196" t="inlineStr">
        <is>
          <t>QL363 .M53 1991, v...</t>
        </is>
      </c>
      <c r="C196" t="inlineStr">
        <is>
          <t>0                      QL 0363000M  53          1991                                        v...</t>
        </is>
      </c>
      <c r="D196" t="inlineStr">
        <is>
          <t>Microscopic anatomy of invertebrates / treatise editor, Frederick W. Harrison.</t>
        </is>
      </c>
      <c r="E196" t="inlineStr">
        <is>
          <t>V. 2</t>
        </is>
      </c>
      <c r="F196" t="inlineStr">
        <is>
          <t>Yes</t>
        </is>
      </c>
      <c r="G196" t="inlineStr">
        <is>
          <t>1</t>
        </is>
      </c>
      <c r="H196" t="inlineStr">
        <is>
          <t>No</t>
        </is>
      </c>
      <c r="I196" t="inlineStr">
        <is>
          <t>No</t>
        </is>
      </c>
      <c r="J196" t="inlineStr">
        <is>
          <t>0</t>
        </is>
      </c>
      <c r="L196" t="inlineStr">
        <is>
          <t>New York : Wiley-Liss, c1991-</t>
        </is>
      </c>
      <c r="M196" t="inlineStr">
        <is>
          <t>1991</t>
        </is>
      </c>
      <c r="O196" t="inlineStr">
        <is>
          <t>eng</t>
        </is>
      </c>
      <c r="P196" t="inlineStr">
        <is>
          <t>nyu</t>
        </is>
      </c>
      <c r="R196" t="inlineStr">
        <is>
          <t xml:space="preserve">QL </t>
        </is>
      </c>
      <c r="S196" t="n">
        <v>7</v>
      </c>
      <c r="T196" t="n">
        <v>18</v>
      </c>
      <c r="U196" t="inlineStr">
        <is>
          <t>2010-04-30</t>
        </is>
      </c>
      <c r="V196" t="inlineStr">
        <is>
          <t>2010-04-30</t>
        </is>
      </c>
      <c r="W196" t="inlineStr">
        <is>
          <t>1995-10-13</t>
        </is>
      </c>
      <c r="X196" t="inlineStr">
        <is>
          <t>1999-03-23</t>
        </is>
      </c>
      <c r="Y196" t="n">
        <v>470</v>
      </c>
      <c r="Z196" t="n">
        <v>396</v>
      </c>
      <c r="AA196" t="n">
        <v>409</v>
      </c>
      <c r="AB196" t="n">
        <v>2</v>
      </c>
      <c r="AC196" t="n">
        <v>2</v>
      </c>
      <c r="AD196" t="n">
        <v>18</v>
      </c>
      <c r="AE196" t="n">
        <v>18</v>
      </c>
      <c r="AF196" t="n">
        <v>8</v>
      </c>
      <c r="AG196" t="n">
        <v>8</v>
      </c>
      <c r="AH196" t="n">
        <v>5</v>
      </c>
      <c r="AI196" t="n">
        <v>5</v>
      </c>
      <c r="AJ196" t="n">
        <v>8</v>
      </c>
      <c r="AK196" t="n">
        <v>8</v>
      </c>
      <c r="AL196" t="n">
        <v>1</v>
      </c>
      <c r="AM196" t="n">
        <v>1</v>
      </c>
      <c r="AN196" t="n">
        <v>0</v>
      </c>
      <c r="AO196" t="n">
        <v>0</v>
      </c>
      <c r="AP196" t="inlineStr">
        <is>
          <t>No</t>
        </is>
      </c>
      <c r="AQ196" t="inlineStr">
        <is>
          <t>Yes</t>
        </is>
      </c>
      <c r="AR196">
        <f>HYPERLINK("http://catalog.hathitrust.org/Record/002234921","HathiTrust Record")</f>
        <v/>
      </c>
      <c r="AS196">
        <f>HYPERLINK("https://creighton-primo.hosted.exlibrisgroup.com/primo-explore/search?tab=default_tab&amp;search_scope=EVERYTHING&amp;vid=01CRU&amp;lang=en_US&amp;offset=0&amp;query=any,contains,991001496759702656","Catalog Record")</f>
        <v/>
      </c>
      <c r="AT196">
        <f>HYPERLINK("http://www.worldcat.org/oclc/19774404","WorldCat Record")</f>
        <v/>
      </c>
      <c r="AU196" t="inlineStr">
        <is>
          <t>5092214031:eng</t>
        </is>
      </c>
      <c r="AV196" t="inlineStr">
        <is>
          <t>19774404</t>
        </is>
      </c>
      <c r="AW196" t="inlineStr">
        <is>
          <t>991001496759702656</t>
        </is>
      </c>
      <c r="AX196" t="inlineStr">
        <is>
          <t>991001496759702656</t>
        </is>
      </c>
      <c r="AY196" t="inlineStr">
        <is>
          <t>2271594430002656</t>
        </is>
      </c>
      <c r="AZ196" t="inlineStr">
        <is>
          <t>BOOK</t>
        </is>
      </c>
      <c r="BB196" t="inlineStr">
        <is>
          <t>9780471568421</t>
        </is>
      </c>
      <c r="BC196" t="inlineStr">
        <is>
          <t>32285002087079</t>
        </is>
      </c>
      <c r="BD196" t="inlineStr">
        <is>
          <t>893534571</t>
        </is>
      </c>
    </row>
    <row r="197">
      <c r="A197" t="inlineStr">
        <is>
          <t>No</t>
        </is>
      </c>
      <c r="B197" t="inlineStr">
        <is>
          <t>QL363 .M53 1991, v...</t>
        </is>
      </c>
      <c r="C197" t="inlineStr">
        <is>
          <t>0                      QL 0363000M  53          1991                                        v...</t>
        </is>
      </c>
      <c r="D197" t="inlineStr">
        <is>
          <t>Microscopic anatomy of invertebrates / treatise editor, Frederick W. Harrison.</t>
        </is>
      </c>
      <c r="E197" t="inlineStr">
        <is>
          <t>V. 4</t>
        </is>
      </c>
      <c r="F197" t="inlineStr">
        <is>
          <t>Yes</t>
        </is>
      </c>
      <c r="G197" t="inlineStr">
        <is>
          <t>1</t>
        </is>
      </c>
      <c r="H197" t="inlineStr">
        <is>
          <t>No</t>
        </is>
      </c>
      <c r="I197" t="inlineStr">
        <is>
          <t>No</t>
        </is>
      </c>
      <c r="J197" t="inlineStr">
        <is>
          <t>0</t>
        </is>
      </c>
      <c r="L197" t="inlineStr">
        <is>
          <t>New York : Wiley-Liss, c1991-</t>
        </is>
      </c>
      <c r="M197" t="inlineStr">
        <is>
          <t>1991</t>
        </is>
      </c>
      <c r="O197" t="inlineStr">
        <is>
          <t>eng</t>
        </is>
      </c>
      <c r="P197" t="inlineStr">
        <is>
          <t>nyu</t>
        </is>
      </c>
      <c r="R197" t="inlineStr">
        <is>
          <t xml:space="preserve">QL </t>
        </is>
      </c>
      <c r="S197" t="n">
        <v>0</v>
      </c>
      <c r="T197" t="n">
        <v>18</v>
      </c>
      <c r="V197" t="inlineStr">
        <is>
          <t>2010-04-30</t>
        </is>
      </c>
      <c r="W197" t="inlineStr">
        <is>
          <t>1995-10-13</t>
        </is>
      </c>
      <c r="X197" t="inlineStr">
        <is>
          <t>1999-03-23</t>
        </is>
      </c>
      <c r="Y197" t="n">
        <v>470</v>
      </c>
      <c r="Z197" t="n">
        <v>396</v>
      </c>
      <c r="AA197" t="n">
        <v>409</v>
      </c>
      <c r="AB197" t="n">
        <v>2</v>
      </c>
      <c r="AC197" t="n">
        <v>2</v>
      </c>
      <c r="AD197" t="n">
        <v>18</v>
      </c>
      <c r="AE197" t="n">
        <v>18</v>
      </c>
      <c r="AF197" t="n">
        <v>8</v>
      </c>
      <c r="AG197" t="n">
        <v>8</v>
      </c>
      <c r="AH197" t="n">
        <v>5</v>
      </c>
      <c r="AI197" t="n">
        <v>5</v>
      </c>
      <c r="AJ197" t="n">
        <v>8</v>
      </c>
      <c r="AK197" t="n">
        <v>8</v>
      </c>
      <c r="AL197" t="n">
        <v>1</v>
      </c>
      <c r="AM197" t="n">
        <v>1</v>
      </c>
      <c r="AN197" t="n">
        <v>0</v>
      </c>
      <c r="AO197" t="n">
        <v>0</v>
      </c>
      <c r="AP197" t="inlineStr">
        <is>
          <t>No</t>
        </is>
      </c>
      <c r="AQ197" t="inlineStr">
        <is>
          <t>Yes</t>
        </is>
      </c>
      <c r="AR197">
        <f>HYPERLINK("http://catalog.hathitrust.org/Record/002234921","HathiTrust Record")</f>
        <v/>
      </c>
      <c r="AS197">
        <f>HYPERLINK("https://creighton-primo.hosted.exlibrisgroup.com/primo-explore/search?tab=default_tab&amp;search_scope=EVERYTHING&amp;vid=01CRU&amp;lang=en_US&amp;offset=0&amp;query=any,contains,991001496759702656","Catalog Record")</f>
        <v/>
      </c>
      <c r="AT197">
        <f>HYPERLINK("http://www.worldcat.org/oclc/19774404","WorldCat Record")</f>
        <v/>
      </c>
      <c r="AU197" t="inlineStr">
        <is>
          <t>5092214031:eng</t>
        </is>
      </c>
      <c r="AV197" t="inlineStr">
        <is>
          <t>19774404</t>
        </is>
      </c>
      <c r="AW197" t="inlineStr">
        <is>
          <t>991001496759702656</t>
        </is>
      </c>
      <c r="AX197" t="inlineStr">
        <is>
          <t>991001496759702656</t>
        </is>
      </c>
      <c r="AY197" t="inlineStr">
        <is>
          <t>2271594430002656</t>
        </is>
      </c>
      <c r="AZ197" t="inlineStr">
        <is>
          <t>BOOK</t>
        </is>
      </c>
      <c r="BB197" t="inlineStr">
        <is>
          <t>9780471568421</t>
        </is>
      </c>
      <c r="BC197" t="inlineStr">
        <is>
          <t>32285002087038</t>
        </is>
      </c>
      <c r="BD197" t="inlineStr">
        <is>
          <t>893534572</t>
        </is>
      </c>
    </row>
    <row r="198">
      <c r="A198" t="inlineStr">
        <is>
          <t>No</t>
        </is>
      </c>
      <c r="B198" t="inlineStr">
        <is>
          <t>QL363 .M53 1991, v...</t>
        </is>
      </c>
      <c r="C198" t="inlineStr">
        <is>
          <t>0                      QL 0363000M  53          1991                                        v...</t>
        </is>
      </c>
      <c r="D198" t="inlineStr">
        <is>
          <t>Microscopic anatomy of invertebrates / treatise editor, Frederick W. Harrison.</t>
        </is>
      </c>
      <c r="E198" t="inlineStr">
        <is>
          <t>V. 15</t>
        </is>
      </c>
      <c r="F198" t="inlineStr">
        <is>
          <t>Yes</t>
        </is>
      </c>
      <c r="G198" t="inlineStr">
        <is>
          <t>1</t>
        </is>
      </c>
      <c r="H198" t="inlineStr">
        <is>
          <t>No</t>
        </is>
      </c>
      <c r="I198" t="inlineStr">
        <is>
          <t>No</t>
        </is>
      </c>
      <c r="J198" t="inlineStr">
        <is>
          <t>0</t>
        </is>
      </c>
      <c r="L198" t="inlineStr">
        <is>
          <t>New York : Wiley-Liss, c1991-</t>
        </is>
      </c>
      <c r="M198" t="inlineStr">
        <is>
          <t>1991</t>
        </is>
      </c>
      <c r="O198" t="inlineStr">
        <is>
          <t>eng</t>
        </is>
      </c>
      <c r="P198" t="inlineStr">
        <is>
          <t>nyu</t>
        </is>
      </c>
      <c r="R198" t="inlineStr">
        <is>
          <t xml:space="preserve">QL </t>
        </is>
      </c>
      <c r="S198" t="n">
        <v>0</v>
      </c>
      <c r="T198" t="n">
        <v>18</v>
      </c>
      <c r="V198" t="inlineStr">
        <is>
          <t>2010-04-30</t>
        </is>
      </c>
      <c r="W198" t="inlineStr">
        <is>
          <t>1998-01-12</t>
        </is>
      </c>
      <c r="X198" t="inlineStr">
        <is>
          <t>1999-03-23</t>
        </is>
      </c>
      <c r="Y198" t="n">
        <v>470</v>
      </c>
      <c r="Z198" t="n">
        <v>396</v>
      </c>
      <c r="AA198" t="n">
        <v>409</v>
      </c>
      <c r="AB198" t="n">
        <v>2</v>
      </c>
      <c r="AC198" t="n">
        <v>2</v>
      </c>
      <c r="AD198" t="n">
        <v>18</v>
      </c>
      <c r="AE198" t="n">
        <v>18</v>
      </c>
      <c r="AF198" t="n">
        <v>8</v>
      </c>
      <c r="AG198" t="n">
        <v>8</v>
      </c>
      <c r="AH198" t="n">
        <v>5</v>
      </c>
      <c r="AI198" t="n">
        <v>5</v>
      </c>
      <c r="AJ198" t="n">
        <v>8</v>
      </c>
      <c r="AK198" t="n">
        <v>8</v>
      </c>
      <c r="AL198" t="n">
        <v>1</v>
      </c>
      <c r="AM198" t="n">
        <v>1</v>
      </c>
      <c r="AN198" t="n">
        <v>0</v>
      </c>
      <c r="AO198" t="n">
        <v>0</v>
      </c>
      <c r="AP198" t="inlineStr">
        <is>
          <t>No</t>
        </is>
      </c>
      <c r="AQ198" t="inlineStr">
        <is>
          <t>Yes</t>
        </is>
      </c>
      <c r="AR198">
        <f>HYPERLINK("http://catalog.hathitrust.org/Record/002234921","HathiTrust Record")</f>
        <v/>
      </c>
      <c r="AS198">
        <f>HYPERLINK("https://creighton-primo.hosted.exlibrisgroup.com/primo-explore/search?tab=default_tab&amp;search_scope=EVERYTHING&amp;vid=01CRU&amp;lang=en_US&amp;offset=0&amp;query=any,contains,991001496759702656","Catalog Record")</f>
        <v/>
      </c>
      <c r="AT198">
        <f>HYPERLINK("http://www.worldcat.org/oclc/19774404","WorldCat Record")</f>
        <v/>
      </c>
      <c r="AU198" t="inlineStr">
        <is>
          <t>5092214031:eng</t>
        </is>
      </c>
      <c r="AV198" t="inlineStr">
        <is>
          <t>19774404</t>
        </is>
      </c>
      <c r="AW198" t="inlineStr">
        <is>
          <t>991001496759702656</t>
        </is>
      </c>
      <c r="AX198" t="inlineStr">
        <is>
          <t>991001496759702656</t>
        </is>
      </c>
      <c r="AY198" t="inlineStr">
        <is>
          <t>2271594430002656</t>
        </is>
      </c>
      <c r="AZ198" t="inlineStr">
        <is>
          <t>BOOK</t>
        </is>
      </c>
      <c r="BB198" t="inlineStr">
        <is>
          <t>9780471568421</t>
        </is>
      </c>
      <c r="BC198" t="inlineStr">
        <is>
          <t>32285003317046</t>
        </is>
      </c>
      <c r="BD198" t="inlineStr">
        <is>
          <t>893534575</t>
        </is>
      </c>
    </row>
    <row r="199">
      <c r="A199" t="inlineStr">
        <is>
          <t>No</t>
        </is>
      </c>
      <c r="B199" t="inlineStr">
        <is>
          <t>QL363 .M53 1991, v...</t>
        </is>
      </c>
      <c r="C199" t="inlineStr">
        <is>
          <t>0                      QL 0363000M  53          1991                                        v...</t>
        </is>
      </c>
      <c r="D199" t="inlineStr">
        <is>
          <t>Microscopic anatomy of invertebrates / treatise editor, Frederick W. Harrison.</t>
        </is>
      </c>
      <c r="E199" t="inlineStr">
        <is>
          <t>V. 8A</t>
        </is>
      </c>
      <c r="F199" t="inlineStr">
        <is>
          <t>Yes</t>
        </is>
      </c>
      <c r="G199" t="inlineStr">
        <is>
          <t>1</t>
        </is>
      </c>
      <c r="H199" t="inlineStr">
        <is>
          <t>No</t>
        </is>
      </c>
      <c r="I199" t="inlineStr">
        <is>
          <t>No</t>
        </is>
      </c>
      <c r="J199" t="inlineStr">
        <is>
          <t>0</t>
        </is>
      </c>
      <c r="L199" t="inlineStr">
        <is>
          <t>New York : Wiley-Liss, c1991-</t>
        </is>
      </c>
      <c r="M199" t="inlineStr">
        <is>
          <t>1991</t>
        </is>
      </c>
      <c r="O199" t="inlineStr">
        <is>
          <t>eng</t>
        </is>
      </c>
      <c r="P199" t="inlineStr">
        <is>
          <t>nyu</t>
        </is>
      </c>
      <c r="R199" t="inlineStr">
        <is>
          <t xml:space="preserve">QL </t>
        </is>
      </c>
      <c r="S199" t="n">
        <v>0</v>
      </c>
      <c r="T199" t="n">
        <v>18</v>
      </c>
      <c r="V199" t="inlineStr">
        <is>
          <t>2010-04-30</t>
        </is>
      </c>
      <c r="W199" t="inlineStr">
        <is>
          <t>1999-03-23</t>
        </is>
      </c>
      <c r="X199" t="inlineStr">
        <is>
          <t>1999-03-23</t>
        </is>
      </c>
      <c r="Y199" t="n">
        <v>470</v>
      </c>
      <c r="Z199" t="n">
        <v>396</v>
      </c>
      <c r="AA199" t="n">
        <v>409</v>
      </c>
      <c r="AB199" t="n">
        <v>2</v>
      </c>
      <c r="AC199" t="n">
        <v>2</v>
      </c>
      <c r="AD199" t="n">
        <v>18</v>
      </c>
      <c r="AE199" t="n">
        <v>18</v>
      </c>
      <c r="AF199" t="n">
        <v>8</v>
      </c>
      <c r="AG199" t="n">
        <v>8</v>
      </c>
      <c r="AH199" t="n">
        <v>5</v>
      </c>
      <c r="AI199" t="n">
        <v>5</v>
      </c>
      <c r="AJ199" t="n">
        <v>8</v>
      </c>
      <c r="AK199" t="n">
        <v>8</v>
      </c>
      <c r="AL199" t="n">
        <v>1</v>
      </c>
      <c r="AM199" t="n">
        <v>1</v>
      </c>
      <c r="AN199" t="n">
        <v>0</v>
      </c>
      <c r="AO199" t="n">
        <v>0</v>
      </c>
      <c r="AP199" t="inlineStr">
        <is>
          <t>No</t>
        </is>
      </c>
      <c r="AQ199" t="inlineStr">
        <is>
          <t>Yes</t>
        </is>
      </c>
      <c r="AR199">
        <f>HYPERLINK("http://catalog.hathitrust.org/Record/002234921","HathiTrust Record")</f>
        <v/>
      </c>
      <c r="AS199">
        <f>HYPERLINK("https://creighton-primo.hosted.exlibrisgroup.com/primo-explore/search?tab=default_tab&amp;search_scope=EVERYTHING&amp;vid=01CRU&amp;lang=en_US&amp;offset=0&amp;query=any,contains,991001496759702656","Catalog Record")</f>
        <v/>
      </c>
      <c r="AT199">
        <f>HYPERLINK("http://www.worldcat.org/oclc/19774404","WorldCat Record")</f>
        <v/>
      </c>
      <c r="AU199" t="inlineStr">
        <is>
          <t>5092214031:eng</t>
        </is>
      </c>
      <c r="AV199" t="inlineStr">
        <is>
          <t>19774404</t>
        </is>
      </c>
      <c r="AW199" t="inlineStr">
        <is>
          <t>991001496759702656</t>
        </is>
      </c>
      <c r="AX199" t="inlineStr">
        <is>
          <t>991001496759702656</t>
        </is>
      </c>
      <c r="AY199" t="inlineStr">
        <is>
          <t>2271594430002656</t>
        </is>
      </c>
      <c r="AZ199" t="inlineStr">
        <is>
          <t>BOOK</t>
        </is>
      </c>
      <c r="BB199" t="inlineStr">
        <is>
          <t>9780471568421</t>
        </is>
      </c>
      <c r="BC199" t="inlineStr">
        <is>
          <t>32285003545398</t>
        </is>
      </c>
      <c r="BD199" t="inlineStr">
        <is>
          <t>893497125</t>
        </is>
      </c>
    </row>
    <row r="200">
      <c r="A200" t="inlineStr">
        <is>
          <t>No</t>
        </is>
      </c>
      <c r="B200" t="inlineStr">
        <is>
          <t>QL364 .B38 1967b</t>
        </is>
      </c>
      <c r="C200" t="inlineStr">
        <is>
          <t>0                      QL 0364000B  38          1967b</t>
        </is>
      </c>
      <c r="D200" t="inlineStr">
        <is>
          <t>Invertebrate structure and function [by] E. J. W. Barrington.</t>
        </is>
      </c>
      <c r="F200" t="inlineStr">
        <is>
          <t>No</t>
        </is>
      </c>
      <c r="G200" t="inlineStr">
        <is>
          <t>1</t>
        </is>
      </c>
      <c r="H200" t="inlineStr">
        <is>
          <t>No</t>
        </is>
      </c>
      <c r="I200" t="inlineStr">
        <is>
          <t>No</t>
        </is>
      </c>
      <c r="J200" t="inlineStr">
        <is>
          <t>0</t>
        </is>
      </c>
      <c r="K200" t="inlineStr">
        <is>
          <t>Barrington, E. J. W. (Ernest James William)</t>
        </is>
      </c>
      <c r="L200" t="inlineStr">
        <is>
          <t>Boston, Houghton Mifflin [1967]</t>
        </is>
      </c>
      <c r="M200" t="inlineStr">
        <is>
          <t>1967</t>
        </is>
      </c>
      <c r="O200" t="inlineStr">
        <is>
          <t>eng</t>
        </is>
      </c>
      <c r="P200" t="inlineStr">
        <is>
          <t>mau</t>
        </is>
      </c>
      <c r="R200" t="inlineStr">
        <is>
          <t xml:space="preserve">QL </t>
        </is>
      </c>
      <c r="S200" t="n">
        <v>16</v>
      </c>
      <c r="T200" t="n">
        <v>16</v>
      </c>
      <c r="U200" t="inlineStr">
        <is>
          <t>2009-03-01</t>
        </is>
      </c>
      <c r="V200" t="inlineStr">
        <is>
          <t>2009-03-01</t>
        </is>
      </c>
      <c r="W200" t="inlineStr">
        <is>
          <t>1995-02-28</t>
        </is>
      </c>
      <c r="X200" t="inlineStr">
        <is>
          <t>1995-02-28</t>
        </is>
      </c>
      <c r="Y200" t="n">
        <v>512</v>
      </c>
      <c r="Z200" t="n">
        <v>473</v>
      </c>
      <c r="AA200" t="n">
        <v>747</v>
      </c>
      <c r="AB200" t="n">
        <v>3</v>
      </c>
      <c r="AC200" t="n">
        <v>7</v>
      </c>
      <c r="AD200" t="n">
        <v>20</v>
      </c>
      <c r="AE200" t="n">
        <v>33</v>
      </c>
      <c r="AF200" t="n">
        <v>10</v>
      </c>
      <c r="AG200" t="n">
        <v>13</v>
      </c>
      <c r="AH200" t="n">
        <v>2</v>
      </c>
      <c r="AI200" t="n">
        <v>5</v>
      </c>
      <c r="AJ200" t="n">
        <v>12</v>
      </c>
      <c r="AK200" t="n">
        <v>18</v>
      </c>
      <c r="AL200" t="n">
        <v>2</v>
      </c>
      <c r="AM200" t="n">
        <v>6</v>
      </c>
      <c r="AN200" t="n">
        <v>0</v>
      </c>
      <c r="AO200" t="n">
        <v>0</v>
      </c>
      <c r="AP200" t="inlineStr">
        <is>
          <t>No</t>
        </is>
      </c>
      <c r="AQ200" t="inlineStr">
        <is>
          <t>Yes</t>
        </is>
      </c>
      <c r="AR200">
        <f>HYPERLINK("http://catalog.hathitrust.org/Record/001499281","HathiTrust Record")</f>
        <v/>
      </c>
      <c r="AS200">
        <f>HYPERLINK("https://creighton-primo.hosted.exlibrisgroup.com/primo-explore/search?tab=default_tab&amp;search_scope=EVERYTHING&amp;vid=01CRU&amp;lang=en_US&amp;offset=0&amp;query=any,contains,991001088629702656","Catalog Record")</f>
        <v/>
      </c>
      <c r="AT200">
        <f>HYPERLINK("http://www.worldcat.org/oclc/181093","WorldCat Record")</f>
        <v/>
      </c>
      <c r="AU200" t="inlineStr">
        <is>
          <t>487901:eng</t>
        </is>
      </c>
      <c r="AV200" t="inlineStr">
        <is>
          <t>181093</t>
        </is>
      </c>
      <c r="AW200" t="inlineStr">
        <is>
          <t>991001088629702656</t>
        </is>
      </c>
      <c r="AX200" t="inlineStr">
        <is>
          <t>991001088629702656</t>
        </is>
      </c>
      <c r="AY200" t="inlineStr">
        <is>
          <t>2272685950002656</t>
        </is>
      </c>
      <c r="AZ200" t="inlineStr">
        <is>
          <t>BOOK</t>
        </is>
      </c>
      <c r="BC200" t="inlineStr">
        <is>
          <t>32285002010717</t>
        </is>
      </c>
      <c r="BD200" t="inlineStr">
        <is>
          <t>893315502</t>
        </is>
      </c>
    </row>
    <row r="201">
      <c r="A201" t="inlineStr">
        <is>
          <t>No</t>
        </is>
      </c>
      <c r="B201" t="inlineStr">
        <is>
          <t>QL364 .M65 1987</t>
        </is>
      </c>
      <c r="C201" t="inlineStr">
        <is>
          <t>0                      QL 0364000M  65          1987</t>
        </is>
      </c>
      <c r="D201" t="inlineStr">
        <is>
          <t>Molecular biology of invertebrate development : proceedings of a director's sponsors-UCLA symposium / director's sponsors, Eli Lilly Research Laboratories, Monsanto, The Upjohn Company ; editor, John D. O'Connor.</t>
        </is>
      </c>
      <c r="F201" t="inlineStr">
        <is>
          <t>No</t>
        </is>
      </c>
      <c r="G201" t="inlineStr">
        <is>
          <t>1</t>
        </is>
      </c>
      <c r="H201" t="inlineStr">
        <is>
          <t>No</t>
        </is>
      </c>
      <c r="I201" t="inlineStr">
        <is>
          <t>No</t>
        </is>
      </c>
      <c r="J201" t="inlineStr">
        <is>
          <t>0</t>
        </is>
      </c>
      <c r="L201" t="inlineStr">
        <is>
          <t>New York : A.R. Liss, [1987]</t>
        </is>
      </c>
      <c r="M201" t="inlineStr">
        <is>
          <t>1987</t>
        </is>
      </c>
      <c r="O201" t="inlineStr">
        <is>
          <t>eng</t>
        </is>
      </c>
      <c r="P201" t="inlineStr">
        <is>
          <t>nyu</t>
        </is>
      </c>
      <c r="Q201" t="inlineStr">
        <is>
          <t>UCLA symposia on molecular and cellular biology ; vol. 66</t>
        </is>
      </c>
      <c r="R201" t="inlineStr">
        <is>
          <t xml:space="preserve">QL </t>
        </is>
      </c>
      <c r="S201" t="n">
        <v>2</v>
      </c>
      <c r="T201" t="n">
        <v>2</v>
      </c>
      <c r="U201" t="inlineStr">
        <is>
          <t>2002-02-24</t>
        </is>
      </c>
      <c r="V201" t="inlineStr">
        <is>
          <t>2002-02-24</t>
        </is>
      </c>
      <c r="W201" t="inlineStr">
        <is>
          <t>1993-05-25</t>
        </is>
      </c>
      <c r="X201" t="inlineStr">
        <is>
          <t>1993-05-25</t>
        </is>
      </c>
      <c r="Y201" t="n">
        <v>184</v>
      </c>
      <c r="Z201" t="n">
        <v>155</v>
      </c>
      <c r="AA201" t="n">
        <v>158</v>
      </c>
      <c r="AB201" t="n">
        <v>2</v>
      </c>
      <c r="AC201" t="n">
        <v>2</v>
      </c>
      <c r="AD201" t="n">
        <v>8</v>
      </c>
      <c r="AE201" t="n">
        <v>8</v>
      </c>
      <c r="AF201" t="n">
        <v>0</v>
      </c>
      <c r="AG201" t="n">
        <v>0</v>
      </c>
      <c r="AH201" t="n">
        <v>4</v>
      </c>
      <c r="AI201" t="n">
        <v>4</v>
      </c>
      <c r="AJ201" t="n">
        <v>5</v>
      </c>
      <c r="AK201" t="n">
        <v>5</v>
      </c>
      <c r="AL201" t="n">
        <v>1</v>
      </c>
      <c r="AM201" t="n">
        <v>1</v>
      </c>
      <c r="AN201" t="n">
        <v>0</v>
      </c>
      <c r="AO201" t="n">
        <v>0</v>
      </c>
      <c r="AP201" t="inlineStr">
        <is>
          <t>No</t>
        </is>
      </c>
      <c r="AQ201" t="inlineStr">
        <is>
          <t>Yes</t>
        </is>
      </c>
      <c r="AR201">
        <f>HYPERLINK("http://catalog.hathitrust.org/Record/000901785","HathiTrust Record")</f>
        <v/>
      </c>
      <c r="AS201">
        <f>HYPERLINK("https://creighton-primo.hosted.exlibrisgroup.com/primo-explore/search?tab=default_tab&amp;search_scope=EVERYTHING&amp;vid=01CRU&amp;lang=en_US&amp;offset=0&amp;query=any,contains,991001110789702656","Catalog Record")</f>
        <v/>
      </c>
      <c r="AT201">
        <f>HYPERLINK("http://www.worldcat.org/oclc/16467791","WorldCat Record")</f>
        <v/>
      </c>
      <c r="AU201" t="inlineStr">
        <is>
          <t>808078642:eng</t>
        </is>
      </c>
      <c r="AV201" t="inlineStr">
        <is>
          <t>16467791</t>
        </is>
      </c>
      <c r="AW201" t="inlineStr">
        <is>
          <t>991001110789702656</t>
        </is>
      </c>
      <c r="AX201" t="inlineStr">
        <is>
          <t>991001110789702656</t>
        </is>
      </c>
      <c r="AY201" t="inlineStr">
        <is>
          <t>2270252200002656</t>
        </is>
      </c>
      <c r="AZ201" t="inlineStr">
        <is>
          <t>BOOK</t>
        </is>
      </c>
      <c r="BB201" t="inlineStr">
        <is>
          <t>9780845126653</t>
        </is>
      </c>
      <c r="BC201" t="inlineStr">
        <is>
          <t>32285001686558</t>
        </is>
      </c>
      <c r="BD201" t="inlineStr">
        <is>
          <t>893420068</t>
        </is>
      </c>
    </row>
    <row r="202">
      <c r="A202" t="inlineStr">
        <is>
          <t>No</t>
        </is>
      </c>
      <c r="B202" t="inlineStr">
        <is>
          <t>QL364.15 .A34</t>
        </is>
      </c>
      <c r="C202" t="inlineStr">
        <is>
          <t>0                      QL 0364150A  34</t>
        </is>
      </c>
      <c r="D202" t="inlineStr">
        <is>
          <t>Advances in invertebrate reproduction : proceedings of the second international symposium of the International Society of Invertebrate Reproduction (ISIR) held in Davis, California on August 27-31, 1979 / editors, Wallis H. Clark, Jr., Terrance S. Adams.</t>
        </is>
      </c>
      <c r="F202" t="inlineStr">
        <is>
          <t>No</t>
        </is>
      </c>
      <c r="G202" t="inlineStr">
        <is>
          <t>1</t>
        </is>
      </c>
      <c r="H202" t="inlineStr">
        <is>
          <t>No</t>
        </is>
      </c>
      <c r="I202" t="inlineStr">
        <is>
          <t>No</t>
        </is>
      </c>
      <c r="J202" t="inlineStr">
        <is>
          <t>0</t>
        </is>
      </c>
      <c r="L202" t="inlineStr">
        <is>
          <t>New York : Elsevier/North-Holland, c1981.</t>
        </is>
      </c>
      <c r="M202" t="inlineStr">
        <is>
          <t>1981</t>
        </is>
      </c>
      <c r="O202" t="inlineStr">
        <is>
          <t>eng</t>
        </is>
      </c>
      <c r="P202" t="inlineStr">
        <is>
          <t>nyu</t>
        </is>
      </c>
      <c r="Q202" t="inlineStr">
        <is>
          <t>Developments in endocrinology ; v. 11</t>
        </is>
      </c>
      <c r="R202" t="inlineStr">
        <is>
          <t xml:space="preserve">QL </t>
        </is>
      </c>
      <c r="S202" t="n">
        <v>6</v>
      </c>
      <c r="T202" t="n">
        <v>6</v>
      </c>
      <c r="U202" t="inlineStr">
        <is>
          <t>1997-10-11</t>
        </is>
      </c>
      <c r="V202" t="inlineStr">
        <is>
          <t>1997-10-11</t>
        </is>
      </c>
      <c r="W202" t="inlineStr">
        <is>
          <t>1993-05-25</t>
        </is>
      </c>
      <c r="X202" t="inlineStr">
        <is>
          <t>1993-05-25</t>
        </is>
      </c>
      <c r="Y202" t="n">
        <v>139</v>
      </c>
      <c r="Z202" t="n">
        <v>101</v>
      </c>
      <c r="AA202" t="n">
        <v>103</v>
      </c>
      <c r="AB202" t="n">
        <v>2</v>
      </c>
      <c r="AC202" t="n">
        <v>2</v>
      </c>
      <c r="AD202" t="n">
        <v>2</v>
      </c>
      <c r="AE202" t="n">
        <v>2</v>
      </c>
      <c r="AF202" t="n">
        <v>0</v>
      </c>
      <c r="AG202" t="n">
        <v>0</v>
      </c>
      <c r="AH202" t="n">
        <v>1</v>
      </c>
      <c r="AI202" t="n">
        <v>1</v>
      </c>
      <c r="AJ202" t="n">
        <v>0</v>
      </c>
      <c r="AK202" t="n">
        <v>0</v>
      </c>
      <c r="AL202" t="n">
        <v>1</v>
      </c>
      <c r="AM202" t="n">
        <v>1</v>
      </c>
      <c r="AN202" t="n">
        <v>0</v>
      </c>
      <c r="AO202" t="n">
        <v>0</v>
      </c>
      <c r="AP202" t="inlineStr">
        <is>
          <t>No</t>
        </is>
      </c>
      <c r="AQ202" t="inlineStr">
        <is>
          <t>Yes</t>
        </is>
      </c>
      <c r="AR202">
        <f>HYPERLINK("http://catalog.hathitrust.org/Record/000138055","HathiTrust Record")</f>
        <v/>
      </c>
      <c r="AS202">
        <f>HYPERLINK("https://creighton-primo.hosted.exlibrisgroup.com/primo-explore/search?tab=default_tab&amp;search_scope=EVERYTHING&amp;vid=01CRU&amp;lang=en_US&amp;offset=0&amp;query=any,contains,991005070159702656","Catalog Record")</f>
        <v/>
      </c>
      <c r="AT202">
        <f>HYPERLINK("http://www.worldcat.org/oclc/7006879","WorldCat Record")</f>
        <v/>
      </c>
      <c r="AU202" t="inlineStr">
        <is>
          <t>836666795:eng</t>
        </is>
      </c>
      <c r="AV202" t="inlineStr">
        <is>
          <t>7006879</t>
        </is>
      </c>
      <c r="AW202" t="inlineStr">
        <is>
          <t>991005070159702656</t>
        </is>
      </c>
      <c r="AX202" t="inlineStr">
        <is>
          <t>991005070159702656</t>
        </is>
      </c>
      <c r="AY202" t="inlineStr">
        <is>
          <t>2264288240002656</t>
        </is>
      </c>
      <c r="AZ202" t="inlineStr">
        <is>
          <t>BOOK</t>
        </is>
      </c>
      <c r="BB202" t="inlineStr">
        <is>
          <t>9780444005946</t>
        </is>
      </c>
      <c r="BC202" t="inlineStr">
        <is>
          <t>32285001686566</t>
        </is>
      </c>
      <c r="BD202" t="inlineStr">
        <is>
          <t>893332355</t>
        </is>
      </c>
    </row>
    <row r="203">
      <c r="A203" t="inlineStr">
        <is>
          <t>No</t>
        </is>
      </c>
      <c r="B203" t="inlineStr">
        <is>
          <t>QL364.15 .C67 1991</t>
        </is>
      </c>
      <c r="C203" t="inlineStr">
        <is>
          <t>0                      QL 0364150C  67          1991</t>
        </is>
      </c>
      <c r="D203" t="inlineStr">
        <is>
          <t>Atlas of invertebrate reproduction and development / David Bruce Conn.</t>
        </is>
      </c>
      <c r="F203" t="inlineStr">
        <is>
          <t>No</t>
        </is>
      </c>
      <c r="G203" t="inlineStr">
        <is>
          <t>1</t>
        </is>
      </c>
      <c r="H203" t="inlineStr">
        <is>
          <t>No</t>
        </is>
      </c>
      <c r="I203" t="inlineStr">
        <is>
          <t>No</t>
        </is>
      </c>
      <c r="J203" t="inlineStr">
        <is>
          <t>0</t>
        </is>
      </c>
      <c r="K203" t="inlineStr">
        <is>
          <t>Conn, David Bruce.</t>
        </is>
      </c>
      <c r="L203" t="inlineStr">
        <is>
          <t>New York : Wiley-Liss, c1991.</t>
        </is>
      </c>
      <c r="M203" t="inlineStr">
        <is>
          <t>1991</t>
        </is>
      </c>
      <c r="O203" t="inlineStr">
        <is>
          <t>eng</t>
        </is>
      </c>
      <c r="P203" t="inlineStr">
        <is>
          <t>nyu</t>
        </is>
      </c>
      <c r="R203" t="inlineStr">
        <is>
          <t xml:space="preserve">QL </t>
        </is>
      </c>
      <c r="S203" t="n">
        <v>19</v>
      </c>
      <c r="T203" t="n">
        <v>19</v>
      </c>
      <c r="U203" t="inlineStr">
        <is>
          <t>2006-02-26</t>
        </is>
      </c>
      <c r="V203" t="inlineStr">
        <is>
          <t>2006-02-26</t>
        </is>
      </c>
      <c r="W203" t="inlineStr">
        <is>
          <t>1992-06-22</t>
        </is>
      </c>
      <c r="X203" t="inlineStr">
        <is>
          <t>1992-06-22</t>
        </is>
      </c>
      <c r="Y203" t="n">
        <v>388</v>
      </c>
      <c r="Z203" t="n">
        <v>295</v>
      </c>
      <c r="AA203" t="n">
        <v>369</v>
      </c>
      <c r="AB203" t="n">
        <v>2</v>
      </c>
      <c r="AC203" t="n">
        <v>2</v>
      </c>
      <c r="AD203" t="n">
        <v>9</v>
      </c>
      <c r="AE203" t="n">
        <v>12</v>
      </c>
      <c r="AF203" t="n">
        <v>3</v>
      </c>
      <c r="AG203" t="n">
        <v>3</v>
      </c>
      <c r="AH203" t="n">
        <v>3</v>
      </c>
      <c r="AI203" t="n">
        <v>6</v>
      </c>
      <c r="AJ203" t="n">
        <v>4</v>
      </c>
      <c r="AK203" t="n">
        <v>5</v>
      </c>
      <c r="AL203" t="n">
        <v>1</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HYPERLINK("https://creighton-primo.hosted.exlibrisgroup.com/primo-explore/search?tab=default_tab&amp;search_scope=EVERYTHING&amp;vid=01CRU&amp;lang=en_US&amp;offset=0&amp;query=any,contains,991001799609702656","Catalog Record")</f>
        <v/>
      </c>
      <c r="AT203">
        <f>HYPERLINK("http://www.worldcat.org/oclc/22629120","WorldCat Record")</f>
        <v/>
      </c>
      <c r="AU203" t="inlineStr">
        <is>
          <t>2286626:eng</t>
        </is>
      </c>
      <c r="AV203" t="inlineStr">
        <is>
          <t>22629120</t>
        </is>
      </c>
      <c r="AW203" t="inlineStr">
        <is>
          <t>991001799609702656</t>
        </is>
      </c>
      <c r="AX203" t="inlineStr">
        <is>
          <t>991001799609702656</t>
        </is>
      </c>
      <c r="AY203" t="inlineStr">
        <is>
          <t>2269197720002656</t>
        </is>
      </c>
      <c r="AZ203" t="inlineStr">
        <is>
          <t>BOOK</t>
        </is>
      </c>
      <c r="BB203" t="inlineStr">
        <is>
          <t>9780471560791</t>
        </is>
      </c>
      <c r="BC203" t="inlineStr">
        <is>
          <t>32285001155042</t>
        </is>
      </c>
      <c r="BD203" t="inlineStr">
        <is>
          <t>893609155</t>
        </is>
      </c>
    </row>
    <row r="204">
      <c r="A204" t="inlineStr">
        <is>
          <t>No</t>
        </is>
      </c>
      <c r="B204" t="inlineStr">
        <is>
          <t>QL364.18 .E36 1995</t>
        </is>
      </c>
      <c r="C204" t="inlineStr">
        <is>
          <t>0                      QL 0364180E  36          1995</t>
        </is>
      </c>
      <c r="D204" t="inlineStr">
        <is>
          <t>Ecology of marine invertebrate larvae / edited by Larry McEdward.</t>
        </is>
      </c>
      <c r="F204" t="inlineStr">
        <is>
          <t>No</t>
        </is>
      </c>
      <c r="G204" t="inlineStr">
        <is>
          <t>1</t>
        </is>
      </c>
      <c r="H204" t="inlineStr">
        <is>
          <t>No</t>
        </is>
      </c>
      <c r="I204" t="inlineStr">
        <is>
          <t>No</t>
        </is>
      </c>
      <c r="J204" t="inlineStr">
        <is>
          <t>0</t>
        </is>
      </c>
      <c r="L204" t="inlineStr">
        <is>
          <t>Boca Raton : CRC Press, 1995.</t>
        </is>
      </c>
      <c r="M204" t="inlineStr">
        <is>
          <t>1995</t>
        </is>
      </c>
      <c r="O204" t="inlineStr">
        <is>
          <t>eng</t>
        </is>
      </c>
      <c r="P204" t="inlineStr">
        <is>
          <t>flu</t>
        </is>
      </c>
      <c r="Q204" t="inlineStr">
        <is>
          <t>Marine science series</t>
        </is>
      </c>
      <c r="R204" t="inlineStr">
        <is>
          <t xml:space="preserve">QL </t>
        </is>
      </c>
      <c r="S204" t="n">
        <v>13</v>
      </c>
      <c r="T204" t="n">
        <v>13</v>
      </c>
      <c r="U204" t="inlineStr">
        <is>
          <t>2004-09-13</t>
        </is>
      </c>
      <c r="V204" t="inlineStr">
        <is>
          <t>2004-09-13</t>
        </is>
      </c>
      <c r="W204" t="inlineStr">
        <is>
          <t>1996-01-22</t>
        </is>
      </c>
      <c r="X204" t="inlineStr">
        <is>
          <t>1996-01-22</t>
        </is>
      </c>
      <c r="Y204" t="n">
        <v>398</v>
      </c>
      <c r="Z204" t="n">
        <v>270</v>
      </c>
      <c r="AA204" t="n">
        <v>287</v>
      </c>
      <c r="AB204" t="n">
        <v>1</v>
      </c>
      <c r="AC204" t="n">
        <v>1</v>
      </c>
      <c r="AD204" t="n">
        <v>13</v>
      </c>
      <c r="AE204" t="n">
        <v>13</v>
      </c>
      <c r="AF204" t="n">
        <v>6</v>
      </c>
      <c r="AG204" t="n">
        <v>6</v>
      </c>
      <c r="AH204" t="n">
        <v>4</v>
      </c>
      <c r="AI204" t="n">
        <v>4</v>
      </c>
      <c r="AJ204" t="n">
        <v>8</v>
      </c>
      <c r="AK204" t="n">
        <v>8</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HYPERLINK("https://creighton-primo.hosted.exlibrisgroup.com/primo-explore/search?tab=default_tab&amp;search_scope=EVERYTHING&amp;vid=01CRU&amp;lang=en_US&amp;offset=0&amp;query=any,contains,991002423829702656","Catalog Record")</f>
        <v/>
      </c>
      <c r="AT204">
        <f>HYPERLINK("http://www.worldcat.org/oclc/31606184","WorldCat Record")</f>
        <v/>
      </c>
      <c r="AU204" t="inlineStr">
        <is>
          <t>180562226:eng</t>
        </is>
      </c>
      <c r="AV204" t="inlineStr">
        <is>
          <t>31606184</t>
        </is>
      </c>
      <c r="AW204" t="inlineStr">
        <is>
          <t>991002423829702656</t>
        </is>
      </c>
      <c r="AX204" t="inlineStr">
        <is>
          <t>991002423829702656</t>
        </is>
      </c>
      <c r="AY204" t="inlineStr">
        <is>
          <t>2262673260002656</t>
        </is>
      </c>
      <c r="AZ204" t="inlineStr">
        <is>
          <t>BOOK</t>
        </is>
      </c>
      <c r="BB204" t="inlineStr">
        <is>
          <t>9780849380464</t>
        </is>
      </c>
      <c r="BC204" t="inlineStr">
        <is>
          <t>32285002125176</t>
        </is>
      </c>
      <c r="BD204" t="inlineStr">
        <is>
          <t>893251194</t>
        </is>
      </c>
    </row>
    <row r="205">
      <c r="A205" t="inlineStr">
        <is>
          <t>No</t>
        </is>
      </c>
      <c r="B205" t="inlineStr">
        <is>
          <t>QL364.2 .A27 1990</t>
        </is>
      </c>
      <c r="C205" t="inlineStr">
        <is>
          <t>0                      QL 0364200A  27          1990</t>
        </is>
      </c>
      <c r="D205" t="inlineStr">
        <is>
          <t>Invertebrate learning : a laboratory manual and source book / Charles I. Abramson.</t>
        </is>
      </c>
      <c r="F205" t="inlineStr">
        <is>
          <t>No</t>
        </is>
      </c>
      <c r="G205" t="inlineStr">
        <is>
          <t>1</t>
        </is>
      </c>
      <c r="H205" t="inlineStr">
        <is>
          <t>No</t>
        </is>
      </c>
      <c r="I205" t="inlineStr">
        <is>
          <t>No</t>
        </is>
      </c>
      <c r="J205" t="inlineStr">
        <is>
          <t>0</t>
        </is>
      </c>
      <c r="K205" t="inlineStr">
        <is>
          <t>Abramson, Charles I.</t>
        </is>
      </c>
      <c r="L205" t="inlineStr">
        <is>
          <t>Washington, DC : American Psychological Association, c1990.</t>
        </is>
      </c>
      <c r="M205" t="inlineStr">
        <is>
          <t>1990</t>
        </is>
      </c>
      <c r="O205" t="inlineStr">
        <is>
          <t>eng</t>
        </is>
      </c>
      <c r="P205" t="inlineStr">
        <is>
          <t>dcu</t>
        </is>
      </c>
      <c r="R205" t="inlineStr">
        <is>
          <t xml:space="preserve">QL </t>
        </is>
      </c>
      <c r="S205" t="n">
        <v>1</v>
      </c>
      <c r="T205" t="n">
        <v>1</v>
      </c>
      <c r="U205" t="inlineStr">
        <is>
          <t>1992-01-26</t>
        </is>
      </c>
      <c r="V205" t="inlineStr">
        <is>
          <t>1992-01-26</t>
        </is>
      </c>
      <c r="W205" t="inlineStr">
        <is>
          <t>1992-01-16</t>
        </is>
      </c>
      <c r="X205" t="inlineStr">
        <is>
          <t>1992-01-16</t>
        </is>
      </c>
      <c r="Y205" t="n">
        <v>121</v>
      </c>
      <c r="Z205" t="n">
        <v>94</v>
      </c>
      <c r="AA205" t="n">
        <v>184</v>
      </c>
      <c r="AB205" t="n">
        <v>2</v>
      </c>
      <c r="AC205" t="n">
        <v>3</v>
      </c>
      <c r="AD205" t="n">
        <v>4</v>
      </c>
      <c r="AE205" t="n">
        <v>10</v>
      </c>
      <c r="AF205" t="n">
        <v>1</v>
      </c>
      <c r="AG205" t="n">
        <v>3</v>
      </c>
      <c r="AH205" t="n">
        <v>0</v>
      </c>
      <c r="AI205" t="n">
        <v>0</v>
      </c>
      <c r="AJ205" t="n">
        <v>3</v>
      </c>
      <c r="AK205" t="n">
        <v>6</v>
      </c>
      <c r="AL205" t="n">
        <v>1</v>
      </c>
      <c r="AM205" t="n">
        <v>2</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HYPERLINK("https://creighton-primo.hosted.exlibrisgroup.com/primo-explore/search?tab=default_tab&amp;search_scope=EVERYTHING&amp;vid=01CRU&amp;lang=en_US&amp;offset=0&amp;query=any,contains,991001797389702656","Catalog Record")</f>
        <v/>
      </c>
      <c r="AT205">
        <f>HYPERLINK("http://www.worldcat.org/oclc/22623545","WorldCat Record")</f>
        <v/>
      </c>
      <c r="AU205" t="inlineStr">
        <is>
          <t>323520014:eng</t>
        </is>
      </c>
      <c r="AV205" t="inlineStr">
        <is>
          <t>22623545</t>
        </is>
      </c>
      <c r="AW205" t="inlineStr">
        <is>
          <t>991001797389702656</t>
        </is>
      </c>
      <c r="AX205" t="inlineStr">
        <is>
          <t>991001797389702656</t>
        </is>
      </c>
      <c r="AY205" t="inlineStr">
        <is>
          <t>2271771500002656</t>
        </is>
      </c>
      <c r="AZ205" t="inlineStr">
        <is>
          <t>BOOK</t>
        </is>
      </c>
      <c r="BB205" t="inlineStr">
        <is>
          <t>9781557981004</t>
        </is>
      </c>
      <c r="BC205" t="inlineStr">
        <is>
          <t>32285000864354</t>
        </is>
      </c>
      <c r="BD205" t="inlineStr">
        <is>
          <t>893334610</t>
        </is>
      </c>
    </row>
    <row r="206">
      <c r="A206" t="inlineStr">
        <is>
          <t>No</t>
        </is>
      </c>
      <c r="B206" t="inlineStr">
        <is>
          <t>QL364.2 .C67</t>
        </is>
      </c>
      <c r="C206" t="inlineStr">
        <is>
          <t>0                      QL 0364200C  67</t>
        </is>
      </c>
      <c r="D206" t="inlineStr">
        <is>
          <t>Invertebrate learning. Edited by W. C. Corning and J. A. Dyal and A. O. D. Willows.</t>
        </is>
      </c>
      <c r="E206" t="inlineStr">
        <is>
          <t>V.3</t>
        </is>
      </c>
      <c r="F206" t="inlineStr">
        <is>
          <t>Yes</t>
        </is>
      </c>
      <c r="G206" t="inlineStr">
        <is>
          <t>1</t>
        </is>
      </c>
      <c r="H206" t="inlineStr">
        <is>
          <t>No</t>
        </is>
      </c>
      <c r="I206" t="inlineStr">
        <is>
          <t>No</t>
        </is>
      </c>
      <c r="J206" t="inlineStr">
        <is>
          <t>0</t>
        </is>
      </c>
      <c r="K206" t="inlineStr">
        <is>
          <t>Corning, William C.</t>
        </is>
      </c>
      <c r="L206" t="inlineStr">
        <is>
          <t>New York, Plenum Press, 1973-[75]</t>
        </is>
      </c>
      <c r="M206" t="inlineStr">
        <is>
          <t>1973</t>
        </is>
      </c>
      <c r="O206" t="inlineStr">
        <is>
          <t>eng</t>
        </is>
      </c>
      <c r="P206" t="inlineStr">
        <is>
          <t>nyu</t>
        </is>
      </c>
      <c r="R206" t="inlineStr">
        <is>
          <t xml:space="preserve">QL </t>
        </is>
      </c>
      <c r="S206" t="n">
        <v>12</v>
      </c>
      <c r="T206" t="n">
        <v>18</v>
      </c>
      <c r="U206" t="inlineStr">
        <is>
          <t>2009-02-21</t>
        </is>
      </c>
      <c r="V206" t="inlineStr">
        <is>
          <t>2009-02-21</t>
        </is>
      </c>
      <c r="W206" t="inlineStr">
        <is>
          <t>1995-02-28</t>
        </is>
      </c>
      <c r="X206" t="inlineStr">
        <is>
          <t>1995-02-28</t>
        </is>
      </c>
      <c r="Y206" t="n">
        <v>526</v>
      </c>
      <c r="Z206" t="n">
        <v>428</v>
      </c>
      <c r="AA206" t="n">
        <v>444</v>
      </c>
      <c r="AB206" t="n">
        <v>3</v>
      </c>
      <c r="AC206" t="n">
        <v>3</v>
      </c>
      <c r="AD206" t="n">
        <v>19</v>
      </c>
      <c r="AE206" t="n">
        <v>19</v>
      </c>
      <c r="AF206" t="n">
        <v>7</v>
      </c>
      <c r="AG206" t="n">
        <v>7</v>
      </c>
      <c r="AH206" t="n">
        <v>5</v>
      </c>
      <c r="AI206" t="n">
        <v>5</v>
      </c>
      <c r="AJ206" t="n">
        <v>10</v>
      </c>
      <c r="AK206" t="n">
        <v>10</v>
      </c>
      <c r="AL206" t="n">
        <v>2</v>
      </c>
      <c r="AM206" t="n">
        <v>2</v>
      </c>
      <c r="AN206" t="n">
        <v>0</v>
      </c>
      <c r="AO206" t="n">
        <v>0</v>
      </c>
      <c r="AP206" t="inlineStr">
        <is>
          <t>No</t>
        </is>
      </c>
      <c r="AQ206" t="inlineStr">
        <is>
          <t>Yes</t>
        </is>
      </c>
      <c r="AR206">
        <f>HYPERLINK("http://catalog.hathitrust.org/Record/000276194","HathiTrust Record")</f>
        <v/>
      </c>
      <c r="AS206">
        <f>HYPERLINK("https://creighton-primo.hosted.exlibrisgroup.com/primo-explore/search?tab=default_tab&amp;search_scope=EVERYTHING&amp;vid=01CRU&amp;lang=en_US&amp;offset=0&amp;query=any,contains,991003193079702656","Catalog Record")</f>
        <v/>
      </c>
      <c r="AT206">
        <f>HYPERLINK("http://www.worldcat.org/oclc/718135","WorldCat Record")</f>
        <v/>
      </c>
      <c r="AU206" t="inlineStr">
        <is>
          <t>480471907:eng</t>
        </is>
      </c>
      <c r="AV206" t="inlineStr">
        <is>
          <t>718135</t>
        </is>
      </c>
      <c r="AW206" t="inlineStr">
        <is>
          <t>991003193079702656</t>
        </is>
      </c>
      <c r="AX206" t="inlineStr">
        <is>
          <t>991003193079702656</t>
        </is>
      </c>
      <c r="AY206" t="inlineStr">
        <is>
          <t>2256319120002656</t>
        </is>
      </c>
      <c r="AZ206" t="inlineStr">
        <is>
          <t>BOOK</t>
        </is>
      </c>
      <c r="BB206" t="inlineStr">
        <is>
          <t>9780306376719</t>
        </is>
      </c>
      <c r="BC206" t="inlineStr">
        <is>
          <t>32285002010709</t>
        </is>
      </c>
      <c r="BD206" t="inlineStr">
        <is>
          <t>893348418</t>
        </is>
      </c>
    </row>
    <row r="207">
      <c r="A207" t="inlineStr">
        <is>
          <t>No</t>
        </is>
      </c>
      <c r="B207" t="inlineStr">
        <is>
          <t>QL364.2 .C67</t>
        </is>
      </c>
      <c r="C207" t="inlineStr">
        <is>
          <t>0                      QL 0364200C  67</t>
        </is>
      </c>
      <c r="D207" t="inlineStr">
        <is>
          <t>Invertebrate learning. Edited by W. C. Corning and J. A. Dyal and A. O. D. Willows.</t>
        </is>
      </c>
      <c r="E207" t="inlineStr">
        <is>
          <t>V.1</t>
        </is>
      </c>
      <c r="F207" t="inlineStr">
        <is>
          <t>Yes</t>
        </is>
      </c>
      <c r="G207" t="inlineStr">
        <is>
          <t>1</t>
        </is>
      </c>
      <c r="H207" t="inlineStr">
        <is>
          <t>No</t>
        </is>
      </c>
      <c r="I207" t="inlineStr">
        <is>
          <t>No</t>
        </is>
      </c>
      <c r="J207" t="inlineStr">
        <is>
          <t>0</t>
        </is>
      </c>
      <c r="K207" t="inlineStr">
        <is>
          <t>Corning, William C.</t>
        </is>
      </c>
      <c r="L207" t="inlineStr">
        <is>
          <t>New York, Plenum Press, 1973-[75]</t>
        </is>
      </c>
      <c r="M207" t="inlineStr">
        <is>
          <t>1973</t>
        </is>
      </c>
      <c r="O207" t="inlineStr">
        <is>
          <t>eng</t>
        </is>
      </c>
      <c r="P207" t="inlineStr">
        <is>
          <t>nyu</t>
        </is>
      </c>
      <c r="R207" t="inlineStr">
        <is>
          <t xml:space="preserve">QL </t>
        </is>
      </c>
      <c r="S207" t="n">
        <v>3</v>
      </c>
      <c r="T207" t="n">
        <v>18</v>
      </c>
      <c r="U207" t="inlineStr">
        <is>
          <t>2005-02-26</t>
        </is>
      </c>
      <c r="V207" t="inlineStr">
        <is>
          <t>2009-02-21</t>
        </is>
      </c>
      <c r="W207" t="inlineStr">
        <is>
          <t>1995-02-28</t>
        </is>
      </c>
      <c r="X207" t="inlineStr">
        <is>
          <t>1995-02-28</t>
        </is>
      </c>
      <c r="Y207" t="n">
        <v>526</v>
      </c>
      <c r="Z207" t="n">
        <v>428</v>
      </c>
      <c r="AA207" t="n">
        <v>444</v>
      </c>
      <c r="AB207" t="n">
        <v>3</v>
      </c>
      <c r="AC207" t="n">
        <v>3</v>
      </c>
      <c r="AD207" t="n">
        <v>19</v>
      </c>
      <c r="AE207" t="n">
        <v>19</v>
      </c>
      <c r="AF207" t="n">
        <v>7</v>
      </c>
      <c r="AG207" t="n">
        <v>7</v>
      </c>
      <c r="AH207" t="n">
        <v>5</v>
      </c>
      <c r="AI207" t="n">
        <v>5</v>
      </c>
      <c r="AJ207" t="n">
        <v>10</v>
      </c>
      <c r="AK207" t="n">
        <v>10</v>
      </c>
      <c r="AL207" t="n">
        <v>2</v>
      </c>
      <c r="AM207" t="n">
        <v>2</v>
      </c>
      <c r="AN207" t="n">
        <v>0</v>
      </c>
      <c r="AO207" t="n">
        <v>0</v>
      </c>
      <c r="AP207" t="inlineStr">
        <is>
          <t>No</t>
        </is>
      </c>
      <c r="AQ207" t="inlineStr">
        <is>
          <t>Yes</t>
        </is>
      </c>
      <c r="AR207">
        <f>HYPERLINK("http://catalog.hathitrust.org/Record/000276194","HathiTrust Record")</f>
        <v/>
      </c>
      <c r="AS207">
        <f>HYPERLINK("https://creighton-primo.hosted.exlibrisgroup.com/primo-explore/search?tab=default_tab&amp;search_scope=EVERYTHING&amp;vid=01CRU&amp;lang=en_US&amp;offset=0&amp;query=any,contains,991003193079702656","Catalog Record")</f>
        <v/>
      </c>
      <c r="AT207">
        <f>HYPERLINK("http://www.worldcat.org/oclc/718135","WorldCat Record")</f>
        <v/>
      </c>
      <c r="AU207" t="inlineStr">
        <is>
          <t>480471907:eng</t>
        </is>
      </c>
      <c r="AV207" t="inlineStr">
        <is>
          <t>718135</t>
        </is>
      </c>
      <c r="AW207" t="inlineStr">
        <is>
          <t>991003193079702656</t>
        </is>
      </c>
      <c r="AX207" t="inlineStr">
        <is>
          <t>991003193079702656</t>
        </is>
      </c>
      <c r="AY207" t="inlineStr">
        <is>
          <t>2256319120002656</t>
        </is>
      </c>
      <c r="AZ207" t="inlineStr">
        <is>
          <t>BOOK</t>
        </is>
      </c>
      <c r="BB207" t="inlineStr">
        <is>
          <t>9780306376719</t>
        </is>
      </c>
      <c r="BC207" t="inlineStr">
        <is>
          <t>32285002010923</t>
        </is>
      </c>
      <c r="BD207" t="inlineStr">
        <is>
          <t>893342311</t>
        </is>
      </c>
    </row>
    <row r="208">
      <c r="A208" t="inlineStr">
        <is>
          <t>No</t>
        </is>
      </c>
      <c r="B208" t="inlineStr">
        <is>
          <t>QL364.2 .C67</t>
        </is>
      </c>
      <c r="C208" t="inlineStr">
        <is>
          <t>0                      QL 0364200C  67</t>
        </is>
      </c>
      <c r="D208" t="inlineStr">
        <is>
          <t>Invertebrate learning. Edited by W. C. Corning and J. A. Dyal and A. O. D. Willows.</t>
        </is>
      </c>
      <c r="E208" t="inlineStr">
        <is>
          <t>V.2</t>
        </is>
      </c>
      <c r="F208" t="inlineStr">
        <is>
          <t>Yes</t>
        </is>
      </c>
      <c r="G208" t="inlineStr">
        <is>
          <t>1</t>
        </is>
      </c>
      <c r="H208" t="inlineStr">
        <is>
          <t>No</t>
        </is>
      </c>
      <c r="I208" t="inlineStr">
        <is>
          <t>No</t>
        </is>
      </c>
      <c r="J208" t="inlineStr">
        <is>
          <t>0</t>
        </is>
      </c>
      <c r="K208" t="inlineStr">
        <is>
          <t>Corning, William C.</t>
        </is>
      </c>
      <c r="L208" t="inlineStr">
        <is>
          <t>New York, Plenum Press, 1973-[75]</t>
        </is>
      </c>
      <c r="M208" t="inlineStr">
        <is>
          <t>1973</t>
        </is>
      </c>
      <c r="O208" t="inlineStr">
        <is>
          <t>eng</t>
        </is>
      </c>
      <c r="P208" t="inlineStr">
        <is>
          <t>nyu</t>
        </is>
      </c>
      <c r="R208" t="inlineStr">
        <is>
          <t xml:space="preserve">QL </t>
        </is>
      </c>
      <c r="S208" t="n">
        <v>3</v>
      </c>
      <c r="T208" t="n">
        <v>18</v>
      </c>
      <c r="U208" t="inlineStr">
        <is>
          <t>2005-02-26</t>
        </is>
      </c>
      <c r="V208" t="inlineStr">
        <is>
          <t>2009-02-21</t>
        </is>
      </c>
      <c r="W208" t="inlineStr">
        <is>
          <t>1995-02-28</t>
        </is>
      </c>
      <c r="X208" t="inlineStr">
        <is>
          <t>1995-02-28</t>
        </is>
      </c>
      <c r="Y208" t="n">
        <v>526</v>
      </c>
      <c r="Z208" t="n">
        <v>428</v>
      </c>
      <c r="AA208" t="n">
        <v>444</v>
      </c>
      <c r="AB208" t="n">
        <v>3</v>
      </c>
      <c r="AC208" t="n">
        <v>3</v>
      </c>
      <c r="AD208" t="n">
        <v>19</v>
      </c>
      <c r="AE208" t="n">
        <v>19</v>
      </c>
      <c r="AF208" t="n">
        <v>7</v>
      </c>
      <c r="AG208" t="n">
        <v>7</v>
      </c>
      <c r="AH208" t="n">
        <v>5</v>
      </c>
      <c r="AI208" t="n">
        <v>5</v>
      </c>
      <c r="AJ208" t="n">
        <v>10</v>
      </c>
      <c r="AK208" t="n">
        <v>10</v>
      </c>
      <c r="AL208" t="n">
        <v>2</v>
      </c>
      <c r="AM208" t="n">
        <v>2</v>
      </c>
      <c r="AN208" t="n">
        <v>0</v>
      </c>
      <c r="AO208" t="n">
        <v>0</v>
      </c>
      <c r="AP208" t="inlineStr">
        <is>
          <t>No</t>
        </is>
      </c>
      <c r="AQ208" t="inlineStr">
        <is>
          <t>Yes</t>
        </is>
      </c>
      <c r="AR208">
        <f>HYPERLINK("http://catalog.hathitrust.org/Record/000276194","HathiTrust Record")</f>
        <v/>
      </c>
      <c r="AS208">
        <f>HYPERLINK("https://creighton-primo.hosted.exlibrisgroup.com/primo-explore/search?tab=default_tab&amp;search_scope=EVERYTHING&amp;vid=01CRU&amp;lang=en_US&amp;offset=0&amp;query=any,contains,991003193079702656","Catalog Record")</f>
        <v/>
      </c>
      <c r="AT208">
        <f>HYPERLINK("http://www.worldcat.org/oclc/718135","WorldCat Record")</f>
        <v/>
      </c>
      <c r="AU208" t="inlineStr">
        <is>
          <t>480471907:eng</t>
        </is>
      </c>
      <c r="AV208" t="inlineStr">
        <is>
          <t>718135</t>
        </is>
      </c>
      <c r="AW208" t="inlineStr">
        <is>
          <t>991003193079702656</t>
        </is>
      </c>
      <c r="AX208" t="inlineStr">
        <is>
          <t>991003193079702656</t>
        </is>
      </c>
      <c r="AY208" t="inlineStr">
        <is>
          <t>2256319120002656</t>
        </is>
      </c>
      <c r="AZ208" t="inlineStr">
        <is>
          <t>BOOK</t>
        </is>
      </c>
      <c r="BB208" t="inlineStr">
        <is>
          <t>9780306376719</t>
        </is>
      </c>
      <c r="BC208" t="inlineStr">
        <is>
          <t>32285002010931</t>
        </is>
      </c>
      <c r="BD208" t="inlineStr">
        <is>
          <t>893336230</t>
        </is>
      </c>
    </row>
    <row r="209">
      <c r="A209" t="inlineStr">
        <is>
          <t>No</t>
        </is>
      </c>
      <c r="B209" t="inlineStr">
        <is>
          <t>QL365.363 .A74 2002</t>
        </is>
      </c>
      <c r="C209" t="inlineStr">
        <is>
          <t>0                      QL 0365363A  74          2002</t>
        </is>
      </c>
      <c r="D209" t="inlineStr">
        <is>
          <t>Atlas of marine invertebrate larvae / edited by Craig M. Young ; associate editors, Mary A. Sewell, Mary E. Rice.</t>
        </is>
      </c>
      <c r="F209" t="inlineStr">
        <is>
          <t>No</t>
        </is>
      </c>
      <c r="G209" t="inlineStr">
        <is>
          <t>1</t>
        </is>
      </c>
      <c r="H209" t="inlineStr">
        <is>
          <t>No</t>
        </is>
      </c>
      <c r="I209" t="inlineStr">
        <is>
          <t>No</t>
        </is>
      </c>
      <c r="J209" t="inlineStr">
        <is>
          <t>0</t>
        </is>
      </c>
      <c r="L209" t="inlineStr">
        <is>
          <t>San Diego : Academic Press, c2002.</t>
        </is>
      </c>
      <c r="M209" t="inlineStr">
        <is>
          <t>2002</t>
        </is>
      </c>
      <c r="O209" t="inlineStr">
        <is>
          <t>eng</t>
        </is>
      </c>
      <c r="P209" t="inlineStr">
        <is>
          <t>cau</t>
        </is>
      </c>
      <c r="R209" t="inlineStr">
        <is>
          <t xml:space="preserve">QL </t>
        </is>
      </c>
      <c r="S209" t="n">
        <v>3</v>
      </c>
      <c r="T209" t="n">
        <v>3</v>
      </c>
      <c r="U209" t="inlineStr">
        <is>
          <t>2006-02-26</t>
        </is>
      </c>
      <c r="V209" t="inlineStr">
        <is>
          <t>2006-02-26</t>
        </is>
      </c>
      <c r="W209" t="inlineStr">
        <is>
          <t>2005-03-03</t>
        </is>
      </c>
      <c r="X209" t="inlineStr">
        <is>
          <t>2005-03-03</t>
        </is>
      </c>
      <c r="Y209" t="n">
        <v>369</v>
      </c>
      <c r="Z209" t="n">
        <v>267</v>
      </c>
      <c r="AA209" t="n">
        <v>287</v>
      </c>
      <c r="AB209" t="n">
        <v>1</v>
      </c>
      <c r="AC209" t="n">
        <v>1</v>
      </c>
      <c r="AD209" t="n">
        <v>14</v>
      </c>
      <c r="AE209" t="n">
        <v>15</v>
      </c>
      <c r="AF209" t="n">
        <v>8</v>
      </c>
      <c r="AG209" t="n">
        <v>9</v>
      </c>
      <c r="AH209" t="n">
        <v>2</v>
      </c>
      <c r="AI209" t="n">
        <v>2</v>
      </c>
      <c r="AJ209" t="n">
        <v>8</v>
      </c>
      <c r="AK209" t="n">
        <v>8</v>
      </c>
      <c r="AL209" t="n">
        <v>0</v>
      </c>
      <c r="AM209" t="n">
        <v>0</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HYPERLINK("https://creighton-primo.hosted.exlibrisgroup.com/primo-explore/search?tab=default_tab&amp;search_scope=EVERYTHING&amp;vid=01CRU&amp;lang=en_US&amp;offset=0&amp;query=any,contains,991004474459702656","Catalog Record")</f>
        <v/>
      </c>
      <c r="AT209">
        <f>HYPERLINK("http://www.worldcat.org/oclc/47675816","WorldCat Record")</f>
        <v/>
      </c>
      <c r="AU209" t="inlineStr">
        <is>
          <t>351425871:eng</t>
        </is>
      </c>
      <c r="AV209" t="inlineStr">
        <is>
          <t>47675816</t>
        </is>
      </c>
      <c r="AW209" t="inlineStr">
        <is>
          <t>991004474459702656</t>
        </is>
      </c>
      <c r="AX209" t="inlineStr">
        <is>
          <t>991004474459702656</t>
        </is>
      </c>
      <c r="AY209" t="inlineStr">
        <is>
          <t>2260228230002656</t>
        </is>
      </c>
      <c r="AZ209" t="inlineStr">
        <is>
          <t>BOOK</t>
        </is>
      </c>
      <c r="BB209" t="inlineStr">
        <is>
          <t>9780127731414</t>
        </is>
      </c>
      <c r="BC209" t="inlineStr">
        <is>
          <t>32285005040356</t>
        </is>
      </c>
      <c r="BD209" t="inlineStr">
        <is>
          <t>893895042</t>
        </is>
      </c>
    </row>
    <row r="210">
      <c r="A210" t="inlineStr">
        <is>
          <t>No</t>
        </is>
      </c>
      <c r="B210" t="inlineStr">
        <is>
          <t>QL366 .A53 1988</t>
        </is>
      </c>
      <c r="C210" t="inlineStr">
        <is>
          <t>0                      QL 0366000A  53          1988</t>
        </is>
      </c>
      <c r="D210" t="inlineStr">
        <is>
          <t>Comparative protozoology : ecology, physiology, life history / O. Roger Anderson.</t>
        </is>
      </c>
      <c r="F210" t="inlineStr">
        <is>
          <t>No</t>
        </is>
      </c>
      <c r="G210" t="inlineStr">
        <is>
          <t>1</t>
        </is>
      </c>
      <c r="H210" t="inlineStr">
        <is>
          <t>No</t>
        </is>
      </c>
      <c r="I210" t="inlineStr">
        <is>
          <t>No</t>
        </is>
      </c>
      <c r="J210" t="inlineStr">
        <is>
          <t>0</t>
        </is>
      </c>
      <c r="K210" t="inlineStr">
        <is>
          <t>Anderson, O. Roger, 1937-</t>
        </is>
      </c>
      <c r="L210" t="inlineStr">
        <is>
          <t>Berlin ; New York : Springer-Verlag, c1988.</t>
        </is>
      </c>
      <c r="M210" t="inlineStr">
        <is>
          <t>1988</t>
        </is>
      </c>
      <c r="O210" t="inlineStr">
        <is>
          <t>eng</t>
        </is>
      </c>
      <c r="P210" t="inlineStr">
        <is>
          <t xml:space="preserve">gw </t>
        </is>
      </c>
      <c r="R210" t="inlineStr">
        <is>
          <t xml:space="preserve">QL </t>
        </is>
      </c>
      <c r="S210" t="n">
        <v>7</v>
      </c>
      <c r="T210" t="n">
        <v>7</v>
      </c>
      <c r="U210" t="inlineStr">
        <is>
          <t>1997-02-01</t>
        </is>
      </c>
      <c r="V210" t="inlineStr">
        <is>
          <t>1997-02-01</t>
        </is>
      </c>
      <c r="W210" t="inlineStr">
        <is>
          <t>1992-03-27</t>
        </is>
      </c>
      <c r="X210" t="inlineStr">
        <is>
          <t>1992-03-27</t>
        </is>
      </c>
      <c r="Y210" t="n">
        <v>413</v>
      </c>
      <c r="Z210" t="n">
        <v>312</v>
      </c>
      <c r="AA210" t="n">
        <v>335</v>
      </c>
      <c r="AB210" t="n">
        <v>3</v>
      </c>
      <c r="AC210" t="n">
        <v>3</v>
      </c>
      <c r="AD210" t="n">
        <v>13</v>
      </c>
      <c r="AE210" t="n">
        <v>14</v>
      </c>
      <c r="AF210" t="n">
        <v>4</v>
      </c>
      <c r="AG210" t="n">
        <v>5</v>
      </c>
      <c r="AH210" t="n">
        <v>4</v>
      </c>
      <c r="AI210" t="n">
        <v>4</v>
      </c>
      <c r="AJ210" t="n">
        <v>6</v>
      </c>
      <c r="AK210" t="n">
        <v>7</v>
      </c>
      <c r="AL210" t="n">
        <v>2</v>
      </c>
      <c r="AM210" t="n">
        <v>2</v>
      </c>
      <c r="AN210" t="n">
        <v>0</v>
      </c>
      <c r="AO210" t="n">
        <v>0</v>
      </c>
      <c r="AP210" t="inlineStr">
        <is>
          <t>No</t>
        </is>
      </c>
      <c r="AQ210" t="inlineStr">
        <is>
          <t>Yes</t>
        </is>
      </c>
      <c r="AR210">
        <f>HYPERLINK("http://catalog.hathitrust.org/Record/000907722","HathiTrust Record")</f>
        <v/>
      </c>
      <c r="AS210">
        <f>HYPERLINK("https://creighton-primo.hosted.exlibrisgroup.com/primo-explore/search?tab=default_tab&amp;search_scope=EVERYTHING&amp;vid=01CRU&amp;lang=en_US&amp;offset=0&amp;query=any,contains,991001105249702656","Catalog Record")</f>
        <v/>
      </c>
      <c r="AT210">
        <f>HYPERLINK("http://www.worldcat.org/oclc/16404481","WorldCat Record")</f>
        <v/>
      </c>
      <c r="AU210" t="inlineStr">
        <is>
          <t>9307450:eng</t>
        </is>
      </c>
      <c r="AV210" t="inlineStr">
        <is>
          <t>16404481</t>
        </is>
      </c>
      <c r="AW210" t="inlineStr">
        <is>
          <t>991001105249702656</t>
        </is>
      </c>
      <c r="AX210" t="inlineStr">
        <is>
          <t>991001105249702656</t>
        </is>
      </c>
      <c r="AY210" t="inlineStr">
        <is>
          <t>2263062510002656</t>
        </is>
      </c>
      <c r="AZ210" t="inlineStr">
        <is>
          <t>BOOK</t>
        </is>
      </c>
      <c r="BB210" t="inlineStr">
        <is>
          <t>9780387180823</t>
        </is>
      </c>
      <c r="BC210" t="inlineStr">
        <is>
          <t>32285001045599</t>
        </is>
      </c>
      <c r="BD210" t="inlineStr">
        <is>
          <t>893340157</t>
        </is>
      </c>
    </row>
    <row r="211">
      <c r="A211" t="inlineStr">
        <is>
          <t>No</t>
        </is>
      </c>
      <c r="B211" t="inlineStr">
        <is>
          <t>QL366 .B45 1988</t>
        </is>
      </c>
      <c r="C211" t="inlineStr">
        <is>
          <t>0                      QL 0366000B  45          1988</t>
        </is>
      </c>
      <c r="D211" t="inlineStr">
        <is>
          <t>Sex and death in protozoa : the history of an obsession / Graham Bell.</t>
        </is>
      </c>
      <c r="F211" t="inlineStr">
        <is>
          <t>No</t>
        </is>
      </c>
      <c r="G211" t="inlineStr">
        <is>
          <t>1</t>
        </is>
      </c>
      <c r="H211" t="inlineStr">
        <is>
          <t>No</t>
        </is>
      </c>
      <c r="I211" t="inlineStr">
        <is>
          <t>No</t>
        </is>
      </c>
      <c r="J211" t="inlineStr">
        <is>
          <t>0</t>
        </is>
      </c>
      <c r="K211" t="inlineStr">
        <is>
          <t>Bell, Graham, 1949-</t>
        </is>
      </c>
      <c r="L211" t="inlineStr">
        <is>
          <t>Cambridge [England] ; New York : Cambridge University Press, 1988.</t>
        </is>
      </c>
      <c r="M211" t="inlineStr">
        <is>
          <t>1988</t>
        </is>
      </c>
      <c r="O211" t="inlineStr">
        <is>
          <t>eng</t>
        </is>
      </c>
      <c r="P211" t="inlineStr">
        <is>
          <t>enk</t>
        </is>
      </c>
      <c r="R211" t="inlineStr">
        <is>
          <t xml:space="preserve">QL </t>
        </is>
      </c>
      <c r="S211" t="n">
        <v>2</v>
      </c>
      <c r="T211" t="n">
        <v>2</v>
      </c>
      <c r="U211" t="inlineStr">
        <is>
          <t>1993-05-04</t>
        </is>
      </c>
      <c r="V211" t="inlineStr">
        <is>
          <t>1993-05-04</t>
        </is>
      </c>
      <c r="W211" t="inlineStr">
        <is>
          <t>1989-12-18</t>
        </is>
      </c>
      <c r="X211" t="inlineStr">
        <is>
          <t>1989-12-18</t>
        </is>
      </c>
      <c r="Y211" t="n">
        <v>376</v>
      </c>
      <c r="Z211" t="n">
        <v>275</v>
      </c>
      <c r="AA211" t="n">
        <v>290</v>
      </c>
      <c r="AB211" t="n">
        <v>3</v>
      </c>
      <c r="AC211" t="n">
        <v>3</v>
      </c>
      <c r="AD211" t="n">
        <v>11</v>
      </c>
      <c r="AE211" t="n">
        <v>11</v>
      </c>
      <c r="AF211" t="n">
        <v>1</v>
      </c>
      <c r="AG211" t="n">
        <v>1</v>
      </c>
      <c r="AH211" t="n">
        <v>4</v>
      </c>
      <c r="AI211" t="n">
        <v>4</v>
      </c>
      <c r="AJ211" t="n">
        <v>6</v>
      </c>
      <c r="AK211" t="n">
        <v>6</v>
      </c>
      <c r="AL211" t="n">
        <v>2</v>
      </c>
      <c r="AM211" t="n">
        <v>2</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HYPERLINK("https://creighton-primo.hosted.exlibrisgroup.com/primo-explore/search?tab=default_tab&amp;search_scope=EVERYTHING&amp;vid=01CRU&amp;lang=en_US&amp;offset=0&amp;query=any,contains,991001329689702656","Catalog Record")</f>
        <v/>
      </c>
      <c r="AT211">
        <f>HYPERLINK("http://www.worldcat.org/oclc/18321211","WorldCat Record")</f>
        <v/>
      </c>
      <c r="AU211" t="inlineStr">
        <is>
          <t>795495557:eng</t>
        </is>
      </c>
      <c r="AV211" t="inlineStr">
        <is>
          <t>18321211</t>
        </is>
      </c>
      <c r="AW211" t="inlineStr">
        <is>
          <t>991001329689702656</t>
        </is>
      </c>
      <c r="AX211" t="inlineStr">
        <is>
          <t>991001329689702656</t>
        </is>
      </c>
      <c r="AY211" t="inlineStr">
        <is>
          <t>2256838950002656</t>
        </is>
      </c>
      <c r="AZ211" t="inlineStr">
        <is>
          <t>BOOK</t>
        </is>
      </c>
      <c r="BB211" t="inlineStr">
        <is>
          <t>9780521361415</t>
        </is>
      </c>
      <c r="BC211" t="inlineStr">
        <is>
          <t>32285000018175</t>
        </is>
      </c>
      <c r="BD211" t="inlineStr">
        <is>
          <t>893709182</t>
        </is>
      </c>
    </row>
    <row r="212">
      <c r="A212" t="inlineStr">
        <is>
          <t>No</t>
        </is>
      </c>
      <c r="B212" t="inlineStr">
        <is>
          <t>QL366 .F46 1987</t>
        </is>
      </c>
      <c r="C212" t="inlineStr">
        <is>
          <t>0                      QL 0366000F  46          1987</t>
        </is>
      </c>
      <c r="D212" t="inlineStr">
        <is>
          <t>Ecology of protozoa : the biology of free-living phagotrophic protists / Tom Fenchel.</t>
        </is>
      </c>
      <c r="F212" t="inlineStr">
        <is>
          <t>No</t>
        </is>
      </c>
      <c r="G212" t="inlineStr">
        <is>
          <t>1</t>
        </is>
      </c>
      <c r="H212" t="inlineStr">
        <is>
          <t>No</t>
        </is>
      </c>
      <c r="I212" t="inlineStr">
        <is>
          <t>No</t>
        </is>
      </c>
      <c r="J212" t="inlineStr">
        <is>
          <t>0</t>
        </is>
      </c>
      <c r="K212" t="inlineStr">
        <is>
          <t>Fenchel, Tom.</t>
        </is>
      </c>
      <c r="L212" t="inlineStr">
        <is>
          <t>Madison, Wis. : Science Tech Publishers, c1987.</t>
        </is>
      </c>
      <c r="M212" t="inlineStr">
        <is>
          <t>1987</t>
        </is>
      </c>
      <c r="O212" t="inlineStr">
        <is>
          <t>eng</t>
        </is>
      </c>
      <c r="P212" t="inlineStr">
        <is>
          <t>wiu</t>
        </is>
      </c>
      <c r="Q212" t="inlineStr">
        <is>
          <t>Brock/Springer series in contemporary bioscience</t>
        </is>
      </c>
      <c r="R212" t="inlineStr">
        <is>
          <t xml:space="preserve">QL </t>
        </is>
      </c>
      <c r="S212" t="n">
        <v>8</v>
      </c>
      <c r="T212" t="n">
        <v>8</v>
      </c>
      <c r="U212" t="inlineStr">
        <is>
          <t>1997-07-24</t>
        </is>
      </c>
      <c r="V212" t="inlineStr">
        <is>
          <t>1997-07-24</t>
        </is>
      </c>
      <c r="W212" t="inlineStr">
        <is>
          <t>1993-05-25</t>
        </is>
      </c>
      <c r="X212" t="inlineStr">
        <is>
          <t>1993-05-25</t>
        </is>
      </c>
      <c r="Y212" t="n">
        <v>530</v>
      </c>
      <c r="Z212" t="n">
        <v>429</v>
      </c>
      <c r="AA212" t="n">
        <v>450</v>
      </c>
      <c r="AB212" t="n">
        <v>2</v>
      </c>
      <c r="AC212" t="n">
        <v>2</v>
      </c>
      <c r="AD212" t="n">
        <v>12</v>
      </c>
      <c r="AE212" t="n">
        <v>13</v>
      </c>
      <c r="AF212" t="n">
        <v>6</v>
      </c>
      <c r="AG212" t="n">
        <v>7</v>
      </c>
      <c r="AH212" t="n">
        <v>2</v>
      </c>
      <c r="AI212" t="n">
        <v>2</v>
      </c>
      <c r="AJ212" t="n">
        <v>7</v>
      </c>
      <c r="AK212" t="n">
        <v>8</v>
      </c>
      <c r="AL212" t="n">
        <v>1</v>
      </c>
      <c r="AM212" t="n">
        <v>1</v>
      </c>
      <c r="AN212" t="n">
        <v>0</v>
      </c>
      <c r="AO212" t="n">
        <v>0</v>
      </c>
      <c r="AP212" t="inlineStr">
        <is>
          <t>No</t>
        </is>
      </c>
      <c r="AQ212" t="inlineStr">
        <is>
          <t>Yes</t>
        </is>
      </c>
      <c r="AR212">
        <f>HYPERLINK("http://catalog.hathitrust.org/Record/000805861","HathiTrust Record")</f>
        <v/>
      </c>
      <c r="AS212">
        <f>HYPERLINK("https://creighton-primo.hosted.exlibrisgroup.com/primo-explore/search?tab=default_tab&amp;search_scope=EVERYTHING&amp;vid=01CRU&amp;lang=en_US&amp;offset=0&amp;query=any,contains,991000911519702656","Catalog Record")</f>
        <v/>
      </c>
      <c r="AT212">
        <f>HYPERLINK("http://www.worldcat.org/oclc/14134657","WorldCat Record")</f>
        <v/>
      </c>
      <c r="AU212" t="inlineStr">
        <is>
          <t>290375101:eng</t>
        </is>
      </c>
      <c r="AV212" t="inlineStr">
        <is>
          <t>14134657</t>
        </is>
      </c>
      <c r="AW212" t="inlineStr">
        <is>
          <t>991000911519702656</t>
        </is>
      </c>
      <c r="AX212" t="inlineStr">
        <is>
          <t>991000911519702656</t>
        </is>
      </c>
      <c r="AY212" t="inlineStr">
        <is>
          <t>2266144590002656</t>
        </is>
      </c>
      <c r="AZ212" t="inlineStr">
        <is>
          <t>BOOK</t>
        </is>
      </c>
      <c r="BB212" t="inlineStr">
        <is>
          <t>9780910239066</t>
        </is>
      </c>
      <c r="BC212" t="inlineStr">
        <is>
          <t>32285001686582</t>
        </is>
      </c>
      <c r="BD212" t="inlineStr">
        <is>
          <t>893772101</t>
        </is>
      </c>
    </row>
    <row r="213">
      <c r="A213" t="inlineStr">
        <is>
          <t>No</t>
        </is>
      </c>
      <c r="B213" t="inlineStr">
        <is>
          <t>QL366 .I4 2000</t>
        </is>
      </c>
      <c r="C213" t="inlineStr">
        <is>
          <t>0                      QL 0366000I  4           2000</t>
        </is>
      </c>
      <c r="D213" t="inlineStr">
        <is>
          <t>An illustrated guide to the protozoa : organisms traditionally referred to as protozoa, or newly discovered groups / edited by John J. Lee, Gordon F. Leedale, Phyllis Bradbury.</t>
        </is>
      </c>
      <c r="E213" t="inlineStr">
        <is>
          <t>V. 1</t>
        </is>
      </c>
      <c r="F213" t="inlineStr">
        <is>
          <t>Yes</t>
        </is>
      </c>
      <c r="G213" t="inlineStr">
        <is>
          <t>1</t>
        </is>
      </c>
      <c r="H213" t="inlineStr">
        <is>
          <t>No</t>
        </is>
      </c>
      <c r="I213" t="inlineStr">
        <is>
          <t>No</t>
        </is>
      </c>
      <c r="J213" t="inlineStr">
        <is>
          <t>0</t>
        </is>
      </c>
      <c r="L213" t="inlineStr">
        <is>
          <t>Lawrence, Kan., U.S.A. : Society of Protozoologists, c2000.</t>
        </is>
      </c>
      <c r="M213" t="inlineStr">
        <is>
          <t>2000</t>
        </is>
      </c>
      <c r="N213" t="inlineStr">
        <is>
          <t>2nd ed.</t>
        </is>
      </c>
      <c r="O213" t="inlineStr">
        <is>
          <t>eng</t>
        </is>
      </c>
      <c r="P213" t="inlineStr">
        <is>
          <t>ksu</t>
        </is>
      </c>
      <c r="R213" t="inlineStr">
        <is>
          <t xml:space="preserve">QL </t>
        </is>
      </c>
      <c r="S213" t="n">
        <v>1</v>
      </c>
      <c r="T213" t="n">
        <v>2</v>
      </c>
      <c r="U213" t="inlineStr">
        <is>
          <t>2003-06-03</t>
        </is>
      </c>
      <c r="V213" t="inlineStr">
        <is>
          <t>2003-06-03</t>
        </is>
      </c>
      <c r="W213" t="inlineStr">
        <is>
          <t>2002-10-21</t>
        </is>
      </c>
      <c r="X213" t="inlineStr">
        <is>
          <t>2002-10-21</t>
        </is>
      </c>
      <c r="Y213" t="n">
        <v>156</v>
      </c>
      <c r="Z213" t="n">
        <v>130</v>
      </c>
      <c r="AA213" t="n">
        <v>133</v>
      </c>
      <c r="AB213" t="n">
        <v>4</v>
      </c>
      <c r="AC213" t="n">
        <v>4</v>
      </c>
      <c r="AD213" t="n">
        <v>10</v>
      </c>
      <c r="AE213" t="n">
        <v>10</v>
      </c>
      <c r="AF213" t="n">
        <v>3</v>
      </c>
      <c r="AG213" t="n">
        <v>3</v>
      </c>
      <c r="AH213" t="n">
        <v>3</v>
      </c>
      <c r="AI213" t="n">
        <v>3</v>
      </c>
      <c r="AJ213" t="n">
        <v>3</v>
      </c>
      <c r="AK213" t="n">
        <v>3</v>
      </c>
      <c r="AL213" t="n">
        <v>3</v>
      </c>
      <c r="AM213" t="n">
        <v>3</v>
      </c>
      <c r="AN213" t="n">
        <v>0</v>
      </c>
      <c r="AO213" t="n">
        <v>0</v>
      </c>
      <c r="AP213" t="inlineStr">
        <is>
          <t>No</t>
        </is>
      </c>
      <c r="AQ213" t="inlineStr">
        <is>
          <t>Yes</t>
        </is>
      </c>
      <c r="AR213">
        <f>HYPERLINK("http://catalog.hathitrust.org/Record/004292085","HathiTrust Record")</f>
        <v/>
      </c>
      <c r="AS213">
        <f>HYPERLINK("https://creighton-primo.hosted.exlibrisgroup.com/primo-explore/search?tab=default_tab&amp;search_scope=EVERYTHING&amp;vid=01CRU&amp;lang=en_US&amp;offset=0&amp;query=any,contains,991003918969702656","Catalog Record")</f>
        <v/>
      </c>
      <c r="AT213">
        <f>HYPERLINK("http://www.worldcat.org/oclc/49191284","WorldCat Record")</f>
        <v/>
      </c>
      <c r="AU213" t="inlineStr">
        <is>
          <t>365392228:eng</t>
        </is>
      </c>
      <c r="AV213" t="inlineStr">
        <is>
          <t>49191284</t>
        </is>
      </c>
      <c r="AW213" t="inlineStr">
        <is>
          <t>991003918969702656</t>
        </is>
      </c>
      <c r="AX213" t="inlineStr">
        <is>
          <t>991003918969702656</t>
        </is>
      </c>
      <c r="AY213" t="inlineStr">
        <is>
          <t>2262387970002656</t>
        </is>
      </c>
      <c r="AZ213" t="inlineStr">
        <is>
          <t>BOOK</t>
        </is>
      </c>
      <c r="BB213" t="inlineStr">
        <is>
          <t>9781891276224</t>
        </is>
      </c>
      <c r="BC213" t="inlineStr">
        <is>
          <t>32285004656145</t>
        </is>
      </c>
      <c r="BD213" t="inlineStr">
        <is>
          <t>893506152</t>
        </is>
      </c>
    </row>
    <row r="214">
      <c r="A214" t="inlineStr">
        <is>
          <t>No</t>
        </is>
      </c>
      <c r="B214" t="inlineStr">
        <is>
          <t>QL366 .I4 2000</t>
        </is>
      </c>
      <c r="C214" t="inlineStr">
        <is>
          <t>0                      QL 0366000I  4           2000</t>
        </is>
      </c>
      <c r="D214" t="inlineStr">
        <is>
          <t>An illustrated guide to the protozoa : organisms traditionally referred to as protozoa, or newly discovered groups / edited by John J. Lee, Gordon F. Leedale, Phyllis Bradbury.</t>
        </is>
      </c>
      <c r="E214" t="inlineStr">
        <is>
          <t>V. 2</t>
        </is>
      </c>
      <c r="F214" t="inlineStr">
        <is>
          <t>Yes</t>
        </is>
      </c>
      <c r="G214" t="inlineStr">
        <is>
          <t>1</t>
        </is>
      </c>
      <c r="H214" t="inlineStr">
        <is>
          <t>No</t>
        </is>
      </c>
      <c r="I214" t="inlineStr">
        <is>
          <t>No</t>
        </is>
      </c>
      <c r="J214" t="inlineStr">
        <is>
          <t>0</t>
        </is>
      </c>
      <c r="L214" t="inlineStr">
        <is>
          <t>Lawrence, Kan., U.S.A. : Society of Protozoologists, c2000.</t>
        </is>
      </c>
      <c r="M214" t="inlineStr">
        <is>
          <t>2000</t>
        </is>
      </c>
      <c r="N214" t="inlineStr">
        <is>
          <t>2nd ed.</t>
        </is>
      </c>
      <c r="O214" t="inlineStr">
        <is>
          <t>eng</t>
        </is>
      </c>
      <c r="P214" t="inlineStr">
        <is>
          <t>ksu</t>
        </is>
      </c>
      <c r="R214" t="inlineStr">
        <is>
          <t xml:space="preserve">QL </t>
        </is>
      </c>
      <c r="S214" t="n">
        <v>1</v>
      </c>
      <c r="T214" t="n">
        <v>2</v>
      </c>
      <c r="U214" t="inlineStr">
        <is>
          <t>2003-06-03</t>
        </is>
      </c>
      <c r="V214" t="inlineStr">
        <is>
          <t>2003-06-03</t>
        </is>
      </c>
      <c r="W214" t="inlineStr">
        <is>
          <t>2002-10-21</t>
        </is>
      </c>
      <c r="X214" t="inlineStr">
        <is>
          <t>2002-10-21</t>
        </is>
      </c>
      <c r="Y214" t="n">
        <v>156</v>
      </c>
      <c r="Z214" t="n">
        <v>130</v>
      </c>
      <c r="AA214" t="n">
        <v>133</v>
      </c>
      <c r="AB214" t="n">
        <v>4</v>
      </c>
      <c r="AC214" t="n">
        <v>4</v>
      </c>
      <c r="AD214" t="n">
        <v>10</v>
      </c>
      <c r="AE214" t="n">
        <v>10</v>
      </c>
      <c r="AF214" t="n">
        <v>3</v>
      </c>
      <c r="AG214" t="n">
        <v>3</v>
      </c>
      <c r="AH214" t="n">
        <v>3</v>
      </c>
      <c r="AI214" t="n">
        <v>3</v>
      </c>
      <c r="AJ214" t="n">
        <v>3</v>
      </c>
      <c r="AK214" t="n">
        <v>3</v>
      </c>
      <c r="AL214" t="n">
        <v>3</v>
      </c>
      <c r="AM214" t="n">
        <v>3</v>
      </c>
      <c r="AN214" t="n">
        <v>0</v>
      </c>
      <c r="AO214" t="n">
        <v>0</v>
      </c>
      <c r="AP214" t="inlineStr">
        <is>
          <t>No</t>
        </is>
      </c>
      <c r="AQ214" t="inlineStr">
        <is>
          <t>Yes</t>
        </is>
      </c>
      <c r="AR214">
        <f>HYPERLINK("http://catalog.hathitrust.org/Record/004292085","HathiTrust Record")</f>
        <v/>
      </c>
      <c r="AS214">
        <f>HYPERLINK("https://creighton-primo.hosted.exlibrisgroup.com/primo-explore/search?tab=default_tab&amp;search_scope=EVERYTHING&amp;vid=01CRU&amp;lang=en_US&amp;offset=0&amp;query=any,contains,991003918969702656","Catalog Record")</f>
        <v/>
      </c>
      <c r="AT214">
        <f>HYPERLINK("http://www.worldcat.org/oclc/49191284","WorldCat Record")</f>
        <v/>
      </c>
      <c r="AU214" t="inlineStr">
        <is>
          <t>365392228:eng</t>
        </is>
      </c>
      <c r="AV214" t="inlineStr">
        <is>
          <t>49191284</t>
        </is>
      </c>
      <c r="AW214" t="inlineStr">
        <is>
          <t>991003918969702656</t>
        </is>
      </c>
      <c r="AX214" t="inlineStr">
        <is>
          <t>991003918969702656</t>
        </is>
      </c>
      <c r="AY214" t="inlineStr">
        <is>
          <t>2262387970002656</t>
        </is>
      </c>
      <c r="AZ214" t="inlineStr">
        <is>
          <t>BOOK</t>
        </is>
      </c>
      <c r="BB214" t="inlineStr">
        <is>
          <t>9781891276224</t>
        </is>
      </c>
      <c r="BC214" t="inlineStr">
        <is>
          <t>32285004656152</t>
        </is>
      </c>
      <c r="BD214" t="inlineStr">
        <is>
          <t>893535712</t>
        </is>
      </c>
    </row>
    <row r="215">
      <c r="A215" t="inlineStr">
        <is>
          <t>No</t>
        </is>
      </c>
      <c r="B215" t="inlineStr">
        <is>
          <t>QL366 .J3 1979</t>
        </is>
      </c>
      <c r="C215" t="inlineStr">
        <is>
          <t>0                      QL 0366000J  3           1979</t>
        </is>
      </c>
      <c r="D215" t="inlineStr">
        <is>
          <t>How to know the protozoa / Theodore Louis Jahn, Eugene Cleveland Bovee, Frances Floed Jahn.</t>
        </is>
      </c>
      <c r="F215" t="inlineStr">
        <is>
          <t>No</t>
        </is>
      </c>
      <c r="G215" t="inlineStr">
        <is>
          <t>1</t>
        </is>
      </c>
      <c r="H215" t="inlineStr">
        <is>
          <t>No</t>
        </is>
      </c>
      <c r="I215" t="inlineStr">
        <is>
          <t>No</t>
        </is>
      </c>
      <c r="J215" t="inlineStr">
        <is>
          <t>0</t>
        </is>
      </c>
      <c r="K215" t="inlineStr">
        <is>
          <t>Jahn, Theodore Louis, 1905-</t>
        </is>
      </c>
      <c r="L215" t="inlineStr">
        <is>
          <t>Dubuque, Iowa : W. C. Brown Co., c1979.</t>
        </is>
      </c>
      <c r="M215" t="inlineStr">
        <is>
          <t>1979</t>
        </is>
      </c>
      <c r="N215" t="inlineStr">
        <is>
          <t>2d ed.</t>
        </is>
      </c>
      <c r="O215" t="inlineStr">
        <is>
          <t>eng</t>
        </is>
      </c>
      <c r="P215" t="inlineStr">
        <is>
          <t>iau</t>
        </is>
      </c>
      <c r="Q215" t="inlineStr">
        <is>
          <t>The Pictured key nature series</t>
        </is>
      </c>
      <c r="R215" t="inlineStr">
        <is>
          <t xml:space="preserve">QL </t>
        </is>
      </c>
      <c r="S215" t="n">
        <v>5</v>
      </c>
      <c r="T215" t="n">
        <v>5</v>
      </c>
      <c r="U215" t="inlineStr">
        <is>
          <t>1994-10-06</t>
        </is>
      </c>
      <c r="V215" t="inlineStr">
        <is>
          <t>1994-10-06</t>
        </is>
      </c>
      <c r="W215" t="inlineStr">
        <is>
          <t>1991-06-28</t>
        </is>
      </c>
      <c r="X215" t="inlineStr">
        <is>
          <t>1991-06-28</t>
        </is>
      </c>
      <c r="Y215" t="n">
        <v>513</v>
      </c>
      <c r="Z215" t="n">
        <v>450</v>
      </c>
      <c r="AA215" t="n">
        <v>455</v>
      </c>
      <c r="AB215" t="n">
        <v>3</v>
      </c>
      <c r="AC215" t="n">
        <v>3</v>
      </c>
      <c r="AD215" t="n">
        <v>11</v>
      </c>
      <c r="AE215" t="n">
        <v>11</v>
      </c>
      <c r="AF215" t="n">
        <v>4</v>
      </c>
      <c r="AG215" t="n">
        <v>4</v>
      </c>
      <c r="AH215" t="n">
        <v>2</v>
      </c>
      <c r="AI215" t="n">
        <v>2</v>
      </c>
      <c r="AJ215" t="n">
        <v>6</v>
      </c>
      <c r="AK215" t="n">
        <v>6</v>
      </c>
      <c r="AL215" t="n">
        <v>2</v>
      </c>
      <c r="AM215" t="n">
        <v>2</v>
      </c>
      <c r="AN215" t="n">
        <v>0</v>
      </c>
      <c r="AO215" t="n">
        <v>0</v>
      </c>
      <c r="AP215" t="inlineStr">
        <is>
          <t>No</t>
        </is>
      </c>
      <c r="AQ215" t="inlineStr">
        <is>
          <t>Yes</t>
        </is>
      </c>
      <c r="AR215">
        <f>HYPERLINK("http://catalog.hathitrust.org/Record/000266410","HathiTrust Record")</f>
        <v/>
      </c>
      <c r="AS215">
        <f>HYPERLINK("https://creighton-primo.hosted.exlibrisgroup.com/primo-explore/search?tab=default_tab&amp;search_scope=EVERYTHING&amp;vid=01CRU&amp;lang=en_US&amp;offset=0&amp;query=any,contains,991004642449702656","Catalog Record")</f>
        <v/>
      </c>
      <c r="AT215">
        <f>HYPERLINK("http://www.worldcat.org/oclc/4469922","WorldCat Record")</f>
        <v/>
      </c>
      <c r="AU215" t="inlineStr">
        <is>
          <t>5218518741:eng</t>
        </is>
      </c>
      <c r="AV215" t="inlineStr">
        <is>
          <t>4469922</t>
        </is>
      </c>
      <c r="AW215" t="inlineStr">
        <is>
          <t>991004642449702656</t>
        </is>
      </c>
      <c r="AX215" t="inlineStr">
        <is>
          <t>991004642449702656</t>
        </is>
      </c>
      <c r="AY215" t="inlineStr">
        <is>
          <t>2269630050002656</t>
        </is>
      </c>
      <c r="AZ215" t="inlineStr">
        <is>
          <t>BOOK</t>
        </is>
      </c>
      <c r="BB215" t="inlineStr">
        <is>
          <t>9780697047588</t>
        </is>
      </c>
      <c r="BC215" t="inlineStr">
        <is>
          <t>32285000635457</t>
        </is>
      </c>
      <c r="BD215" t="inlineStr">
        <is>
          <t>893712844</t>
        </is>
      </c>
    </row>
    <row r="216">
      <c r="A216" t="inlineStr">
        <is>
          <t>No</t>
        </is>
      </c>
      <c r="B216" t="inlineStr">
        <is>
          <t>QL366 .K8 1966</t>
        </is>
      </c>
      <c r="C216" t="inlineStr">
        <is>
          <t>0                      QL 0366000K  8           1966</t>
        </is>
      </c>
      <c r="D216" t="inlineStr">
        <is>
          <t>Protozoology, by Richard R. Kudo.</t>
        </is>
      </c>
      <c r="F216" t="inlineStr">
        <is>
          <t>No</t>
        </is>
      </c>
      <c r="G216" t="inlineStr">
        <is>
          <t>1</t>
        </is>
      </c>
      <c r="H216" t="inlineStr">
        <is>
          <t>No</t>
        </is>
      </c>
      <c r="I216" t="inlineStr">
        <is>
          <t>No</t>
        </is>
      </c>
      <c r="J216" t="inlineStr">
        <is>
          <t>0</t>
        </is>
      </c>
      <c r="K216" t="inlineStr">
        <is>
          <t>Kudo, Richard R. (Richard Roksabro), 1886-1967.</t>
        </is>
      </c>
      <c r="L216" t="inlineStr">
        <is>
          <t>Springfield, Ill., Thomas [1966]</t>
        </is>
      </c>
      <c r="M216" t="inlineStr">
        <is>
          <t>1966</t>
        </is>
      </c>
      <c r="N216" t="inlineStr">
        <is>
          <t>5th ed.</t>
        </is>
      </c>
      <c r="O216" t="inlineStr">
        <is>
          <t>eng</t>
        </is>
      </c>
      <c r="P216" t="inlineStr">
        <is>
          <t>ilu</t>
        </is>
      </c>
      <c r="R216" t="inlineStr">
        <is>
          <t xml:space="preserve">QL </t>
        </is>
      </c>
      <c r="S216" t="n">
        <v>2</v>
      </c>
      <c r="T216" t="n">
        <v>2</v>
      </c>
      <c r="U216" t="inlineStr">
        <is>
          <t>1997-02-20</t>
        </is>
      </c>
      <c r="V216" t="inlineStr">
        <is>
          <t>1997-02-20</t>
        </is>
      </c>
      <c r="W216" t="inlineStr">
        <is>
          <t>1992-09-17</t>
        </is>
      </c>
      <c r="X216" t="inlineStr">
        <is>
          <t>1992-09-17</t>
        </is>
      </c>
      <c r="Y216" t="n">
        <v>868</v>
      </c>
      <c r="Z216" t="n">
        <v>747</v>
      </c>
      <c r="AA216" t="n">
        <v>1036</v>
      </c>
      <c r="AB216" t="n">
        <v>8</v>
      </c>
      <c r="AC216" t="n">
        <v>9</v>
      </c>
      <c r="AD216" t="n">
        <v>30</v>
      </c>
      <c r="AE216" t="n">
        <v>37</v>
      </c>
      <c r="AF216" t="n">
        <v>11</v>
      </c>
      <c r="AG216" t="n">
        <v>13</v>
      </c>
      <c r="AH216" t="n">
        <v>5</v>
      </c>
      <c r="AI216" t="n">
        <v>5</v>
      </c>
      <c r="AJ216" t="n">
        <v>13</v>
      </c>
      <c r="AK216" t="n">
        <v>18</v>
      </c>
      <c r="AL216" t="n">
        <v>7</v>
      </c>
      <c r="AM216" t="n">
        <v>8</v>
      </c>
      <c r="AN216" t="n">
        <v>0</v>
      </c>
      <c r="AO216" t="n">
        <v>0</v>
      </c>
      <c r="AP216" t="inlineStr">
        <is>
          <t>No</t>
        </is>
      </c>
      <c r="AQ216" t="inlineStr">
        <is>
          <t>Yes</t>
        </is>
      </c>
      <c r="AR216">
        <f>HYPERLINK("http://catalog.hathitrust.org/Record/001499310","HathiTrust Record")</f>
        <v/>
      </c>
      <c r="AS216">
        <f>HYPERLINK("https://creighton-primo.hosted.exlibrisgroup.com/primo-explore/search?tab=default_tab&amp;search_scope=EVERYTHING&amp;vid=01CRU&amp;lang=en_US&amp;offset=0&amp;query=any,contains,991002983539702656","Catalog Record")</f>
        <v/>
      </c>
      <c r="AT216">
        <f>HYPERLINK("http://www.worldcat.org/oclc/556222","WorldCat Record")</f>
        <v/>
      </c>
      <c r="AU216" t="inlineStr">
        <is>
          <t>1468440:eng</t>
        </is>
      </c>
      <c r="AV216" t="inlineStr">
        <is>
          <t>556222</t>
        </is>
      </c>
      <c r="AW216" t="inlineStr">
        <is>
          <t>991002983539702656</t>
        </is>
      </c>
      <c r="AX216" t="inlineStr">
        <is>
          <t>991002983539702656</t>
        </is>
      </c>
      <c r="AY216" t="inlineStr">
        <is>
          <t>2259920600002656</t>
        </is>
      </c>
      <c r="AZ216" t="inlineStr">
        <is>
          <t>BOOK</t>
        </is>
      </c>
      <c r="BC216" t="inlineStr">
        <is>
          <t>32285001330181</t>
        </is>
      </c>
      <c r="BD216" t="inlineStr">
        <is>
          <t>893530724</t>
        </is>
      </c>
    </row>
    <row r="217">
      <c r="A217" t="inlineStr">
        <is>
          <t>No</t>
        </is>
      </c>
      <c r="B217" t="inlineStr">
        <is>
          <t>QL366 .L26 1992</t>
        </is>
      </c>
      <c r="C217" t="inlineStr">
        <is>
          <t>0                      QL 0366000L  26          1992</t>
        </is>
      </c>
      <c r="D217" t="inlineStr">
        <is>
          <t>Protozoan plankton ecology / Johanna-Laybourn Parry.</t>
        </is>
      </c>
      <c r="F217" t="inlineStr">
        <is>
          <t>No</t>
        </is>
      </c>
      <c r="G217" t="inlineStr">
        <is>
          <t>1</t>
        </is>
      </c>
      <c r="H217" t="inlineStr">
        <is>
          <t>No</t>
        </is>
      </c>
      <c r="I217" t="inlineStr">
        <is>
          <t>No</t>
        </is>
      </c>
      <c r="J217" t="inlineStr">
        <is>
          <t>0</t>
        </is>
      </c>
      <c r="K217" t="inlineStr">
        <is>
          <t>Laybourn-Parry, Johanna.</t>
        </is>
      </c>
      <c r="L217" t="inlineStr">
        <is>
          <t>London ; New York : Chapman &amp; Hall, 1992.</t>
        </is>
      </c>
      <c r="M217" t="inlineStr">
        <is>
          <t>1992</t>
        </is>
      </c>
      <c r="N217" t="inlineStr">
        <is>
          <t>1st ed.</t>
        </is>
      </c>
      <c r="O217" t="inlineStr">
        <is>
          <t>eng</t>
        </is>
      </c>
      <c r="P217" t="inlineStr">
        <is>
          <t>enk</t>
        </is>
      </c>
      <c r="R217" t="inlineStr">
        <is>
          <t xml:space="preserve">QL </t>
        </is>
      </c>
      <c r="S217" t="n">
        <v>11</v>
      </c>
      <c r="T217" t="n">
        <v>11</v>
      </c>
      <c r="U217" t="inlineStr">
        <is>
          <t>2006-01-26</t>
        </is>
      </c>
      <c r="V217" t="inlineStr">
        <is>
          <t>2006-01-26</t>
        </is>
      </c>
      <c r="W217" t="inlineStr">
        <is>
          <t>1992-11-09</t>
        </is>
      </c>
      <c r="X217" t="inlineStr">
        <is>
          <t>1992-11-09</t>
        </is>
      </c>
      <c r="Y217" t="n">
        <v>279</v>
      </c>
      <c r="Z217" t="n">
        <v>179</v>
      </c>
      <c r="AA217" t="n">
        <v>187</v>
      </c>
      <c r="AB217" t="n">
        <v>1</v>
      </c>
      <c r="AC217" t="n">
        <v>1</v>
      </c>
      <c r="AD217" t="n">
        <v>7</v>
      </c>
      <c r="AE217" t="n">
        <v>7</v>
      </c>
      <c r="AF217" t="n">
        <v>3</v>
      </c>
      <c r="AG217" t="n">
        <v>3</v>
      </c>
      <c r="AH217" t="n">
        <v>3</v>
      </c>
      <c r="AI217" t="n">
        <v>3</v>
      </c>
      <c r="AJ217" t="n">
        <v>4</v>
      </c>
      <c r="AK217" t="n">
        <v>4</v>
      </c>
      <c r="AL217" t="n">
        <v>0</v>
      </c>
      <c r="AM217" t="n">
        <v>0</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HYPERLINK("https://creighton-primo.hosted.exlibrisgroup.com/primo-explore/search?tab=default_tab&amp;search_scope=EVERYTHING&amp;vid=01CRU&amp;lang=en_US&amp;offset=0&amp;query=any,contains,991001908189702656","Catalog Record")</f>
        <v/>
      </c>
      <c r="AT217">
        <f>HYPERLINK("http://www.worldcat.org/oclc/24106098","WorldCat Record")</f>
        <v/>
      </c>
      <c r="AU217" t="inlineStr">
        <is>
          <t>25023718:eng</t>
        </is>
      </c>
      <c r="AV217" t="inlineStr">
        <is>
          <t>24106098</t>
        </is>
      </c>
      <c r="AW217" t="inlineStr">
        <is>
          <t>991001908189702656</t>
        </is>
      </c>
      <c r="AX217" t="inlineStr">
        <is>
          <t>991001908189702656</t>
        </is>
      </c>
      <c r="AY217" t="inlineStr">
        <is>
          <t>2255719900002656</t>
        </is>
      </c>
      <c r="AZ217" t="inlineStr">
        <is>
          <t>BOOK</t>
        </is>
      </c>
      <c r="BB217" t="inlineStr">
        <is>
          <t>9780412344404</t>
        </is>
      </c>
      <c r="BC217" t="inlineStr">
        <is>
          <t>32285001360956</t>
        </is>
      </c>
      <c r="BD217" t="inlineStr">
        <is>
          <t>893590729</t>
        </is>
      </c>
    </row>
    <row r="218">
      <c r="A218" t="inlineStr">
        <is>
          <t>No</t>
        </is>
      </c>
      <c r="B218" t="inlineStr">
        <is>
          <t>QL366 .M28</t>
        </is>
      </c>
      <c r="C218" t="inlineStr">
        <is>
          <t>0                      QL 0366000M  28</t>
        </is>
      </c>
      <c r="D218" t="inlineStr">
        <is>
          <t>An introduction to the study of protozoa / by the late Doris L. Mackinnon and R. S. J. Hawes.</t>
        </is>
      </c>
      <c r="F218" t="inlineStr">
        <is>
          <t>No</t>
        </is>
      </c>
      <c r="G218" t="inlineStr">
        <is>
          <t>1</t>
        </is>
      </c>
      <c r="H218" t="inlineStr">
        <is>
          <t>No</t>
        </is>
      </c>
      <c r="I218" t="inlineStr">
        <is>
          <t>No</t>
        </is>
      </c>
      <c r="J218" t="inlineStr">
        <is>
          <t>0</t>
        </is>
      </c>
      <c r="K218" t="inlineStr">
        <is>
          <t>Mackinnon, Doris L. (Doris Livingston)</t>
        </is>
      </c>
      <c r="L218" t="inlineStr">
        <is>
          <t>Oxford : Clarendon Press, 1961.</t>
        </is>
      </c>
      <c r="M218" t="inlineStr">
        <is>
          <t>1961</t>
        </is>
      </c>
      <c r="O218" t="inlineStr">
        <is>
          <t>eng</t>
        </is>
      </c>
      <c r="P218" t="inlineStr">
        <is>
          <t>enk</t>
        </is>
      </c>
      <c r="R218" t="inlineStr">
        <is>
          <t xml:space="preserve">QL </t>
        </is>
      </c>
      <c r="S218" t="n">
        <v>2</v>
      </c>
      <c r="T218" t="n">
        <v>2</v>
      </c>
      <c r="U218" t="inlineStr">
        <is>
          <t>2009-08-17</t>
        </is>
      </c>
      <c r="V218" t="inlineStr">
        <is>
          <t>2009-08-17</t>
        </is>
      </c>
      <c r="W218" t="inlineStr">
        <is>
          <t>1990-05-30</t>
        </is>
      </c>
      <c r="X218" t="inlineStr">
        <is>
          <t>1990-05-30</t>
        </is>
      </c>
      <c r="Y218" t="n">
        <v>584</v>
      </c>
      <c r="Z218" t="n">
        <v>435</v>
      </c>
      <c r="AA218" t="n">
        <v>458</v>
      </c>
      <c r="AB218" t="n">
        <v>3</v>
      </c>
      <c r="AC218" t="n">
        <v>3</v>
      </c>
      <c r="AD218" t="n">
        <v>20</v>
      </c>
      <c r="AE218" t="n">
        <v>20</v>
      </c>
      <c r="AF218" t="n">
        <v>9</v>
      </c>
      <c r="AG218" t="n">
        <v>9</v>
      </c>
      <c r="AH218" t="n">
        <v>3</v>
      </c>
      <c r="AI218" t="n">
        <v>3</v>
      </c>
      <c r="AJ218" t="n">
        <v>12</v>
      </c>
      <c r="AK218" t="n">
        <v>12</v>
      </c>
      <c r="AL218" t="n">
        <v>2</v>
      </c>
      <c r="AM218" t="n">
        <v>2</v>
      </c>
      <c r="AN218" t="n">
        <v>0</v>
      </c>
      <c r="AO218" t="n">
        <v>0</v>
      </c>
      <c r="AP218" t="inlineStr">
        <is>
          <t>No</t>
        </is>
      </c>
      <c r="AQ218" t="inlineStr">
        <is>
          <t>Yes</t>
        </is>
      </c>
      <c r="AR218">
        <f>HYPERLINK("http://catalog.hathitrust.org/Record/001499311","HathiTrust Record")</f>
        <v/>
      </c>
      <c r="AS218">
        <f>HYPERLINK("https://creighton-primo.hosted.exlibrisgroup.com/primo-explore/search?tab=default_tab&amp;search_scope=EVERYTHING&amp;vid=01CRU&amp;lang=en_US&amp;offset=0&amp;query=any,contains,991003309709702656","Catalog Record")</f>
        <v/>
      </c>
      <c r="AT218">
        <f>HYPERLINK("http://www.worldcat.org/oclc/833576","WorldCat Record")</f>
        <v/>
      </c>
      <c r="AU218" t="inlineStr">
        <is>
          <t>1471875:eng</t>
        </is>
      </c>
      <c r="AV218" t="inlineStr">
        <is>
          <t>833576</t>
        </is>
      </c>
      <c r="AW218" t="inlineStr">
        <is>
          <t>991003309709702656</t>
        </is>
      </c>
      <c r="AX218" t="inlineStr">
        <is>
          <t>991003309709702656</t>
        </is>
      </c>
      <c r="AY218" t="inlineStr">
        <is>
          <t>2271625740002656</t>
        </is>
      </c>
      <c r="AZ218" t="inlineStr">
        <is>
          <t>BOOK</t>
        </is>
      </c>
      <c r="BC218" t="inlineStr">
        <is>
          <t>32285000159854</t>
        </is>
      </c>
      <c r="BD218" t="inlineStr">
        <is>
          <t>893518362</t>
        </is>
      </c>
    </row>
    <row r="219">
      <c r="A219" t="inlineStr">
        <is>
          <t>No</t>
        </is>
      </c>
      <c r="B219" t="inlineStr">
        <is>
          <t>QL366 .N38 1988</t>
        </is>
      </c>
      <c r="C219" t="inlineStr">
        <is>
          <t>0                      QL 0366000N  38          1988</t>
        </is>
      </c>
      <c r="D219" t="inlineStr">
        <is>
          <t>Protozoa and their role in marine processes / edited by P.C. Reid, C.M. Turley, and P.H. Burkill.</t>
        </is>
      </c>
      <c r="F219" t="inlineStr">
        <is>
          <t>No</t>
        </is>
      </c>
      <c r="G219" t="inlineStr">
        <is>
          <t>1</t>
        </is>
      </c>
      <c r="H219" t="inlineStr">
        <is>
          <t>No</t>
        </is>
      </c>
      <c r="I219" t="inlineStr">
        <is>
          <t>No</t>
        </is>
      </c>
      <c r="J219" t="inlineStr">
        <is>
          <t>0</t>
        </is>
      </c>
      <c r="K219" t="inlineStr">
        <is>
          <t>NATO Advanced Study Institute on Protozoa and Their Role in Marine Processes (1988 : Plymouth, England)</t>
        </is>
      </c>
      <c r="L219" t="inlineStr">
        <is>
          <t>Berlin ; New York : Springer-Verlag, c1991.</t>
        </is>
      </c>
      <c r="M219" t="inlineStr">
        <is>
          <t>1991</t>
        </is>
      </c>
      <c r="O219" t="inlineStr">
        <is>
          <t>eng</t>
        </is>
      </c>
      <c r="P219" t="inlineStr">
        <is>
          <t xml:space="preserve">gw </t>
        </is>
      </c>
      <c r="Q219" t="inlineStr">
        <is>
          <t>NATO ASI series. Series G, Ecological sciences ; vol. 25</t>
        </is>
      </c>
      <c r="R219" t="inlineStr">
        <is>
          <t xml:space="preserve">QL </t>
        </is>
      </c>
      <c r="S219" t="n">
        <v>8</v>
      </c>
      <c r="T219" t="n">
        <v>8</v>
      </c>
      <c r="U219" t="inlineStr">
        <is>
          <t>2006-01-29</t>
        </is>
      </c>
      <c r="V219" t="inlineStr">
        <is>
          <t>2006-01-29</t>
        </is>
      </c>
      <c r="W219" t="inlineStr">
        <is>
          <t>1991-09-20</t>
        </is>
      </c>
      <c r="X219" t="inlineStr">
        <is>
          <t>1991-09-20</t>
        </is>
      </c>
      <c r="Y219" t="n">
        <v>119</v>
      </c>
      <c r="Z219" t="n">
        <v>73</v>
      </c>
      <c r="AA219" t="n">
        <v>93</v>
      </c>
      <c r="AB219" t="n">
        <v>1</v>
      </c>
      <c r="AC219" t="n">
        <v>1</v>
      </c>
      <c r="AD219" t="n">
        <v>0</v>
      </c>
      <c r="AE219" t="n">
        <v>1</v>
      </c>
      <c r="AF219" t="n">
        <v>0</v>
      </c>
      <c r="AG219" t="n">
        <v>1</v>
      </c>
      <c r="AH219" t="n">
        <v>0</v>
      </c>
      <c r="AI219" t="n">
        <v>0</v>
      </c>
      <c r="AJ219" t="n">
        <v>0</v>
      </c>
      <c r="AK219" t="n">
        <v>1</v>
      </c>
      <c r="AL219" t="n">
        <v>0</v>
      </c>
      <c r="AM219" t="n">
        <v>0</v>
      </c>
      <c r="AN219" t="n">
        <v>0</v>
      </c>
      <c r="AO219" t="n">
        <v>0</v>
      </c>
      <c r="AP219" t="inlineStr">
        <is>
          <t>No</t>
        </is>
      </c>
      <c r="AQ219" t="inlineStr">
        <is>
          <t>Yes</t>
        </is>
      </c>
      <c r="AR219">
        <f>HYPERLINK("http://catalog.hathitrust.org/Record/002463526","HathiTrust Record")</f>
        <v/>
      </c>
      <c r="AS219">
        <f>HYPERLINK("https://creighton-primo.hosted.exlibrisgroup.com/primo-explore/search?tab=default_tab&amp;search_scope=EVERYTHING&amp;vid=01CRU&amp;lang=en_US&amp;offset=0&amp;query=any,contains,991001817939702656","Catalog Record")</f>
        <v/>
      </c>
      <c r="AT219">
        <f>HYPERLINK("http://www.worldcat.org/oclc/22859897","WorldCat Record")</f>
        <v/>
      </c>
      <c r="AU219" t="inlineStr">
        <is>
          <t>24065531:eng</t>
        </is>
      </c>
      <c r="AV219" t="inlineStr">
        <is>
          <t>22859897</t>
        </is>
      </c>
      <c r="AW219" t="inlineStr">
        <is>
          <t>991001817939702656</t>
        </is>
      </c>
      <c r="AX219" t="inlineStr">
        <is>
          <t>991001817939702656</t>
        </is>
      </c>
      <c r="AY219" t="inlineStr">
        <is>
          <t>2259292010002656</t>
        </is>
      </c>
      <c r="AZ219" t="inlineStr">
        <is>
          <t>BOOK</t>
        </is>
      </c>
      <c r="BB219" t="inlineStr">
        <is>
          <t>9780387185651</t>
        </is>
      </c>
      <c r="BC219" t="inlineStr">
        <is>
          <t>32285000704691</t>
        </is>
      </c>
      <c r="BD219" t="inlineStr">
        <is>
          <t>893903588</t>
        </is>
      </c>
    </row>
    <row r="220">
      <c r="A220" t="inlineStr">
        <is>
          <t>No</t>
        </is>
      </c>
      <c r="B220" t="inlineStr">
        <is>
          <t>QL366 .S54 1989</t>
        </is>
      </c>
      <c r="C220" t="inlineStr">
        <is>
          <t>0                      QL 0366000S  54          1989</t>
        </is>
      </c>
      <c r="D220" t="inlineStr">
        <is>
          <t>Protozoa and other protists / Michael A. Sleigh.</t>
        </is>
      </c>
      <c r="F220" t="inlineStr">
        <is>
          <t>No</t>
        </is>
      </c>
      <c r="G220" t="inlineStr">
        <is>
          <t>1</t>
        </is>
      </c>
      <c r="H220" t="inlineStr">
        <is>
          <t>No</t>
        </is>
      </c>
      <c r="I220" t="inlineStr">
        <is>
          <t>No</t>
        </is>
      </c>
      <c r="J220" t="inlineStr">
        <is>
          <t>0</t>
        </is>
      </c>
      <c r="K220" t="inlineStr">
        <is>
          <t>Sleigh, Michael A.</t>
        </is>
      </c>
      <c r="L220" t="inlineStr">
        <is>
          <t>London : Edward Arnold, 1989.</t>
        </is>
      </c>
      <c r="M220" t="inlineStr">
        <is>
          <t>1989</t>
        </is>
      </c>
      <c r="N220" t="inlineStr">
        <is>
          <t>[2nd ed.]</t>
        </is>
      </c>
      <c r="O220" t="inlineStr">
        <is>
          <t>eng</t>
        </is>
      </c>
      <c r="P220" t="inlineStr">
        <is>
          <t>enk</t>
        </is>
      </c>
      <c r="R220" t="inlineStr">
        <is>
          <t xml:space="preserve">QL </t>
        </is>
      </c>
      <c r="S220" t="n">
        <v>11</v>
      </c>
      <c r="T220" t="n">
        <v>11</v>
      </c>
      <c r="U220" t="inlineStr">
        <is>
          <t>2002-04-21</t>
        </is>
      </c>
      <c r="V220" t="inlineStr">
        <is>
          <t>2002-04-21</t>
        </is>
      </c>
      <c r="W220" t="inlineStr">
        <is>
          <t>1990-01-25</t>
        </is>
      </c>
      <c r="X220" t="inlineStr">
        <is>
          <t>1990-01-25</t>
        </is>
      </c>
      <c r="Y220" t="n">
        <v>350</v>
      </c>
      <c r="Z220" t="n">
        <v>259</v>
      </c>
      <c r="AA220" t="n">
        <v>282</v>
      </c>
      <c r="AB220" t="n">
        <v>4</v>
      </c>
      <c r="AC220" t="n">
        <v>4</v>
      </c>
      <c r="AD220" t="n">
        <v>15</v>
      </c>
      <c r="AE220" t="n">
        <v>15</v>
      </c>
      <c r="AF220" t="n">
        <v>7</v>
      </c>
      <c r="AG220" t="n">
        <v>7</v>
      </c>
      <c r="AH220" t="n">
        <v>4</v>
      </c>
      <c r="AI220" t="n">
        <v>4</v>
      </c>
      <c r="AJ220" t="n">
        <v>6</v>
      </c>
      <c r="AK220" t="n">
        <v>6</v>
      </c>
      <c r="AL220" t="n">
        <v>3</v>
      </c>
      <c r="AM220" t="n">
        <v>3</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HYPERLINK("https://creighton-primo.hosted.exlibrisgroup.com/primo-explore/search?tab=default_tab&amp;search_scope=EVERYTHING&amp;vid=01CRU&amp;lang=en_US&amp;offset=0&amp;query=any,contains,991001376219702656","Catalog Record")</f>
        <v/>
      </c>
      <c r="AT220">
        <f>HYPERLINK("http://www.worldcat.org/oclc/21446319","WorldCat Record")</f>
        <v/>
      </c>
      <c r="AU220" t="inlineStr">
        <is>
          <t>23819464:eng</t>
        </is>
      </c>
      <c r="AV220" t="inlineStr">
        <is>
          <t>21446319</t>
        </is>
      </c>
      <c r="AW220" t="inlineStr">
        <is>
          <t>991001376219702656</t>
        </is>
      </c>
      <c r="AX220" t="inlineStr">
        <is>
          <t>991001376219702656</t>
        </is>
      </c>
      <c r="AY220" t="inlineStr">
        <is>
          <t>2264558880002656</t>
        </is>
      </c>
      <c r="AZ220" t="inlineStr">
        <is>
          <t>BOOK</t>
        </is>
      </c>
      <c r="BB220" t="inlineStr">
        <is>
          <t>9780713129793</t>
        </is>
      </c>
      <c r="BC220" t="inlineStr">
        <is>
          <t>32285000035427</t>
        </is>
      </c>
      <c r="BD220" t="inlineStr">
        <is>
          <t>893509582</t>
        </is>
      </c>
    </row>
    <row r="221">
      <c r="A221" t="inlineStr">
        <is>
          <t>No</t>
        </is>
      </c>
      <c r="B221" t="inlineStr">
        <is>
          <t>QL366.5 .P37 1992b</t>
        </is>
      </c>
      <c r="C221" t="inlineStr">
        <is>
          <t>0                      QL 0366500P  37          1992b</t>
        </is>
      </c>
      <c r="D221" t="inlineStr">
        <is>
          <t>Free-living freshwater protozoa : a colour guide / D.J. Patterson ; illustrated by Stuart Hedley.</t>
        </is>
      </c>
      <c r="F221" t="inlineStr">
        <is>
          <t>No</t>
        </is>
      </c>
      <c r="G221" t="inlineStr">
        <is>
          <t>1</t>
        </is>
      </c>
      <c r="H221" t="inlineStr">
        <is>
          <t>No</t>
        </is>
      </c>
      <c r="I221" t="inlineStr">
        <is>
          <t>No</t>
        </is>
      </c>
      <c r="J221" t="inlineStr">
        <is>
          <t>0</t>
        </is>
      </c>
      <c r="K221" t="inlineStr">
        <is>
          <t>Patterson, D. J.</t>
        </is>
      </c>
      <c r="L221" t="inlineStr">
        <is>
          <t>Aylesbury, Eng. : Wolfe Publishing, 1992.</t>
        </is>
      </c>
      <c r="M221" t="inlineStr">
        <is>
          <t>1992</t>
        </is>
      </c>
      <c r="O221" t="inlineStr">
        <is>
          <t>eng</t>
        </is>
      </c>
      <c r="P221" t="inlineStr">
        <is>
          <t>enk</t>
        </is>
      </c>
      <c r="R221" t="inlineStr">
        <is>
          <t xml:space="preserve">QL </t>
        </is>
      </c>
      <c r="S221" t="n">
        <v>6</v>
      </c>
      <c r="T221" t="n">
        <v>6</v>
      </c>
      <c r="U221" t="inlineStr">
        <is>
          <t>2002-04-21</t>
        </is>
      </c>
      <c r="V221" t="inlineStr">
        <is>
          <t>2002-04-21</t>
        </is>
      </c>
      <c r="W221" t="inlineStr">
        <is>
          <t>1992-12-10</t>
        </is>
      </c>
      <c r="X221" t="inlineStr">
        <is>
          <t>1992-12-10</t>
        </is>
      </c>
      <c r="Y221" t="n">
        <v>63</v>
      </c>
      <c r="Z221" t="n">
        <v>17</v>
      </c>
      <c r="AA221" t="n">
        <v>199</v>
      </c>
      <c r="AB221" t="n">
        <v>1</v>
      </c>
      <c r="AC221" t="n">
        <v>2</v>
      </c>
      <c r="AD221" t="n">
        <v>2</v>
      </c>
      <c r="AE221" t="n">
        <v>6</v>
      </c>
      <c r="AF221" t="n">
        <v>0</v>
      </c>
      <c r="AG221" t="n">
        <v>2</v>
      </c>
      <c r="AH221" t="n">
        <v>1</v>
      </c>
      <c r="AI221" t="n">
        <v>1</v>
      </c>
      <c r="AJ221" t="n">
        <v>1</v>
      </c>
      <c r="AK221" t="n">
        <v>3</v>
      </c>
      <c r="AL221" t="n">
        <v>0</v>
      </c>
      <c r="AM221" t="n">
        <v>1</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HYPERLINK("https://creighton-primo.hosted.exlibrisgroup.com/primo-explore/search?tab=default_tab&amp;search_scope=EVERYTHING&amp;vid=01CRU&amp;lang=en_US&amp;offset=0&amp;query=any,contains,991001961019702656","Catalog Record")</f>
        <v/>
      </c>
      <c r="AT221">
        <f>HYPERLINK("http://www.worldcat.org/oclc/316159636","WorldCat Record")</f>
        <v/>
      </c>
      <c r="AU221" t="inlineStr">
        <is>
          <t>340137:eng</t>
        </is>
      </c>
      <c r="AV221" t="inlineStr">
        <is>
          <t>316159636</t>
        </is>
      </c>
      <c r="AW221" t="inlineStr">
        <is>
          <t>991001961019702656</t>
        </is>
      </c>
      <c r="AX221" t="inlineStr">
        <is>
          <t>991001961019702656</t>
        </is>
      </c>
      <c r="AY221" t="inlineStr">
        <is>
          <t>2269533440002656</t>
        </is>
      </c>
      <c r="AZ221" t="inlineStr">
        <is>
          <t>BOOK</t>
        </is>
      </c>
      <c r="BB221" t="inlineStr">
        <is>
          <t>9780723416838</t>
        </is>
      </c>
      <c r="BC221" t="inlineStr">
        <is>
          <t>32285001401990</t>
        </is>
      </c>
      <c r="BD221" t="inlineStr">
        <is>
          <t>893891986</t>
        </is>
      </c>
    </row>
    <row r="222">
      <c r="A222" t="inlineStr">
        <is>
          <t>No</t>
        </is>
      </c>
      <c r="B222" t="inlineStr">
        <is>
          <t>QL368.A14 O35</t>
        </is>
      </c>
      <c r="C222" t="inlineStr">
        <is>
          <t>0                      QL 0368000A  14                 O  35</t>
        </is>
      </c>
      <c r="D222" t="inlineStr">
        <is>
          <t>An atlas of freshwater testate amoebae / C. G. Ogden &amp; R. H. Hedley.</t>
        </is>
      </c>
      <c r="F222" t="inlineStr">
        <is>
          <t>No</t>
        </is>
      </c>
      <c r="G222" t="inlineStr">
        <is>
          <t>1</t>
        </is>
      </c>
      <c r="H222" t="inlineStr">
        <is>
          <t>No</t>
        </is>
      </c>
      <c r="I222" t="inlineStr">
        <is>
          <t>No</t>
        </is>
      </c>
      <c r="J222" t="inlineStr">
        <is>
          <t>0</t>
        </is>
      </c>
      <c r="K222" t="inlineStr">
        <is>
          <t>Ogden, Colin Gerald.</t>
        </is>
      </c>
      <c r="L222" t="inlineStr">
        <is>
          <t>Oxford : Oxford University Press [for the] British Museum (Natural History), 1980.</t>
        </is>
      </c>
      <c r="M222" t="inlineStr">
        <is>
          <t>1980</t>
        </is>
      </c>
      <c r="O222" t="inlineStr">
        <is>
          <t>eng</t>
        </is>
      </c>
      <c r="P222" t="inlineStr">
        <is>
          <t>enk</t>
        </is>
      </c>
      <c r="Q222" t="inlineStr">
        <is>
          <t>Publication (British Museum (Natural History)) ; no. 814</t>
        </is>
      </c>
      <c r="R222" t="inlineStr">
        <is>
          <t xml:space="preserve">QL </t>
        </is>
      </c>
      <c r="S222" t="n">
        <v>1</v>
      </c>
      <c r="T222" t="n">
        <v>1</v>
      </c>
      <c r="U222" t="inlineStr">
        <is>
          <t>1994-09-12</t>
        </is>
      </c>
      <c r="V222" t="inlineStr">
        <is>
          <t>1994-09-12</t>
        </is>
      </c>
      <c r="W222" t="inlineStr">
        <is>
          <t>1993-05-25</t>
        </is>
      </c>
      <c r="X222" t="inlineStr">
        <is>
          <t>1993-05-25</t>
        </is>
      </c>
      <c r="Y222" t="n">
        <v>200</v>
      </c>
      <c r="Z222" t="n">
        <v>129</v>
      </c>
      <c r="AA222" t="n">
        <v>131</v>
      </c>
      <c r="AB222" t="n">
        <v>2</v>
      </c>
      <c r="AC222" t="n">
        <v>2</v>
      </c>
      <c r="AD222" t="n">
        <v>3</v>
      </c>
      <c r="AE222" t="n">
        <v>3</v>
      </c>
      <c r="AF222" t="n">
        <v>0</v>
      </c>
      <c r="AG222" t="n">
        <v>0</v>
      </c>
      <c r="AH222" t="n">
        <v>2</v>
      </c>
      <c r="AI222" t="n">
        <v>2</v>
      </c>
      <c r="AJ222" t="n">
        <v>1</v>
      </c>
      <c r="AK222" t="n">
        <v>1</v>
      </c>
      <c r="AL222" t="n">
        <v>1</v>
      </c>
      <c r="AM222" t="n">
        <v>1</v>
      </c>
      <c r="AN222" t="n">
        <v>0</v>
      </c>
      <c r="AO222" t="n">
        <v>0</v>
      </c>
      <c r="AP222" t="inlineStr">
        <is>
          <t>No</t>
        </is>
      </c>
      <c r="AQ222" t="inlineStr">
        <is>
          <t>Yes</t>
        </is>
      </c>
      <c r="AR222">
        <f>HYPERLINK("http://catalog.hathitrust.org/Record/000727786","HathiTrust Record")</f>
        <v/>
      </c>
      <c r="AS222">
        <f>HYPERLINK("https://creighton-primo.hosted.exlibrisgroup.com/primo-explore/search?tab=default_tab&amp;search_scope=EVERYTHING&amp;vid=01CRU&amp;lang=en_US&amp;offset=0&amp;query=any,contains,991004966279702656","Catalog Record")</f>
        <v/>
      </c>
      <c r="AT222">
        <f>HYPERLINK("http://www.worldcat.org/oclc/6334686","WorldCat Record")</f>
        <v/>
      </c>
      <c r="AU222" t="inlineStr">
        <is>
          <t>20309523:eng</t>
        </is>
      </c>
      <c r="AV222" t="inlineStr">
        <is>
          <t>6334686</t>
        </is>
      </c>
      <c r="AW222" t="inlineStr">
        <is>
          <t>991004966279702656</t>
        </is>
      </c>
      <c r="AX222" t="inlineStr">
        <is>
          <t>991004966279702656</t>
        </is>
      </c>
      <c r="AY222" t="inlineStr">
        <is>
          <t>2269084640002656</t>
        </is>
      </c>
      <c r="AZ222" t="inlineStr">
        <is>
          <t>BOOK</t>
        </is>
      </c>
      <c r="BB222" t="inlineStr">
        <is>
          <t>9780198585022</t>
        </is>
      </c>
      <c r="BC222" t="inlineStr">
        <is>
          <t>32285001686608</t>
        </is>
      </c>
      <c r="BD222" t="inlineStr">
        <is>
          <t>893895683</t>
        </is>
      </c>
    </row>
    <row r="223">
      <c r="A223" t="inlineStr">
        <is>
          <t>No</t>
        </is>
      </c>
      <c r="B223" t="inlineStr">
        <is>
          <t>QL368.C5 G49 1973</t>
        </is>
      </c>
      <c r="C223" t="inlineStr">
        <is>
          <t>0                      QL 0368000C  5                  G  49          1973</t>
        </is>
      </c>
      <c r="D223" t="inlineStr">
        <is>
          <t>Blepharisma : the biology of a light-sensitive protozoan / by Arthur C. Giese. With the collaboration of Shōichirō Suzuki [and others]</t>
        </is>
      </c>
      <c r="F223" t="inlineStr">
        <is>
          <t>No</t>
        </is>
      </c>
      <c r="G223" t="inlineStr">
        <is>
          <t>1</t>
        </is>
      </c>
      <c r="H223" t="inlineStr">
        <is>
          <t>No</t>
        </is>
      </c>
      <c r="I223" t="inlineStr">
        <is>
          <t>No</t>
        </is>
      </c>
      <c r="J223" t="inlineStr">
        <is>
          <t>0</t>
        </is>
      </c>
      <c r="K223" t="inlineStr">
        <is>
          <t>Giese, Arthur C. (Arthur Charles), 1904-1994.</t>
        </is>
      </c>
      <c r="L223" t="inlineStr">
        <is>
          <t>Stanford, Calif. : Stanford University Press, 1973.</t>
        </is>
      </c>
      <c r="M223" t="inlineStr">
        <is>
          <t>1973</t>
        </is>
      </c>
      <c r="O223" t="inlineStr">
        <is>
          <t>eng</t>
        </is>
      </c>
      <c r="P223" t="inlineStr">
        <is>
          <t>cau</t>
        </is>
      </c>
      <c r="R223" t="inlineStr">
        <is>
          <t xml:space="preserve">QL </t>
        </is>
      </c>
      <c r="S223" t="n">
        <v>1</v>
      </c>
      <c r="T223" t="n">
        <v>1</v>
      </c>
      <c r="U223" t="inlineStr">
        <is>
          <t>1993-09-13</t>
        </is>
      </c>
      <c r="V223" t="inlineStr">
        <is>
          <t>1993-09-13</t>
        </is>
      </c>
      <c r="W223" t="inlineStr">
        <is>
          <t>1993-03-04</t>
        </is>
      </c>
      <c r="X223" t="inlineStr">
        <is>
          <t>1993-03-04</t>
        </is>
      </c>
      <c r="Y223" t="n">
        <v>357</v>
      </c>
      <c r="Z223" t="n">
        <v>294</v>
      </c>
      <c r="AA223" t="n">
        <v>295</v>
      </c>
      <c r="AB223" t="n">
        <v>5</v>
      </c>
      <c r="AC223" t="n">
        <v>5</v>
      </c>
      <c r="AD223" t="n">
        <v>10</v>
      </c>
      <c r="AE223" t="n">
        <v>10</v>
      </c>
      <c r="AF223" t="n">
        <v>1</v>
      </c>
      <c r="AG223" t="n">
        <v>1</v>
      </c>
      <c r="AH223" t="n">
        <v>2</v>
      </c>
      <c r="AI223" t="n">
        <v>2</v>
      </c>
      <c r="AJ223" t="n">
        <v>4</v>
      </c>
      <c r="AK223" t="n">
        <v>4</v>
      </c>
      <c r="AL223" t="n">
        <v>4</v>
      </c>
      <c r="AM223" t="n">
        <v>4</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HYPERLINK("https://creighton-primo.hosted.exlibrisgroup.com/primo-explore/search?tab=default_tab&amp;search_scope=EVERYTHING&amp;vid=01CRU&amp;lang=en_US&amp;offset=0&amp;query=any,contains,991003045419702656","Catalog Record")</f>
        <v/>
      </c>
      <c r="AT223">
        <f>HYPERLINK("http://www.worldcat.org/oclc/606108","WorldCat Record")</f>
        <v/>
      </c>
      <c r="AU223" t="inlineStr">
        <is>
          <t>762686030:eng</t>
        </is>
      </c>
      <c r="AV223" t="inlineStr">
        <is>
          <t>606108</t>
        </is>
      </c>
      <c r="AW223" t="inlineStr">
        <is>
          <t>991003045419702656</t>
        </is>
      </c>
      <c r="AX223" t="inlineStr">
        <is>
          <t>991003045419702656</t>
        </is>
      </c>
      <c r="AY223" t="inlineStr">
        <is>
          <t>2263972990002656</t>
        </is>
      </c>
      <c r="AZ223" t="inlineStr">
        <is>
          <t>BOOK</t>
        </is>
      </c>
      <c r="BB223" t="inlineStr">
        <is>
          <t>9780804708173</t>
        </is>
      </c>
      <c r="BC223" t="inlineStr">
        <is>
          <t>32285001497154</t>
        </is>
      </c>
      <c r="BD223" t="inlineStr">
        <is>
          <t>893710993</t>
        </is>
      </c>
    </row>
    <row r="224">
      <c r="A224" t="inlineStr">
        <is>
          <t>No</t>
        </is>
      </c>
      <c r="B224" t="inlineStr">
        <is>
          <t>QL368.C5 J8</t>
        </is>
      </c>
      <c r="C224" t="inlineStr">
        <is>
          <t>0                      QL 0368000C  5                  J  8</t>
        </is>
      </c>
      <c r="D224" t="inlineStr">
        <is>
          <t>The anatomy of Paramecium aurelia [by] A. Jurand and G. G. Selman.</t>
        </is>
      </c>
      <c r="F224" t="inlineStr">
        <is>
          <t>No</t>
        </is>
      </c>
      <c r="G224" t="inlineStr">
        <is>
          <t>1</t>
        </is>
      </c>
      <c r="H224" t="inlineStr">
        <is>
          <t>No</t>
        </is>
      </c>
      <c r="I224" t="inlineStr">
        <is>
          <t>No</t>
        </is>
      </c>
      <c r="J224" t="inlineStr">
        <is>
          <t>0</t>
        </is>
      </c>
      <c r="K224" t="inlineStr">
        <is>
          <t>Jurand, A. (Artur)</t>
        </is>
      </c>
      <c r="L224" t="inlineStr">
        <is>
          <t>London, Macmillan; New York, St. Martin's P., 1969.</t>
        </is>
      </c>
      <c r="M224" t="inlineStr">
        <is>
          <t>1969</t>
        </is>
      </c>
      <c r="O224" t="inlineStr">
        <is>
          <t>eng</t>
        </is>
      </c>
      <c r="P224" t="inlineStr">
        <is>
          <t>enk</t>
        </is>
      </c>
      <c r="R224" t="inlineStr">
        <is>
          <t xml:space="preserve">QL </t>
        </is>
      </c>
      <c r="S224" t="n">
        <v>1</v>
      </c>
      <c r="T224" t="n">
        <v>1</v>
      </c>
      <c r="U224" t="inlineStr">
        <is>
          <t>2007-05-29</t>
        </is>
      </c>
      <c r="V224" t="inlineStr">
        <is>
          <t>2007-05-29</t>
        </is>
      </c>
      <c r="W224" t="inlineStr">
        <is>
          <t>1997-07-19</t>
        </is>
      </c>
      <c r="X224" t="inlineStr">
        <is>
          <t>1997-07-19</t>
        </is>
      </c>
      <c r="Y224" t="n">
        <v>376</v>
      </c>
      <c r="Z224" t="n">
        <v>298</v>
      </c>
      <c r="AA224" t="n">
        <v>299</v>
      </c>
      <c r="AB224" t="n">
        <v>3</v>
      </c>
      <c r="AC224" t="n">
        <v>3</v>
      </c>
      <c r="AD224" t="n">
        <v>8</v>
      </c>
      <c r="AE224" t="n">
        <v>8</v>
      </c>
      <c r="AF224" t="n">
        <v>2</v>
      </c>
      <c r="AG224" t="n">
        <v>2</v>
      </c>
      <c r="AH224" t="n">
        <v>2</v>
      </c>
      <c r="AI224" t="n">
        <v>2</v>
      </c>
      <c r="AJ224" t="n">
        <v>3</v>
      </c>
      <c r="AK224" t="n">
        <v>3</v>
      </c>
      <c r="AL224" t="n">
        <v>2</v>
      </c>
      <c r="AM224" t="n">
        <v>2</v>
      </c>
      <c r="AN224" t="n">
        <v>0</v>
      </c>
      <c r="AO224" t="n">
        <v>0</v>
      </c>
      <c r="AP224" t="inlineStr">
        <is>
          <t>No</t>
        </is>
      </c>
      <c r="AQ224" t="inlineStr">
        <is>
          <t>Yes</t>
        </is>
      </c>
      <c r="AR224">
        <f>HYPERLINK("http://catalog.hathitrust.org/Record/002001623","HathiTrust Record")</f>
        <v/>
      </c>
      <c r="AS224">
        <f>HYPERLINK("https://creighton-primo.hosted.exlibrisgroup.com/primo-explore/search?tab=default_tab&amp;search_scope=EVERYTHING&amp;vid=01CRU&amp;lang=en_US&amp;offset=0&amp;query=any,contains,991000077609702656","Catalog Record")</f>
        <v/>
      </c>
      <c r="AT224">
        <f>HYPERLINK("http://www.worldcat.org/oclc/30368","WorldCat Record")</f>
        <v/>
      </c>
      <c r="AU224" t="inlineStr">
        <is>
          <t>1178793:eng</t>
        </is>
      </c>
      <c r="AV224" t="inlineStr">
        <is>
          <t>30368</t>
        </is>
      </c>
      <c r="AW224" t="inlineStr">
        <is>
          <t>991000077609702656</t>
        </is>
      </c>
      <c r="AX224" t="inlineStr">
        <is>
          <t>991000077609702656</t>
        </is>
      </c>
      <c r="AY224" t="inlineStr">
        <is>
          <t>2262383130002656</t>
        </is>
      </c>
      <c r="AZ224" t="inlineStr">
        <is>
          <t>BOOK</t>
        </is>
      </c>
      <c r="BB224" t="inlineStr">
        <is>
          <t>9780333105689</t>
        </is>
      </c>
      <c r="BC224" t="inlineStr">
        <is>
          <t>32285002939840</t>
        </is>
      </c>
      <c r="BD224" t="inlineStr">
        <is>
          <t>893339246</t>
        </is>
      </c>
    </row>
    <row r="225">
      <c r="A225" t="inlineStr">
        <is>
          <t>No</t>
        </is>
      </c>
      <c r="B225" t="inlineStr">
        <is>
          <t>QL368.C7 K4813</t>
        </is>
      </c>
      <c r="C225" t="inlineStr">
        <is>
          <t>0                      QL 0368000C  7                  K  4813</t>
        </is>
      </c>
      <c r="D225" t="inlineStr">
        <is>
          <t>Life cycles of coccidia of domestic animals, by Yevgeniy M. Kheysin. Edited by Kenneth S. Todd, Jr. Translated by Frederick K. Plous, Jr.</t>
        </is>
      </c>
      <c r="F225" t="inlineStr">
        <is>
          <t>No</t>
        </is>
      </c>
      <c r="G225" t="inlineStr">
        <is>
          <t>1</t>
        </is>
      </c>
      <c r="H225" t="inlineStr">
        <is>
          <t>Yes</t>
        </is>
      </c>
      <c r="I225" t="inlineStr">
        <is>
          <t>No</t>
        </is>
      </c>
      <c r="J225" t="inlineStr">
        <is>
          <t>0</t>
        </is>
      </c>
      <c r="K225" t="inlineStr">
        <is>
          <t>Kheĭsin, E. M. (Evgeniĭ Mineevich)</t>
        </is>
      </c>
      <c r="L225" t="inlineStr">
        <is>
          <t>Baltimore, University Park Press [1972]</t>
        </is>
      </c>
      <c r="M225" t="inlineStr">
        <is>
          <t>1972</t>
        </is>
      </c>
      <c r="O225" t="inlineStr">
        <is>
          <t>eng</t>
        </is>
      </c>
      <c r="P225" t="inlineStr">
        <is>
          <t>mdu</t>
        </is>
      </c>
      <c r="R225" t="inlineStr">
        <is>
          <t xml:space="preserve">QL </t>
        </is>
      </c>
      <c r="S225" t="n">
        <v>1</v>
      </c>
      <c r="T225" t="n">
        <v>2</v>
      </c>
      <c r="U225" t="inlineStr">
        <is>
          <t>2005-02-27</t>
        </is>
      </c>
      <c r="V225" t="inlineStr">
        <is>
          <t>2005-02-27</t>
        </is>
      </c>
      <c r="W225" t="inlineStr">
        <is>
          <t>1997-07-19</t>
        </is>
      </c>
      <c r="X225" t="inlineStr">
        <is>
          <t>1997-07-19</t>
        </is>
      </c>
      <c r="Y225" t="n">
        <v>334</v>
      </c>
      <c r="Z225" t="n">
        <v>286</v>
      </c>
      <c r="AA225" t="n">
        <v>319</v>
      </c>
      <c r="AB225" t="n">
        <v>3</v>
      </c>
      <c r="AC225" t="n">
        <v>3</v>
      </c>
      <c r="AD225" t="n">
        <v>9</v>
      </c>
      <c r="AE225" t="n">
        <v>9</v>
      </c>
      <c r="AF225" t="n">
        <v>4</v>
      </c>
      <c r="AG225" t="n">
        <v>4</v>
      </c>
      <c r="AH225" t="n">
        <v>2</v>
      </c>
      <c r="AI225" t="n">
        <v>2</v>
      </c>
      <c r="AJ225" t="n">
        <v>4</v>
      </c>
      <c r="AK225" t="n">
        <v>4</v>
      </c>
      <c r="AL225" t="n">
        <v>1</v>
      </c>
      <c r="AM225" t="n">
        <v>1</v>
      </c>
      <c r="AN225" t="n">
        <v>0</v>
      </c>
      <c r="AO225" t="n">
        <v>0</v>
      </c>
      <c r="AP225" t="inlineStr">
        <is>
          <t>No</t>
        </is>
      </c>
      <c r="AQ225" t="inlineStr">
        <is>
          <t>Yes</t>
        </is>
      </c>
      <c r="AR225">
        <f>HYPERLINK("http://catalog.hathitrust.org/Record/008001276","HathiTrust Record")</f>
        <v/>
      </c>
      <c r="AS225">
        <f>HYPERLINK("https://creighton-primo.hosted.exlibrisgroup.com/primo-explore/search?tab=default_tab&amp;search_scope=EVERYTHING&amp;vid=01CRU&amp;lang=en_US&amp;offset=0&amp;query=any,contains,991001778709702656","Catalog Record")</f>
        <v/>
      </c>
      <c r="AT225">
        <f>HYPERLINK("http://www.worldcat.org/oclc/194760","WorldCat Record")</f>
        <v/>
      </c>
      <c r="AU225" t="inlineStr">
        <is>
          <t>1361229:eng</t>
        </is>
      </c>
      <c r="AV225" t="inlineStr">
        <is>
          <t>194760</t>
        </is>
      </c>
      <c r="AW225" t="inlineStr">
        <is>
          <t>991001778709702656</t>
        </is>
      </c>
      <c r="AX225" t="inlineStr">
        <is>
          <t>991001778709702656</t>
        </is>
      </c>
      <c r="AY225" t="inlineStr">
        <is>
          <t>2269420020002656</t>
        </is>
      </c>
      <c r="AZ225" t="inlineStr">
        <is>
          <t>BOOK</t>
        </is>
      </c>
      <c r="BB225" t="inlineStr">
        <is>
          <t>9780839100669</t>
        </is>
      </c>
      <c r="BC225" t="inlineStr">
        <is>
          <t>32285002939865</t>
        </is>
      </c>
      <c r="BD225" t="inlineStr">
        <is>
          <t>893334596</t>
        </is>
      </c>
    </row>
    <row r="226">
      <c r="A226" t="inlineStr">
        <is>
          <t>No</t>
        </is>
      </c>
      <c r="B226" t="inlineStr">
        <is>
          <t>QL368.C7 L58</t>
        </is>
      </c>
      <c r="C226" t="inlineStr">
        <is>
          <t>0                      QL 0368000C  7                  L  58</t>
        </is>
      </c>
      <c r="D226" t="inlineStr">
        <is>
          <t>The coccidian parasites (Protozoa, Sporozoa) of rodents [by] Norman D. Levine and Virginia Ivens.</t>
        </is>
      </c>
      <c r="F226" t="inlineStr">
        <is>
          <t>No</t>
        </is>
      </c>
      <c r="G226" t="inlineStr">
        <is>
          <t>1</t>
        </is>
      </c>
      <c r="H226" t="inlineStr">
        <is>
          <t>No</t>
        </is>
      </c>
      <c r="I226" t="inlineStr">
        <is>
          <t>No</t>
        </is>
      </c>
      <c r="J226" t="inlineStr">
        <is>
          <t>0</t>
        </is>
      </c>
      <c r="K226" t="inlineStr">
        <is>
          <t>Levine, Norman D.</t>
        </is>
      </c>
      <c r="L226" t="inlineStr">
        <is>
          <t>Urbana, University of Illinois Press, 1965.</t>
        </is>
      </c>
      <c r="M226" t="inlineStr">
        <is>
          <t>1965</t>
        </is>
      </c>
      <c r="O226" t="inlineStr">
        <is>
          <t>eng</t>
        </is>
      </c>
      <c r="P226" t="inlineStr">
        <is>
          <t>ilu</t>
        </is>
      </c>
      <c r="Q226" t="inlineStr">
        <is>
          <t>Illinois biological monographs ; 33</t>
        </is>
      </c>
      <c r="R226" t="inlineStr">
        <is>
          <t xml:space="preserve">QL </t>
        </is>
      </c>
      <c r="S226" t="n">
        <v>1</v>
      </c>
      <c r="T226" t="n">
        <v>1</v>
      </c>
      <c r="U226" t="inlineStr">
        <is>
          <t>2005-02-27</t>
        </is>
      </c>
      <c r="V226" t="inlineStr">
        <is>
          <t>2005-02-27</t>
        </is>
      </c>
      <c r="W226" t="inlineStr">
        <is>
          <t>1997-07-19</t>
        </is>
      </c>
      <c r="X226" t="inlineStr">
        <is>
          <t>1997-07-19</t>
        </is>
      </c>
      <c r="Y226" t="n">
        <v>219</v>
      </c>
      <c r="Z226" t="n">
        <v>194</v>
      </c>
      <c r="AA226" t="n">
        <v>215</v>
      </c>
      <c r="AB226" t="n">
        <v>3</v>
      </c>
      <c r="AC226" t="n">
        <v>3</v>
      </c>
      <c r="AD226" t="n">
        <v>4</v>
      </c>
      <c r="AE226" t="n">
        <v>4</v>
      </c>
      <c r="AF226" t="n">
        <v>0</v>
      </c>
      <c r="AG226" t="n">
        <v>0</v>
      </c>
      <c r="AH226" t="n">
        <v>0</v>
      </c>
      <c r="AI226" t="n">
        <v>0</v>
      </c>
      <c r="AJ226" t="n">
        <v>2</v>
      </c>
      <c r="AK226" t="n">
        <v>2</v>
      </c>
      <c r="AL226" t="n">
        <v>2</v>
      </c>
      <c r="AM226" t="n">
        <v>2</v>
      </c>
      <c r="AN226" t="n">
        <v>0</v>
      </c>
      <c r="AO226" t="n">
        <v>0</v>
      </c>
      <c r="AP226" t="inlineStr">
        <is>
          <t>No</t>
        </is>
      </c>
      <c r="AQ226" t="inlineStr">
        <is>
          <t>Yes</t>
        </is>
      </c>
      <c r="AR226">
        <f>HYPERLINK("http://catalog.hathitrust.org/Record/006215022","HathiTrust Record")</f>
        <v/>
      </c>
      <c r="AS226">
        <f>HYPERLINK("https://creighton-primo.hosted.exlibrisgroup.com/primo-explore/search?tab=default_tab&amp;search_scope=EVERYTHING&amp;vid=01CRU&amp;lang=en_US&amp;offset=0&amp;query=any,contains,991003765369702656","Catalog Record")</f>
        <v/>
      </c>
      <c r="AT226">
        <f>HYPERLINK("http://www.worldcat.org/oclc/1457685","WorldCat Record")</f>
        <v/>
      </c>
      <c r="AU226" t="inlineStr">
        <is>
          <t>3855515550:eng</t>
        </is>
      </c>
      <c r="AV226" t="inlineStr">
        <is>
          <t>1457685</t>
        </is>
      </c>
      <c r="AW226" t="inlineStr">
        <is>
          <t>991003765369702656</t>
        </is>
      </c>
      <c r="AX226" t="inlineStr">
        <is>
          <t>991003765369702656</t>
        </is>
      </c>
      <c r="AY226" t="inlineStr">
        <is>
          <t>2256989110002656</t>
        </is>
      </c>
      <c r="AZ226" t="inlineStr">
        <is>
          <t>BOOK</t>
        </is>
      </c>
      <c r="BC226" t="inlineStr">
        <is>
          <t>32285002939873</t>
        </is>
      </c>
      <c r="BD226" t="inlineStr">
        <is>
          <t>893410658</t>
        </is>
      </c>
    </row>
    <row r="227">
      <c r="A227" t="inlineStr">
        <is>
          <t>No</t>
        </is>
      </c>
      <c r="B227" t="inlineStr">
        <is>
          <t>QL368.D6 B56 1987</t>
        </is>
      </c>
      <c r="C227" t="inlineStr">
        <is>
          <t>0                      QL 0368000D  6                  B  56          1987</t>
        </is>
      </c>
      <c r="D227" t="inlineStr">
        <is>
          <t>The Biology of dinoflagellates / edited by F.J.R. Taylor.</t>
        </is>
      </c>
      <c r="F227" t="inlineStr">
        <is>
          <t>No</t>
        </is>
      </c>
      <c r="G227" t="inlineStr">
        <is>
          <t>1</t>
        </is>
      </c>
      <c r="H227" t="inlineStr">
        <is>
          <t>No</t>
        </is>
      </c>
      <c r="I227" t="inlineStr">
        <is>
          <t>No</t>
        </is>
      </c>
      <c r="J227" t="inlineStr">
        <is>
          <t>0</t>
        </is>
      </c>
      <c r="L227" t="inlineStr">
        <is>
          <t>Oxford : Blackwell Scientific, 1987.</t>
        </is>
      </c>
      <c r="M227" t="inlineStr">
        <is>
          <t>1987</t>
        </is>
      </c>
      <c r="O227" t="inlineStr">
        <is>
          <t>eng</t>
        </is>
      </c>
      <c r="P227" t="inlineStr">
        <is>
          <t>enk</t>
        </is>
      </c>
      <c r="Q227" t="inlineStr">
        <is>
          <t>Botanical monographs ; v. 21</t>
        </is>
      </c>
      <c r="R227" t="inlineStr">
        <is>
          <t xml:space="preserve">QL </t>
        </is>
      </c>
      <c r="S227" t="n">
        <v>6</v>
      </c>
      <c r="T227" t="n">
        <v>6</v>
      </c>
      <c r="U227" t="inlineStr">
        <is>
          <t>1995-03-30</t>
        </is>
      </c>
      <c r="V227" t="inlineStr">
        <is>
          <t>1995-03-30</t>
        </is>
      </c>
      <c r="W227" t="inlineStr">
        <is>
          <t>1993-05-25</t>
        </is>
      </c>
      <c r="X227" t="inlineStr">
        <is>
          <t>1993-05-25</t>
        </is>
      </c>
      <c r="Y227" t="n">
        <v>298</v>
      </c>
      <c r="Z227" t="n">
        <v>181</v>
      </c>
      <c r="AA227" t="n">
        <v>186</v>
      </c>
      <c r="AB227" t="n">
        <v>1</v>
      </c>
      <c r="AC227" t="n">
        <v>1</v>
      </c>
      <c r="AD227" t="n">
        <v>4</v>
      </c>
      <c r="AE227" t="n">
        <v>4</v>
      </c>
      <c r="AF227" t="n">
        <v>1</v>
      </c>
      <c r="AG227" t="n">
        <v>1</v>
      </c>
      <c r="AH227" t="n">
        <v>1</v>
      </c>
      <c r="AI227" t="n">
        <v>1</v>
      </c>
      <c r="AJ227" t="n">
        <v>3</v>
      </c>
      <c r="AK227" t="n">
        <v>3</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HYPERLINK("https://creighton-primo.hosted.exlibrisgroup.com/primo-explore/search?tab=default_tab&amp;search_scope=EVERYTHING&amp;vid=01CRU&amp;lang=en_US&amp;offset=0&amp;query=any,contains,991000710119702656","Catalog Record")</f>
        <v/>
      </c>
      <c r="AT227">
        <f>HYPERLINK("http://www.worldcat.org/oclc/23256101","WorldCat Record")</f>
        <v/>
      </c>
      <c r="AU227" t="inlineStr">
        <is>
          <t>55438364:eng</t>
        </is>
      </c>
      <c r="AV227" t="inlineStr">
        <is>
          <t>23256101</t>
        </is>
      </c>
      <c r="AW227" t="inlineStr">
        <is>
          <t>991000710119702656</t>
        </is>
      </c>
      <c r="AX227" t="inlineStr">
        <is>
          <t>991000710119702656</t>
        </is>
      </c>
      <c r="AY227" t="inlineStr">
        <is>
          <t>2271707400002656</t>
        </is>
      </c>
      <c r="AZ227" t="inlineStr">
        <is>
          <t>BOOK</t>
        </is>
      </c>
      <c r="BB227" t="inlineStr">
        <is>
          <t>9780632009152</t>
        </is>
      </c>
      <c r="BC227" t="inlineStr">
        <is>
          <t>32285001686616</t>
        </is>
      </c>
      <c r="BD227" t="inlineStr">
        <is>
          <t>893614431</t>
        </is>
      </c>
    </row>
    <row r="228">
      <c r="A228" t="inlineStr">
        <is>
          <t>No</t>
        </is>
      </c>
      <c r="B228" t="inlineStr">
        <is>
          <t>QL368.F5 B46 1991</t>
        </is>
      </c>
      <c r="C228" t="inlineStr">
        <is>
          <t>0                      QL 0368000F  5                  B  46          1991</t>
        </is>
      </c>
      <c r="D228" t="inlineStr">
        <is>
          <t>The Biology of free-living heterotrophic flagellates / edited by David J. Patterson, Jacob Larsen.</t>
        </is>
      </c>
      <c r="F228" t="inlineStr">
        <is>
          <t>No</t>
        </is>
      </c>
      <c r="G228" t="inlineStr">
        <is>
          <t>1</t>
        </is>
      </c>
      <c r="H228" t="inlineStr">
        <is>
          <t>No</t>
        </is>
      </c>
      <c r="I228" t="inlineStr">
        <is>
          <t>No</t>
        </is>
      </c>
      <c r="J228" t="inlineStr">
        <is>
          <t>0</t>
        </is>
      </c>
      <c r="L228" t="inlineStr">
        <is>
          <t>Oxford [England] : Published for the Systematics Association by Clarendon Press ; New York : Oxford University Press, 1991.</t>
        </is>
      </c>
      <c r="M228" t="inlineStr">
        <is>
          <t>1991</t>
        </is>
      </c>
      <c r="O228" t="inlineStr">
        <is>
          <t>eng</t>
        </is>
      </c>
      <c r="P228" t="inlineStr">
        <is>
          <t>enk</t>
        </is>
      </c>
      <c r="Q228" t="inlineStr">
        <is>
          <t>The Systematics Association special volume ; no. 45</t>
        </is>
      </c>
      <c r="R228" t="inlineStr">
        <is>
          <t xml:space="preserve">QL </t>
        </is>
      </c>
      <c r="S228" t="n">
        <v>5</v>
      </c>
      <c r="T228" t="n">
        <v>5</v>
      </c>
      <c r="U228" t="inlineStr">
        <is>
          <t>1998-09-30</t>
        </is>
      </c>
      <c r="V228" t="inlineStr">
        <is>
          <t>1998-09-30</t>
        </is>
      </c>
      <c r="W228" t="inlineStr">
        <is>
          <t>1992-11-12</t>
        </is>
      </c>
      <c r="X228" t="inlineStr">
        <is>
          <t>1992-11-12</t>
        </is>
      </c>
      <c r="Y228" t="n">
        <v>163</v>
      </c>
      <c r="Z228" t="n">
        <v>93</v>
      </c>
      <c r="AA228" t="n">
        <v>94</v>
      </c>
      <c r="AB228" t="n">
        <v>1</v>
      </c>
      <c r="AC228" t="n">
        <v>1</v>
      </c>
      <c r="AD228" t="n">
        <v>1</v>
      </c>
      <c r="AE228" t="n">
        <v>1</v>
      </c>
      <c r="AF228" t="n">
        <v>0</v>
      </c>
      <c r="AG228" t="n">
        <v>0</v>
      </c>
      <c r="AH228" t="n">
        <v>1</v>
      </c>
      <c r="AI228" t="n">
        <v>1</v>
      </c>
      <c r="AJ228" t="n">
        <v>1</v>
      </c>
      <c r="AK228" t="n">
        <v>1</v>
      </c>
      <c r="AL228" t="n">
        <v>0</v>
      </c>
      <c r="AM228" t="n">
        <v>0</v>
      </c>
      <c r="AN228" t="n">
        <v>0</v>
      </c>
      <c r="AO228" t="n">
        <v>0</v>
      </c>
      <c r="AP228" t="inlineStr">
        <is>
          <t>No</t>
        </is>
      </c>
      <c r="AQ228" t="inlineStr">
        <is>
          <t>Yes</t>
        </is>
      </c>
      <c r="AR228">
        <f>HYPERLINK("http://catalog.hathitrust.org/Record/002546648","HathiTrust Record")</f>
        <v/>
      </c>
      <c r="AS228">
        <f>HYPERLINK("https://creighton-primo.hosted.exlibrisgroup.com/primo-explore/search?tab=default_tab&amp;search_scope=EVERYTHING&amp;vid=01CRU&amp;lang=en_US&amp;offset=0&amp;query=any,contains,991001891159702656","Catalog Record")</f>
        <v/>
      </c>
      <c r="AT228">
        <f>HYPERLINK("http://www.worldcat.org/oclc/23869305","WorldCat Record")</f>
        <v/>
      </c>
      <c r="AU228" t="inlineStr">
        <is>
          <t>365167351:eng</t>
        </is>
      </c>
      <c r="AV228" t="inlineStr">
        <is>
          <t>23869305</t>
        </is>
      </c>
      <c r="AW228" t="inlineStr">
        <is>
          <t>991001891159702656</t>
        </is>
      </c>
      <c r="AX228" t="inlineStr">
        <is>
          <t>991001891159702656</t>
        </is>
      </c>
      <c r="AY228" t="inlineStr">
        <is>
          <t>2270676690002656</t>
        </is>
      </c>
      <c r="AZ228" t="inlineStr">
        <is>
          <t>BOOK</t>
        </is>
      </c>
      <c r="BB228" t="inlineStr">
        <is>
          <t>9780198577478</t>
        </is>
      </c>
      <c r="BC228" t="inlineStr">
        <is>
          <t>32285001361889</t>
        </is>
      </c>
      <c r="BD228" t="inlineStr">
        <is>
          <t>893596812</t>
        </is>
      </c>
    </row>
    <row r="229">
      <c r="A229" t="inlineStr">
        <is>
          <t>No</t>
        </is>
      </c>
      <c r="B229" t="inlineStr">
        <is>
          <t>QL368.F5 B8</t>
        </is>
      </c>
      <c r="C229" t="inlineStr">
        <is>
          <t>0                      QL 0368000F  5                  B  8</t>
        </is>
      </c>
      <c r="D229" t="inlineStr">
        <is>
          <t>The Biology of Euglena / edited by Dennis E. Buetow.</t>
        </is>
      </c>
      <c r="F229" t="inlineStr">
        <is>
          <t>No</t>
        </is>
      </c>
      <c r="G229" t="inlineStr">
        <is>
          <t>1</t>
        </is>
      </c>
      <c r="H229" t="inlineStr">
        <is>
          <t>No</t>
        </is>
      </c>
      <c r="I229" t="inlineStr">
        <is>
          <t>No</t>
        </is>
      </c>
      <c r="J229" t="inlineStr">
        <is>
          <t>0</t>
        </is>
      </c>
      <c r="K229" t="inlineStr">
        <is>
          <t>Buetow, Dennis E., 1932-</t>
        </is>
      </c>
      <c r="L229" t="inlineStr">
        <is>
          <t>New York : Academic Press, 1968-&lt;1989 &gt;</t>
        </is>
      </c>
      <c r="M229" t="inlineStr">
        <is>
          <t>1968</t>
        </is>
      </c>
      <c r="O229" t="inlineStr">
        <is>
          <t>eng</t>
        </is>
      </c>
      <c r="P229" t="inlineStr">
        <is>
          <t>nyu</t>
        </is>
      </c>
      <c r="R229" t="inlineStr">
        <is>
          <t xml:space="preserve">QL </t>
        </is>
      </c>
      <c r="S229" t="n">
        <v>1</v>
      </c>
      <c r="T229" t="n">
        <v>1</v>
      </c>
      <c r="U229" t="inlineStr">
        <is>
          <t>1997-02-24</t>
        </is>
      </c>
      <c r="V229" t="inlineStr">
        <is>
          <t>1997-02-24</t>
        </is>
      </c>
      <c r="W229" t="inlineStr">
        <is>
          <t>1992-03-20</t>
        </is>
      </c>
      <c r="X229" t="inlineStr">
        <is>
          <t>1992-03-20</t>
        </is>
      </c>
      <c r="Y229" t="n">
        <v>484</v>
      </c>
      <c r="Z229" t="n">
        <v>401</v>
      </c>
      <c r="AA229" t="n">
        <v>417</v>
      </c>
      <c r="AB229" t="n">
        <v>5</v>
      </c>
      <c r="AC229" t="n">
        <v>5</v>
      </c>
      <c r="AD229" t="n">
        <v>18</v>
      </c>
      <c r="AE229" t="n">
        <v>19</v>
      </c>
      <c r="AF229" t="n">
        <v>6</v>
      </c>
      <c r="AG229" t="n">
        <v>7</v>
      </c>
      <c r="AH229" t="n">
        <v>4</v>
      </c>
      <c r="AI229" t="n">
        <v>4</v>
      </c>
      <c r="AJ229" t="n">
        <v>8</v>
      </c>
      <c r="AK229" t="n">
        <v>8</v>
      </c>
      <c r="AL229" t="n">
        <v>4</v>
      </c>
      <c r="AM229" t="n">
        <v>4</v>
      </c>
      <c r="AN229" t="n">
        <v>0</v>
      </c>
      <c r="AO229" t="n">
        <v>0</v>
      </c>
      <c r="AP229" t="inlineStr">
        <is>
          <t>No</t>
        </is>
      </c>
      <c r="AQ229" t="inlineStr">
        <is>
          <t>Yes</t>
        </is>
      </c>
      <c r="AR229">
        <f>HYPERLINK("http://catalog.hathitrust.org/Record/000236748","HathiTrust Record")</f>
        <v/>
      </c>
      <c r="AS229">
        <f>HYPERLINK("https://creighton-primo.hosted.exlibrisgroup.com/primo-explore/search?tab=default_tab&amp;search_scope=EVERYTHING&amp;vid=01CRU&amp;lang=en_US&amp;offset=0&amp;query=any,contains,991002734609702656","Catalog Record")</f>
        <v/>
      </c>
      <c r="AT229">
        <f>HYPERLINK("http://www.worldcat.org/oclc/418718","WorldCat Record")</f>
        <v/>
      </c>
      <c r="AU229" t="inlineStr">
        <is>
          <t>3373576649:eng</t>
        </is>
      </c>
      <c r="AV229" t="inlineStr">
        <is>
          <t>418718</t>
        </is>
      </c>
      <c r="AW229" t="inlineStr">
        <is>
          <t>991002734609702656</t>
        </is>
      </c>
      <c r="AX229" t="inlineStr">
        <is>
          <t>991002734609702656</t>
        </is>
      </c>
      <c r="AY229" t="inlineStr">
        <is>
          <t>2261179710002656</t>
        </is>
      </c>
      <c r="AZ229" t="inlineStr">
        <is>
          <t>BOOK</t>
        </is>
      </c>
      <c r="BB229" t="inlineStr">
        <is>
          <t>9780121399030</t>
        </is>
      </c>
      <c r="BC229" t="inlineStr">
        <is>
          <t>32285001025443</t>
        </is>
      </c>
      <c r="BD229" t="inlineStr">
        <is>
          <t>893517679</t>
        </is>
      </c>
    </row>
    <row r="230">
      <c r="A230" t="inlineStr">
        <is>
          <t>No</t>
        </is>
      </c>
      <c r="B230" t="inlineStr">
        <is>
          <t>QL368.H87 E44 1973</t>
        </is>
      </c>
      <c r="C230" t="inlineStr">
        <is>
          <t>0                      QL 0368000H  87                 E  44          1973</t>
        </is>
      </c>
      <c r="D230" t="inlineStr">
        <is>
          <t>Biology of tetrahymena / edited by Alfred M. Elliott.</t>
        </is>
      </c>
      <c r="F230" t="inlineStr">
        <is>
          <t>No</t>
        </is>
      </c>
      <c r="G230" t="inlineStr">
        <is>
          <t>1</t>
        </is>
      </c>
      <c r="H230" t="inlineStr">
        <is>
          <t>No</t>
        </is>
      </c>
      <c r="I230" t="inlineStr">
        <is>
          <t>No</t>
        </is>
      </c>
      <c r="J230" t="inlineStr">
        <is>
          <t>0</t>
        </is>
      </c>
      <c r="K230" t="inlineStr">
        <is>
          <t>Elliott, Alfred M. (Alfred Marlyn), 1905-1988.</t>
        </is>
      </c>
      <c r="L230" t="inlineStr">
        <is>
          <t>Stroudsburg, Pa. : Dowden, Hutchinson &amp; Ross, [1973]</t>
        </is>
      </c>
      <c r="M230" t="inlineStr">
        <is>
          <t>1973</t>
        </is>
      </c>
      <c r="O230" t="inlineStr">
        <is>
          <t>eng</t>
        </is>
      </c>
      <c r="P230" t="inlineStr">
        <is>
          <t>pau</t>
        </is>
      </c>
      <c r="R230" t="inlineStr">
        <is>
          <t xml:space="preserve">QL </t>
        </is>
      </c>
      <c r="S230" t="n">
        <v>4</v>
      </c>
      <c r="T230" t="n">
        <v>4</v>
      </c>
      <c r="U230" t="inlineStr">
        <is>
          <t>1994-05-09</t>
        </is>
      </c>
      <c r="V230" t="inlineStr">
        <is>
          <t>1994-05-09</t>
        </is>
      </c>
      <c r="W230" t="inlineStr">
        <is>
          <t>1993-04-21</t>
        </is>
      </c>
      <c r="X230" t="inlineStr">
        <is>
          <t>1993-04-21</t>
        </is>
      </c>
      <c r="Y230" t="n">
        <v>327</v>
      </c>
      <c r="Z230" t="n">
        <v>265</v>
      </c>
      <c r="AA230" t="n">
        <v>267</v>
      </c>
      <c r="AB230" t="n">
        <v>2</v>
      </c>
      <c r="AC230" t="n">
        <v>2</v>
      </c>
      <c r="AD230" t="n">
        <v>10</v>
      </c>
      <c r="AE230" t="n">
        <v>10</v>
      </c>
      <c r="AF230" t="n">
        <v>3</v>
      </c>
      <c r="AG230" t="n">
        <v>3</v>
      </c>
      <c r="AH230" t="n">
        <v>2</v>
      </c>
      <c r="AI230" t="n">
        <v>2</v>
      </c>
      <c r="AJ230" t="n">
        <v>6</v>
      </c>
      <c r="AK230" t="n">
        <v>6</v>
      </c>
      <c r="AL230" t="n">
        <v>1</v>
      </c>
      <c r="AM230" t="n">
        <v>1</v>
      </c>
      <c r="AN230" t="n">
        <v>0</v>
      </c>
      <c r="AO230" t="n">
        <v>0</v>
      </c>
      <c r="AP230" t="inlineStr">
        <is>
          <t>No</t>
        </is>
      </c>
      <c r="AQ230" t="inlineStr">
        <is>
          <t>Yes</t>
        </is>
      </c>
      <c r="AR230">
        <f>HYPERLINK("http://catalog.hathitrust.org/Record/001499343","HathiTrust Record")</f>
        <v/>
      </c>
      <c r="AS230">
        <f>HYPERLINK("https://creighton-primo.hosted.exlibrisgroup.com/primo-explore/search?tab=default_tab&amp;search_scope=EVERYTHING&amp;vid=01CRU&amp;lang=en_US&amp;offset=0&amp;query=any,contains,991003156449702656","Catalog Record")</f>
        <v/>
      </c>
      <c r="AT230">
        <f>HYPERLINK("http://www.worldcat.org/oclc/695618","WorldCat Record")</f>
        <v/>
      </c>
      <c r="AU230" t="inlineStr">
        <is>
          <t>1811909:eng</t>
        </is>
      </c>
      <c r="AV230" t="inlineStr">
        <is>
          <t>695618</t>
        </is>
      </c>
      <c r="AW230" t="inlineStr">
        <is>
          <t>991003156449702656</t>
        </is>
      </c>
      <c r="AX230" t="inlineStr">
        <is>
          <t>991003156449702656</t>
        </is>
      </c>
      <c r="AY230" t="inlineStr">
        <is>
          <t>2267739030002656</t>
        </is>
      </c>
      <c r="AZ230" t="inlineStr">
        <is>
          <t>BOOK</t>
        </is>
      </c>
      <c r="BB230" t="inlineStr">
        <is>
          <t>9780879330132</t>
        </is>
      </c>
      <c r="BC230" t="inlineStr">
        <is>
          <t>32285001622421</t>
        </is>
      </c>
      <c r="BD230" t="inlineStr">
        <is>
          <t>893717376</t>
        </is>
      </c>
    </row>
    <row r="231">
      <c r="A231" t="inlineStr">
        <is>
          <t>No</t>
        </is>
      </c>
      <c r="B231" t="inlineStr">
        <is>
          <t>QL368.P3 B4</t>
        </is>
      </c>
      <c r="C231" t="inlineStr">
        <is>
          <t>0                      QL 0368000P  3                  B  4</t>
        </is>
      </c>
      <c r="D231" t="inlineStr">
        <is>
          <t>The genetics of Paramecium aurelia.</t>
        </is>
      </c>
      <c r="F231" t="inlineStr">
        <is>
          <t>No</t>
        </is>
      </c>
      <c r="G231" t="inlineStr">
        <is>
          <t>1</t>
        </is>
      </c>
      <c r="H231" t="inlineStr">
        <is>
          <t>No</t>
        </is>
      </c>
      <c r="I231" t="inlineStr">
        <is>
          <t>No</t>
        </is>
      </c>
      <c r="J231" t="inlineStr">
        <is>
          <t>0</t>
        </is>
      </c>
      <c r="K231" t="inlineStr">
        <is>
          <t>Beale, Geoffrey.</t>
        </is>
      </c>
      <c r="L231" t="inlineStr">
        <is>
          <t>Cambridge [Eng.] University Press, 1954.</t>
        </is>
      </c>
      <c r="M231" t="inlineStr">
        <is>
          <t>1954</t>
        </is>
      </c>
      <c r="O231" t="inlineStr">
        <is>
          <t>eng</t>
        </is>
      </c>
      <c r="P231" t="inlineStr">
        <is>
          <t>enk</t>
        </is>
      </c>
      <c r="Q231" t="inlineStr">
        <is>
          <t>Cambridge monographs in experimental biology ; no. 2</t>
        </is>
      </c>
      <c r="R231" t="inlineStr">
        <is>
          <t xml:space="preserve">QL </t>
        </is>
      </c>
      <c r="S231" t="n">
        <v>1</v>
      </c>
      <c r="T231" t="n">
        <v>1</v>
      </c>
      <c r="U231" t="inlineStr">
        <is>
          <t>2007-05-29</t>
        </is>
      </c>
      <c r="V231" t="inlineStr">
        <is>
          <t>2007-05-29</t>
        </is>
      </c>
      <c r="W231" t="inlineStr">
        <is>
          <t>1997-07-19</t>
        </is>
      </c>
      <c r="X231" t="inlineStr">
        <is>
          <t>1997-07-19</t>
        </is>
      </c>
      <c r="Y231" t="n">
        <v>414</v>
      </c>
      <c r="Z231" t="n">
        <v>336</v>
      </c>
      <c r="AA231" t="n">
        <v>346</v>
      </c>
      <c r="AB231" t="n">
        <v>4</v>
      </c>
      <c r="AC231" t="n">
        <v>4</v>
      </c>
      <c r="AD231" t="n">
        <v>17</v>
      </c>
      <c r="AE231" t="n">
        <v>17</v>
      </c>
      <c r="AF231" t="n">
        <v>5</v>
      </c>
      <c r="AG231" t="n">
        <v>5</v>
      </c>
      <c r="AH231" t="n">
        <v>3</v>
      </c>
      <c r="AI231" t="n">
        <v>3</v>
      </c>
      <c r="AJ231" t="n">
        <v>10</v>
      </c>
      <c r="AK231" t="n">
        <v>10</v>
      </c>
      <c r="AL231" t="n">
        <v>3</v>
      </c>
      <c r="AM231" t="n">
        <v>3</v>
      </c>
      <c r="AN231" t="n">
        <v>0</v>
      </c>
      <c r="AO231" t="n">
        <v>0</v>
      </c>
      <c r="AP231" t="inlineStr">
        <is>
          <t>No</t>
        </is>
      </c>
      <c r="AQ231" t="inlineStr">
        <is>
          <t>Yes</t>
        </is>
      </c>
      <c r="AR231">
        <f>HYPERLINK("http://catalog.hathitrust.org/Record/001638596","HathiTrust Record")</f>
        <v/>
      </c>
      <c r="AS231">
        <f>HYPERLINK("https://creighton-primo.hosted.exlibrisgroup.com/primo-explore/search?tab=default_tab&amp;search_scope=EVERYTHING&amp;vid=01CRU&amp;lang=en_US&amp;offset=0&amp;query=any,contains,991002987599702656","Catalog Record")</f>
        <v/>
      </c>
      <c r="AT231">
        <f>HYPERLINK("http://www.worldcat.org/oclc/14671283","WorldCat Record")</f>
        <v/>
      </c>
      <c r="AU231" t="inlineStr">
        <is>
          <t>117059718:eng</t>
        </is>
      </c>
      <c r="AV231" t="inlineStr">
        <is>
          <t>14671283</t>
        </is>
      </c>
      <c r="AW231" t="inlineStr">
        <is>
          <t>991002987599702656</t>
        </is>
      </c>
      <c r="AX231" t="inlineStr">
        <is>
          <t>991002987599702656</t>
        </is>
      </c>
      <c r="AY231" t="inlineStr">
        <is>
          <t>2258249870002656</t>
        </is>
      </c>
      <c r="AZ231" t="inlineStr">
        <is>
          <t>BOOK</t>
        </is>
      </c>
      <c r="BC231" t="inlineStr">
        <is>
          <t>32285002939899</t>
        </is>
      </c>
      <c r="BD231" t="inlineStr">
        <is>
          <t>893251878</t>
        </is>
      </c>
    </row>
    <row r="232">
      <c r="A232" t="inlineStr">
        <is>
          <t>No</t>
        </is>
      </c>
      <c r="B232" t="inlineStr">
        <is>
          <t>QL369 .P56 1963</t>
        </is>
      </c>
      <c r="C232" t="inlineStr">
        <is>
          <t>0                      QL 0369000P  56          1963</t>
        </is>
      </c>
      <c r="D232" t="inlineStr">
        <is>
          <t>Electron-microscopic structure of protozoa.</t>
        </is>
      </c>
      <c r="F232" t="inlineStr">
        <is>
          <t>No</t>
        </is>
      </c>
      <c r="G232" t="inlineStr">
        <is>
          <t>1</t>
        </is>
      </c>
      <c r="H232" t="inlineStr">
        <is>
          <t>No</t>
        </is>
      </c>
      <c r="I232" t="inlineStr">
        <is>
          <t>No</t>
        </is>
      </c>
      <c r="J232" t="inlineStr">
        <is>
          <t>0</t>
        </is>
      </c>
      <c r="K232" t="inlineStr">
        <is>
          <t>Pitelka, Dorothy R. (Dorothy Riggs), 1920-</t>
        </is>
      </c>
      <c r="L232" t="inlineStr">
        <is>
          <t>Oxford ; New York : Pergamon Press ; [distributed in the Western Hemisphere by Macmillan, New York], 1963.</t>
        </is>
      </c>
      <c r="M232" t="inlineStr">
        <is>
          <t>1963</t>
        </is>
      </c>
      <c r="O232" t="inlineStr">
        <is>
          <t>eng</t>
        </is>
      </c>
      <c r="P232" t="inlineStr">
        <is>
          <t>enk</t>
        </is>
      </c>
      <c r="Q232" t="inlineStr">
        <is>
          <t>International series of monographs on pure and applied biology. Division, Zoology ; v. 13</t>
        </is>
      </c>
      <c r="R232" t="inlineStr">
        <is>
          <t xml:space="preserve">QL </t>
        </is>
      </c>
      <c r="S232" t="n">
        <v>2</v>
      </c>
      <c r="T232" t="n">
        <v>2</v>
      </c>
      <c r="U232" t="inlineStr">
        <is>
          <t>2004-02-12</t>
        </is>
      </c>
      <c r="V232" t="inlineStr">
        <is>
          <t>2004-02-12</t>
        </is>
      </c>
      <c r="W232" t="inlineStr">
        <is>
          <t>1990-05-30</t>
        </is>
      </c>
      <c r="X232" t="inlineStr">
        <is>
          <t>1990-05-30</t>
        </is>
      </c>
      <c r="Y232" t="n">
        <v>562</v>
      </c>
      <c r="Z232" t="n">
        <v>443</v>
      </c>
      <c r="AA232" t="n">
        <v>524</v>
      </c>
      <c r="AB232" t="n">
        <v>5</v>
      </c>
      <c r="AC232" t="n">
        <v>5</v>
      </c>
      <c r="AD232" t="n">
        <v>24</v>
      </c>
      <c r="AE232" t="n">
        <v>26</v>
      </c>
      <c r="AF232" t="n">
        <v>8</v>
      </c>
      <c r="AG232" t="n">
        <v>9</v>
      </c>
      <c r="AH232" t="n">
        <v>5</v>
      </c>
      <c r="AI232" t="n">
        <v>7</v>
      </c>
      <c r="AJ232" t="n">
        <v>13</v>
      </c>
      <c r="AK232" t="n">
        <v>13</v>
      </c>
      <c r="AL232" t="n">
        <v>4</v>
      </c>
      <c r="AM232" t="n">
        <v>4</v>
      </c>
      <c r="AN232" t="n">
        <v>0</v>
      </c>
      <c r="AO232" t="n">
        <v>0</v>
      </c>
      <c r="AP232" t="inlineStr">
        <is>
          <t>Yes</t>
        </is>
      </c>
      <c r="AQ232" t="inlineStr">
        <is>
          <t>No</t>
        </is>
      </c>
      <c r="AR232">
        <f>HYPERLINK("http://catalog.hathitrust.org/Record/001496641","HathiTrust Record")</f>
        <v/>
      </c>
      <c r="AS232">
        <f>HYPERLINK("https://creighton-primo.hosted.exlibrisgroup.com/primo-explore/search?tab=default_tab&amp;search_scope=EVERYTHING&amp;vid=01CRU&amp;lang=en_US&amp;offset=0&amp;query=any,contains,991003063639702656","Catalog Record")</f>
        <v/>
      </c>
      <c r="AT232">
        <f>HYPERLINK("http://www.worldcat.org/oclc/620210","WorldCat Record")</f>
        <v/>
      </c>
      <c r="AU232" t="inlineStr">
        <is>
          <t>60644800:eng</t>
        </is>
      </c>
      <c r="AV232" t="inlineStr">
        <is>
          <t>620210</t>
        </is>
      </c>
      <c r="AW232" t="inlineStr">
        <is>
          <t>991003063639702656</t>
        </is>
      </c>
      <c r="AX232" t="inlineStr">
        <is>
          <t>991003063639702656</t>
        </is>
      </c>
      <c r="AY232" t="inlineStr">
        <is>
          <t>2256494280002656</t>
        </is>
      </c>
      <c r="AZ232" t="inlineStr">
        <is>
          <t>BOOK</t>
        </is>
      </c>
      <c r="BC232" t="inlineStr">
        <is>
          <t>32285000159862</t>
        </is>
      </c>
      <c r="BD232" t="inlineStr">
        <is>
          <t>893874391</t>
        </is>
      </c>
    </row>
    <row r="233">
      <c r="A233" t="inlineStr">
        <is>
          <t>No</t>
        </is>
      </c>
      <c r="B233" t="inlineStr">
        <is>
          <t>QL375 .I53 1979</t>
        </is>
      </c>
      <c r="C233" t="inlineStr">
        <is>
          <t>0                      QL 0375000I  53          1979</t>
        </is>
      </c>
      <c r="D233" t="inlineStr">
        <is>
          <t>Developmental and cellular biology of coelenterates ; proceedings of the 4th International Coelenterates Conference held in Interlaken, Switzerland, 4-8 September 1979 / editors, P. Tardent and R. Tardent.</t>
        </is>
      </c>
      <c r="F233" t="inlineStr">
        <is>
          <t>No</t>
        </is>
      </c>
      <c r="G233" t="inlineStr">
        <is>
          <t>1</t>
        </is>
      </c>
      <c r="H233" t="inlineStr">
        <is>
          <t>No</t>
        </is>
      </c>
      <c r="I233" t="inlineStr">
        <is>
          <t>No</t>
        </is>
      </c>
      <c r="J233" t="inlineStr">
        <is>
          <t>0</t>
        </is>
      </c>
      <c r="K233" t="inlineStr">
        <is>
          <t>International Coelenterates Conference.</t>
        </is>
      </c>
      <c r="L233" t="inlineStr">
        <is>
          <t>Amsterdam ; New York : Elsevier/North Holland Biomedical Press ; New York : sole distributors for the USA and Canada, Elsevier North Holland, 1980.</t>
        </is>
      </c>
      <c r="M233" t="inlineStr">
        <is>
          <t>1980</t>
        </is>
      </c>
      <c r="O233" t="inlineStr">
        <is>
          <t>eng</t>
        </is>
      </c>
      <c r="P233" t="inlineStr">
        <is>
          <t xml:space="preserve">ne </t>
        </is>
      </c>
      <c r="R233" t="inlineStr">
        <is>
          <t xml:space="preserve">QL </t>
        </is>
      </c>
      <c r="S233" t="n">
        <v>4</v>
      </c>
      <c r="T233" t="n">
        <v>4</v>
      </c>
      <c r="U233" t="inlineStr">
        <is>
          <t>2004-02-12</t>
        </is>
      </c>
      <c r="V233" t="inlineStr">
        <is>
          <t>2004-02-12</t>
        </is>
      </c>
      <c r="W233" t="inlineStr">
        <is>
          <t>1993-05-25</t>
        </is>
      </c>
      <c r="X233" t="inlineStr">
        <is>
          <t>1993-05-25</t>
        </is>
      </c>
      <c r="Y233" t="n">
        <v>134</v>
      </c>
      <c r="Z233" t="n">
        <v>89</v>
      </c>
      <c r="AA233" t="n">
        <v>90</v>
      </c>
      <c r="AB233" t="n">
        <v>2</v>
      </c>
      <c r="AC233" t="n">
        <v>2</v>
      </c>
      <c r="AD233" t="n">
        <v>3</v>
      </c>
      <c r="AE233" t="n">
        <v>3</v>
      </c>
      <c r="AF233" t="n">
        <v>0</v>
      </c>
      <c r="AG233" t="n">
        <v>0</v>
      </c>
      <c r="AH233" t="n">
        <v>1</v>
      </c>
      <c r="AI233" t="n">
        <v>1</v>
      </c>
      <c r="AJ233" t="n">
        <v>2</v>
      </c>
      <c r="AK233" t="n">
        <v>2</v>
      </c>
      <c r="AL233" t="n">
        <v>1</v>
      </c>
      <c r="AM233" t="n">
        <v>1</v>
      </c>
      <c r="AN233" t="n">
        <v>0</v>
      </c>
      <c r="AO233" t="n">
        <v>0</v>
      </c>
      <c r="AP233" t="inlineStr">
        <is>
          <t>No</t>
        </is>
      </c>
      <c r="AQ233" t="inlineStr">
        <is>
          <t>Yes</t>
        </is>
      </c>
      <c r="AR233">
        <f>HYPERLINK("http://catalog.hathitrust.org/Record/000716374","HathiTrust Record")</f>
        <v/>
      </c>
      <c r="AS233">
        <f>HYPERLINK("https://creighton-primo.hosted.exlibrisgroup.com/primo-explore/search?tab=default_tab&amp;search_scope=EVERYTHING&amp;vid=01CRU&amp;lang=en_US&amp;offset=0&amp;query=any,contains,991004943769702656","Catalog Record")</f>
        <v/>
      </c>
      <c r="AT233">
        <f>HYPERLINK("http://www.worldcat.org/oclc/6196678","WorldCat Record")</f>
        <v/>
      </c>
      <c r="AU233" t="inlineStr">
        <is>
          <t>890049169:eng</t>
        </is>
      </c>
      <c r="AV233" t="inlineStr">
        <is>
          <t>6196678</t>
        </is>
      </c>
      <c r="AW233" t="inlineStr">
        <is>
          <t>991004943769702656</t>
        </is>
      </c>
      <c r="AX233" t="inlineStr">
        <is>
          <t>991004943769702656</t>
        </is>
      </c>
      <c r="AY233" t="inlineStr">
        <is>
          <t>2266187140002656</t>
        </is>
      </c>
      <c r="AZ233" t="inlineStr">
        <is>
          <t>BOOK</t>
        </is>
      </c>
      <c r="BB233" t="inlineStr">
        <is>
          <t>9780444802217</t>
        </is>
      </c>
      <c r="BC233" t="inlineStr">
        <is>
          <t>32285001686681</t>
        </is>
      </c>
      <c r="BD233" t="inlineStr">
        <is>
          <t>893619250</t>
        </is>
      </c>
    </row>
    <row r="234">
      <c r="A234" t="inlineStr">
        <is>
          <t>No</t>
        </is>
      </c>
      <c r="B234" t="inlineStr">
        <is>
          <t>QL377.C7 V47 1995</t>
        </is>
      </c>
      <c r="C234" t="inlineStr">
        <is>
          <t>0                      QL 0377000C  7                  V  47          1995</t>
        </is>
      </c>
      <c r="D234" t="inlineStr">
        <is>
          <t>Corals in space and time : the biogeography and evolution of the Scleractinia / J.E.N. Veron.</t>
        </is>
      </c>
      <c r="F234" t="inlineStr">
        <is>
          <t>No</t>
        </is>
      </c>
      <c r="G234" t="inlineStr">
        <is>
          <t>1</t>
        </is>
      </c>
      <c r="H234" t="inlineStr">
        <is>
          <t>No</t>
        </is>
      </c>
      <c r="I234" t="inlineStr">
        <is>
          <t>No</t>
        </is>
      </c>
      <c r="J234" t="inlineStr">
        <is>
          <t>0</t>
        </is>
      </c>
      <c r="K234" t="inlineStr">
        <is>
          <t>Veron, J. E. N. (John Edward Norwood)</t>
        </is>
      </c>
      <c r="L234" t="inlineStr">
        <is>
          <t>Ithaca : Comstock/Cornell, 1995.</t>
        </is>
      </c>
      <c r="M234" t="inlineStr">
        <is>
          <t>1995</t>
        </is>
      </c>
      <c r="O234" t="inlineStr">
        <is>
          <t>eng</t>
        </is>
      </c>
      <c r="P234" t="inlineStr">
        <is>
          <t>nyu</t>
        </is>
      </c>
      <c r="R234" t="inlineStr">
        <is>
          <t xml:space="preserve">QL </t>
        </is>
      </c>
      <c r="S234" t="n">
        <v>14</v>
      </c>
      <c r="T234" t="n">
        <v>14</v>
      </c>
      <c r="U234" t="inlineStr">
        <is>
          <t>2003-02-22</t>
        </is>
      </c>
      <c r="V234" t="inlineStr">
        <is>
          <t>2003-02-22</t>
        </is>
      </c>
      <c r="W234" t="inlineStr">
        <is>
          <t>1996-06-13</t>
        </is>
      </c>
      <c r="X234" t="inlineStr">
        <is>
          <t>1996-06-13</t>
        </is>
      </c>
      <c r="Y234" t="n">
        <v>345</v>
      </c>
      <c r="Z234" t="n">
        <v>295</v>
      </c>
      <c r="AA234" t="n">
        <v>309</v>
      </c>
      <c r="AB234" t="n">
        <v>2</v>
      </c>
      <c r="AC234" t="n">
        <v>2</v>
      </c>
      <c r="AD234" t="n">
        <v>15</v>
      </c>
      <c r="AE234" t="n">
        <v>15</v>
      </c>
      <c r="AF234" t="n">
        <v>7</v>
      </c>
      <c r="AG234" t="n">
        <v>7</v>
      </c>
      <c r="AH234" t="n">
        <v>3</v>
      </c>
      <c r="AI234" t="n">
        <v>3</v>
      </c>
      <c r="AJ234" t="n">
        <v>8</v>
      </c>
      <c r="AK234" t="n">
        <v>8</v>
      </c>
      <c r="AL234" t="n">
        <v>1</v>
      </c>
      <c r="AM234" t="n">
        <v>1</v>
      </c>
      <c r="AN234" t="n">
        <v>0</v>
      </c>
      <c r="AO234" t="n">
        <v>0</v>
      </c>
      <c r="AP234" t="inlineStr">
        <is>
          <t>No</t>
        </is>
      </c>
      <c r="AQ234" t="inlineStr">
        <is>
          <t>Yes</t>
        </is>
      </c>
      <c r="AR234">
        <f>HYPERLINK("http://catalog.hathitrust.org/Record/002994041","HathiTrust Record")</f>
        <v/>
      </c>
      <c r="AS234">
        <f>HYPERLINK("https://creighton-primo.hosted.exlibrisgroup.com/primo-explore/search?tab=default_tab&amp;search_scope=EVERYTHING&amp;vid=01CRU&amp;lang=en_US&amp;offset=0&amp;query=any,contains,991002396709702656","Catalog Record")</f>
        <v/>
      </c>
      <c r="AT234">
        <f>HYPERLINK("http://www.worldcat.org/oclc/31133377","WorldCat Record")</f>
        <v/>
      </c>
      <c r="AU234" t="inlineStr">
        <is>
          <t>24563344:eng</t>
        </is>
      </c>
      <c r="AV234" t="inlineStr">
        <is>
          <t>31133377</t>
        </is>
      </c>
      <c r="AW234" t="inlineStr">
        <is>
          <t>991002396709702656</t>
        </is>
      </c>
      <c r="AX234" t="inlineStr">
        <is>
          <t>991002396709702656</t>
        </is>
      </c>
      <c r="AY234" t="inlineStr">
        <is>
          <t>2272585020002656</t>
        </is>
      </c>
      <c r="AZ234" t="inlineStr">
        <is>
          <t>BOOK</t>
        </is>
      </c>
      <c r="BB234" t="inlineStr">
        <is>
          <t>9780801431418</t>
        </is>
      </c>
      <c r="BC234" t="inlineStr">
        <is>
          <t>32285002192572</t>
        </is>
      </c>
      <c r="BD234" t="inlineStr">
        <is>
          <t>893421296</t>
        </is>
      </c>
    </row>
    <row r="235">
      <c r="A235" t="inlineStr">
        <is>
          <t>No</t>
        </is>
      </c>
      <c r="B235" t="inlineStr">
        <is>
          <t>QL377.H9 L427 1986</t>
        </is>
      </c>
      <c r="C235" t="inlineStr">
        <is>
          <t>0                      QL 0377000H  9                  L  427         1986</t>
        </is>
      </c>
      <c r="D235" t="inlineStr">
        <is>
          <t>Hydra and the birth of experimental biology, 1744 : Abraham Trembley's Mémoires concerning the polyps / by Sylvia G. Lenhoff and Howard M. Lenhoff.</t>
        </is>
      </c>
      <c r="F235" t="inlineStr">
        <is>
          <t>No</t>
        </is>
      </c>
      <c r="G235" t="inlineStr">
        <is>
          <t>1</t>
        </is>
      </c>
      <c r="H235" t="inlineStr">
        <is>
          <t>No</t>
        </is>
      </c>
      <c r="I235" t="inlineStr">
        <is>
          <t>No</t>
        </is>
      </c>
      <c r="J235" t="inlineStr">
        <is>
          <t>0</t>
        </is>
      </c>
      <c r="K235" t="inlineStr">
        <is>
          <t>Lenhoff, Sylvia G.</t>
        </is>
      </c>
      <c r="L235" t="inlineStr">
        <is>
          <t>Pacific Grove, CA : Boxwood Press, c1986.</t>
        </is>
      </c>
      <c r="M235" t="inlineStr">
        <is>
          <t>1986</t>
        </is>
      </c>
      <c r="O235" t="inlineStr">
        <is>
          <t>eng</t>
        </is>
      </c>
      <c r="P235" t="inlineStr">
        <is>
          <t>cau</t>
        </is>
      </c>
      <c r="R235" t="inlineStr">
        <is>
          <t xml:space="preserve">QL </t>
        </is>
      </c>
      <c r="S235" t="n">
        <v>4</v>
      </c>
      <c r="T235" t="n">
        <v>4</v>
      </c>
      <c r="U235" t="inlineStr">
        <is>
          <t>2004-02-12</t>
        </is>
      </c>
      <c r="V235" t="inlineStr">
        <is>
          <t>2004-02-12</t>
        </is>
      </c>
      <c r="W235" t="inlineStr">
        <is>
          <t>1993-05-25</t>
        </is>
      </c>
      <c r="X235" t="inlineStr">
        <is>
          <t>1993-05-25</t>
        </is>
      </c>
      <c r="Y235" t="n">
        <v>128</v>
      </c>
      <c r="Z235" t="n">
        <v>103</v>
      </c>
      <c r="AA235" t="n">
        <v>104</v>
      </c>
      <c r="AB235" t="n">
        <v>1</v>
      </c>
      <c r="AC235" t="n">
        <v>1</v>
      </c>
      <c r="AD235" t="n">
        <v>3</v>
      </c>
      <c r="AE235" t="n">
        <v>3</v>
      </c>
      <c r="AF235" t="n">
        <v>0</v>
      </c>
      <c r="AG235" t="n">
        <v>0</v>
      </c>
      <c r="AH235" t="n">
        <v>2</v>
      </c>
      <c r="AI235" t="n">
        <v>2</v>
      </c>
      <c r="AJ235" t="n">
        <v>2</v>
      </c>
      <c r="AK235" t="n">
        <v>2</v>
      </c>
      <c r="AL235" t="n">
        <v>0</v>
      </c>
      <c r="AM235" t="n">
        <v>0</v>
      </c>
      <c r="AN235" t="n">
        <v>0</v>
      </c>
      <c r="AO235" t="n">
        <v>0</v>
      </c>
      <c r="AP235" t="inlineStr">
        <is>
          <t>No</t>
        </is>
      </c>
      <c r="AQ235" t="inlineStr">
        <is>
          <t>Yes</t>
        </is>
      </c>
      <c r="AR235">
        <f>HYPERLINK("http://catalog.hathitrust.org/Record/008335356","HathiTrust Record")</f>
        <v/>
      </c>
      <c r="AS235">
        <f>HYPERLINK("https://creighton-primo.hosted.exlibrisgroup.com/primo-explore/search?tab=default_tab&amp;search_scope=EVERYTHING&amp;vid=01CRU&amp;lang=en_US&amp;offset=0&amp;query=any,contains,991000826589702656","Catalog Record")</f>
        <v/>
      </c>
      <c r="AT235">
        <f>HYPERLINK("http://www.worldcat.org/oclc/13423789","WorldCat Record")</f>
        <v/>
      </c>
      <c r="AU235" t="inlineStr">
        <is>
          <t>890361184:eng</t>
        </is>
      </c>
      <c r="AV235" t="inlineStr">
        <is>
          <t>13423789</t>
        </is>
      </c>
      <c r="AW235" t="inlineStr">
        <is>
          <t>991000826589702656</t>
        </is>
      </c>
      <c r="AX235" t="inlineStr">
        <is>
          <t>991000826589702656</t>
        </is>
      </c>
      <c r="AY235" t="inlineStr">
        <is>
          <t>2265928100002656</t>
        </is>
      </c>
      <c r="AZ235" t="inlineStr">
        <is>
          <t>BOOK</t>
        </is>
      </c>
      <c r="BB235" t="inlineStr">
        <is>
          <t>9780940168015</t>
        </is>
      </c>
      <c r="BC235" t="inlineStr">
        <is>
          <t>32285001686699</t>
        </is>
      </c>
      <c r="BD235" t="inlineStr">
        <is>
          <t>893797021</t>
        </is>
      </c>
    </row>
    <row r="236">
      <c r="A236" t="inlineStr">
        <is>
          <t>No</t>
        </is>
      </c>
      <c r="B236" t="inlineStr">
        <is>
          <t>QL377.H9 L43 1966</t>
        </is>
      </c>
      <c r="C236" t="inlineStr">
        <is>
          <t>0                      QL 0377000H  9                  L  43          1966</t>
        </is>
      </c>
      <c r="D236" t="inlineStr">
        <is>
          <t>The cell biology of hydra, by Thomas L. Lentz.</t>
        </is>
      </c>
      <c r="F236" t="inlineStr">
        <is>
          <t>No</t>
        </is>
      </c>
      <c r="G236" t="inlineStr">
        <is>
          <t>1</t>
        </is>
      </c>
      <c r="H236" t="inlineStr">
        <is>
          <t>No</t>
        </is>
      </c>
      <c r="I236" t="inlineStr">
        <is>
          <t>No</t>
        </is>
      </c>
      <c r="J236" t="inlineStr">
        <is>
          <t>0</t>
        </is>
      </c>
      <c r="K236" t="inlineStr">
        <is>
          <t>Lentz, Thomas L.</t>
        </is>
      </c>
      <c r="L236" t="inlineStr">
        <is>
          <t>Amsterdam, North Holland Pub. Co.; New York, Wiley, 1966.</t>
        </is>
      </c>
      <c r="M236" t="inlineStr">
        <is>
          <t>1966</t>
        </is>
      </c>
      <c r="O236" t="inlineStr">
        <is>
          <t>eng</t>
        </is>
      </c>
      <c r="P236" t="inlineStr">
        <is>
          <t xml:space="preserve">ne </t>
        </is>
      </c>
      <c r="R236" t="inlineStr">
        <is>
          <t xml:space="preserve">QL </t>
        </is>
      </c>
      <c r="S236" t="n">
        <v>3</v>
      </c>
      <c r="T236" t="n">
        <v>3</v>
      </c>
      <c r="U236" t="inlineStr">
        <is>
          <t>2004-02-12</t>
        </is>
      </c>
      <c r="V236" t="inlineStr">
        <is>
          <t>2004-02-12</t>
        </is>
      </c>
      <c r="W236" t="inlineStr">
        <is>
          <t>1997-07-19</t>
        </is>
      </c>
      <c r="X236" t="inlineStr">
        <is>
          <t>1997-07-19</t>
        </is>
      </c>
      <c r="Y236" t="n">
        <v>352</v>
      </c>
      <c r="Z236" t="n">
        <v>264</v>
      </c>
      <c r="AA236" t="n">
        <v>265</v>
      </c>
      <c r="AB236" t="n">
        <v>2</v>
      </c>
      <c r="AC236" t="n">
        <v>2</v>
      </c>
      <c r="AD236" t="n">
        <v>12</v>
      </c>
      <c r="AE236" t="n">
        <v>12</v>
      </c>
      <c r="AF236" t="n">
        <v>1</v>
      </c>
      <c r="AG236" t="n">
        <v>1</v>
      </c>
      <c r="AH236" t="n">
        <v>3</v>
      </c>
      <c r="AI236" t="n">
        <v>3</v>
      </c>
      <c r="AJ236" t="n">
        <v>9</v>
      </c>
      <c r="AK236" t="n">
        <v>9</v>
      </c>
      <c r="AL236" t="n">
        <v>1</v>
      </c>
      <c r="AM236" t="n">
        <v>1</v>
      </c>
      <c r="AN236" t="n">
        <v>0</v>
      </c>
      <c r="AO236" t="n">
        <v>0</v>
      </c>
      <c r="AP236" t="inlineStr">
        <is>
          <t>No</t>
        </is>
      </c>
      <c r="AQ236" t="inlineStr">
        <is>
          <t>Yes</t>
        </is>
      </c>
      <c r="AR236">
        <f>HYPERLINK("http://catalog.hathitrust.org/Record/001496647","HathiTrust Record")</f>
        <v/>
      </c>
      <c r="AS236">
        <f>HYPERLINK("https://creighton-primo.hosted.exlibrisgroup.com/primo-explore/search?tab=default_tab&amp;search_scope=EVERYTHING&amp;vid=01CRU&amp;lang=en_US&amp;offset=0&amp;query=any,contains,991004466089702656","Catalog Record")</f>
        <v/>
      </c>
      <c r="AT236">
        <f>HYPERLINK("http://www.worldcat.org/oclc/3571462","WorldCat Record")</f>
        <v/>
      </c>
      <c r="AU236" t="inlineStr">
        <is>
          <t>10896419:eng</t>
        </is>
      </c>
      <c r="AV236" t="inlineStr">
        <is>
          <t>3571462</t>
        </is>
      </c>
      <c r="AW236" t="inlineStr">
        <is>
          <t>991004466089702656</t>
        </is>
      </c>
      <c r="AX236" t="inlineStr">
        <is>
          <t>991004466089702656</t>
        </is>
      </c>
      <c r="AY236" t="inlineStr">
        <is>
          <t>2266133550002656</t>
        </is>
      </c>
      <c r="AZ236" t="inlineStr">
        <is>
          <t>BOOK</t>
        </is>
      </c>
      <c r="BC236" t="inlineStr">
        <is>
          <t>32285002939931</t>
        </is>
      </c>
      <c r="BD236" t="inlineStr">
        <is>
          <t>893331610</t>
        </is>
      </c>
    </row>
    <row r="237">
      <c r="A237" t="inlineStr">
        <is>
          <t>No</t>
        </is>
      </c>
      <c r="B237" t="inlineStr">
        <is>
          <t>QL378 .H15 1963</t>
        </is>
      </c>
      <c r="C237" t="inlineStr">
        <is>
          <t>0                      QL 0378000H  15          1963</t>
        </is>
      </c>
      <c r="D237" t="inlineStr">
        <is>
          <t>The evolution of the metazoa.</t>
        </is>
      </c>
      <c r="F237" t="inlineStr">
        <is>
          <t>No</t>
        </is>
      </c>
      <c r="G237" t="inlineStr">
        <is>
          <t>1</t>
        </is>
      </c>
      <c r="H237" t="inlineStr">
        <is>
          <t>No</t>
        </is>
      </c>
      <c r="I237" t="inlineStr">
        <is>
          <t>No</t>
        </is>
      </c>
      <c r="J237" t="inlineStr">
        <is>
          <t>0</t>
        </is>
      </c>
      <c r="K237" t="inlineStr">
        <is>
          <t>Hadži, J. (Jovan), 1884-1972.</t>
        </is>
      </c>
      <c r="L237" t="inlineStr">
        <is>
          <t>New York, Macmillan, 1963.</t>
        </is>
      </c>
      <c r="M237" t="inlineStr">
        <is>
          <t>1963</t>
        </is>
      </c>
      <c r="O237" t="inlineStr">
        <is>
          <t>eng</t>
        </is>
      </c>
      <c r="P237" t="inlineStr">
        <is>
          <t>nyu</t>
        </is>
      </c>
      <c r="Q237" t="inlineStr">
        <is>
          <t>International series of monographs on pure and applied biology. Division, Zoology ; v. 16</t>
        </is>
      </c>
      <c r="R237" t="inlineStr">
        <is>
          <t xml:space="preserve">QL </t>
        </is>
      </c>
      <c r="S237" t="n">
        <v>2</v>
      </c>
      <c r="T237" t="n">
        <v>2</v>
      </c>
      <c r="U237" t="inlineStr">
        <is>
          <t>1998-01-29</t>
        </is>
      </c>
      <c r="V237" t="inlineStr">
        <is>
          <t>1998-01-29</t>
        </is>
      </c>
      <c r="W237" t="inlineStr">
        <is>
          <t>1997-07-19</t>
        </is>
      </c>
      <c r="X237" t="inlineStr">
        <is>
          <t>1997-07-19</t>
        </is>
      </c>
      <c r="Y237" t="n">
        <v>525</v>
      </c>
      <c r="Z237" t="n">
        <v>470</v>
      </c>
      <c r="AA237" t="n">
        <v>556</v>
      </c>
      <c r="AB237" t="n">
        <v>3</v>
      </c>
      <c r="AC237" t="n">
        <v>3</v>
      </c>
      <c r="AD237" t="n">
        <v>17</v>
      </c>
      <c r="AE237" t="n">
        <v>20</v>
      </c>
      <c r="AF237" t="n">
        <v>6</v>
      </c>
      <c r="AG237" t="n">
        <v>8</v>
      </c>
      <c r="AH237" t="n">
        <v>3</v>
      </c>
      <c r="AI237" t="n">
        <v>4</v>
      </c>
      <c r="AJ237" t="n">
        <v>9</v>
      </c>
      <c r="AK237" t="n">
        <v>9</v>
      </c>
      <c r="AL237" t="n">
        <v>2</v>
      </c>
      <c r="AM237" t="n">
        <v>2</v>
      </c>
      <c r="AN237" t="n">
        <v>0</v>
      </c>
      <c r="AO237" t="n">
        <v>0</v>
      </c>
      <c r="AP237" t="inlineStr">
        <is>
          <t>No</t>
        </is>
      </c>
      <c r="AQ237" t="inlineStr">
        <is>
          <t>No</t>
        </is>
      </c>
      <c r="AR237">
        <f>HYPERLINK("http://catalog.hathitrust.org/Record/001499377","HathiTrust Record")</f>
        <v/>
      </c>
      <c r="AS237">
        <f>HYPERLINK("https://creighton-primo.hosted.exlibrisgroup.com/primo-explore/search?tab=default_tab&amp;search_scope=EVERYTHING&amp;vid=01CRU&amp;lang=en_US&amp;offset=0&amp;query=any,contains,991002371269702656","Catalog Record")</f>
        <v/>
      </c>
      <c r="AT237">
        <f>HYPERLINK("http://www.worldcat.org/oclc/327047","WorldCat Record")</f>
        <v/>
      </c>
      <c r="AU237" t="inlineStr">
        <is>
          <t>1418122:eng</t>
        </is>
      </c>
      <c r="AV237" t="inlineStr">
        <is>
          <t>327047</t>
        </is>
      </c>
      <c r="AW237" t="inlineStr">
        <is>
          <t>991002371269702656</t>
        </is>
      </c>
      <c r="AX237" t="inlineStr">
        <is>
          <t>991002371269702656</t>
        </is>
      </c>
      <c r="AY237" t="inlineStr">
        <is>
          <t>2272726620002656</t>
        </is>
      </c>
      <c r="AZ237" t="inlineStr">
        <is>
          <t>BOOK</t>
        </is>
      </c>
      <c r="BC237" t="inlineStr">
        <is>
          <t>32285002939956</t>
        </is>
      </c>
      <c r="BD237" t="inlineStr">
        <is>
          <t>893703991</t>
        </is>
      </c>
    </row>
    <row r="238">
      <c r="A238" t="inlineStr">
        <is>
          <t>No</t>
        </is>
      </c>
      <c r="B238" t="inlineStr">
        <is>
          <t>QL383.1.U6 S43 1995</t>
        </is>
      </c>
      <c r="C238" t="inlineStr">
        <is>
          <t>0                      QL 0383100U  6                  S  43          1995</t>
        </is>
      </c>
      <c r="D238" t="inlineStr">
        <is>
          <t>Sea stars, sea urchins, and allies : echinoderms of Florida and the Caribbean / Gordon Hendler ... [et al.].</t>
        </is>
      </c>
      <c r="F238" t="inlineStr">
        <is>
          <t>No</t>
        </is>
      </c>
      <c r="G238" t="inlineStr">
        <is>
          <t>1</t>
        </is>
      </c>
      <c r="H238" t="inlineStr">
        <is>
          <t>No</t>
        </is>
      </c>
      <c r="I238" t="inlineStr">
        <is>
          <t>No</t>
        </is>
      </c>
      <c r="J238" t="inlineStr">
        <is>
          <t>0</t>
        </is>
      </c>
      <c r="L238" t="inlineStr">
        <is>
          <t>Washington : Smithsonian Institution Press, c1995.</t>
        </is>
      </c>
      <c r="M238" t="inlineStr">
        <is>
          <t>1995</t>
        </is>
      </c>
      <c r="O238" t="inlineStr">
        <is>
          <t>eng</t>
        </is>
      </c>
      <c r="P238" t="inlineStr">
        <is>
          <t>dcu</t>
        </is>
      </c>
      <c r="R238" t="inlineStr">
        <is>
          <t xml:space="preserve">QL </t>
        </is>
      </c>
      <c r="S238" t="n">
        <v>14</v>
      </c>
      <c r="T238" t="n">
        <v>14</v>
      </c>
      <c r="U238" t="inlineStr">
        <is>
          <t>2008-02-29</t>
        </is>
      </c>
      <c r="V238" t="inlineStr">
        <is>
          <t>2008-02-29</t>
        </is>
      </c>
      <c r="W238" t="inlineStr">
        <is>
          <t>1995-11-20</t>
        </is>
      </c>
      <c r="X238" t="inlineStr">
        <is>
          <t>1995-11-20</t>
        </is>
      </c>
      <c r="Y238" t="n">
        <v>427</v>
      </c>
      <c r="Z238" t="n">
        <v>384</v>
      </c>
      <c r="AA238" t="n">
        <v>385</v>
      </c>
      <c r="AB238" t="n">
        <v>3</v>
      </c>
      <c r="AC238" t="n">
        <v>3</v>
      </c>
      <c r="AD238" t="n">
        <v>11</v>
      </c>
      <c r="AE238" t="n">
        <v>11</v>
      </c>
      <c r="AF238" t="n">
        <v>5</v>
      </c>
      <c r="AG238" t="n">
        <v>5</v>
      </c>
      <c r="AH238" t="n">
        <v>2</v>
      </c>
      <c r="AI238" t="n">
        <v>2</v>
      </c>
      <c r="AJ238" t="n">
        <v>3</v>
      </c>
      <c r="AK238" t="n">
        <v>3</v>
      </c>
      <c r="AL238" t="n">
        <v>2</v>
      </c>
      <c r="AM238" t="n">
        <v>2</v>
      </c>
      <c r="AN238" t="n">
        <v>0</v>
      </c>
      <c r="AO238" t="n">
        <v>0</v>
      </c>
      <c r="AP238" t="inlineStr">
        <is>
          <t>No</t>
        </is>
      </c>
      <c r="AQ238" t="inlineStr">
        <is>
          <t>Yes</t>
        </is>
      </c>
      <c r="AR238">
        <f>HYPERLINK("http://catalog.hathitrust.org/Record/003005678","HathiTrust Record")</f>
        <v/>
      </c>
      <c r="AS238">
        <f>HYPERLINK("https://creighton-primo.hosted.exlibrisgroup.com/primo-explore/search?tab=default_tab&amp;search_scope=EVERYTHING&amp;vid=01CRU&amp;lang=en_US&amp;offset=0&amp;query=any,contains,991002382479702656","Catalog Record")</f>
        <v/>
      </c>
      <c r="AT238">
        <f>HYPERLINK("http://www.worldcat.org/oclc/30972625","WorldCat Record")</f>
        <v/>
      </c>
      <c r="AU238" t="inlineStr">
        <is>
          <t>997452245:eng</t>
        </is>
      </c>
      <c r="AV238" t="inlineStr">
        <is>
          <t>30972625</t>
        </is>
      </c>
      <c r="AW238" t="inlineStr">
        <is>
          <t>991002382479702656</t>
        </is>
      </c>
      <c r="AX238" t="inlineStr">
        <is>
          <t>991002382479702656</t>
        </is>
      </c>
      <c r="AY238" t="inlineStr">
        <is>
          <t>2260454720002656</t>
        </is>
      </c>
      <c r="AZ238" t="inlineStr">
        <is>
          <t>BOOK</t>
        </is>
      </c>
      <c r="BB238" t="inlineStr">
        <is>
          <t>9781560984504</t>
        </is>
      </c>
      <c r="BC238" t="inlineStr">
        <is>
          <t>32285002104593</t>
        </is>
      </c>
      <c r="BD238" t="inlineStr">
        <is>
          <t>893773553</t>
        </is>
      </c>
    </row>
    <row r="239">
      <c r="A239" t="inlineStr">
        <is>
          <t>No</t>
        </is>
      </c>
      <c r="B239" t="inlineStr">
        <is>
          <t>QL385 .B5</t>
        </is>
      </c>
      <c r="C239" t="inlineStr">
        <is>
          <t>0                      QL 0385000B  5</t>
        </is>
      </c>
      <c r="D239" t="inlineStr">
        <is>
          <t>Physiology of echinoderms.</t>
        </is>
      </c>
      <c r="F239" t="inlineStr">
        <is>
          <t>No</t>
        </is>
      </c>
      <c r="G239" t="inlineStr">
        <is>
          <t>1</t>
        </is>
      </c>
      <c r="H239" t="inlineStr">
        <is>
          <t>No</t>
        </is>
      </c>
      <c r="I239" t="inlineStr">
        <is>
          <t>No</t>
        </is>
      </c>
      <c r="J239" t="inlineStr">
        <is>
          <t>0</t>
        </is>
      </c>
      <c r="K239" t="inlineStr">
        <is>
          <t>Binyon, John.</t>
        </is>
      </c>
      <c r="L239" t="inlineStr">
        <is>
          <t>Oxford, New York, Pergamon Press [1972]</t>
        </is>
      </c>
      <c r="M239" t="inlineStr">
        <is>
          <t>1972</t>
        </is>
      </c>
      <c r="N239" t="inlineStr">
        <is>
          <t>[1st ed.]</t>
        </is>
      </c>
      <c r="O239" t="inlineStr">
        <is>
          <t>eng</t>
        </is>
      </c>
      <c r="P239" t="inlineStr">
        <is>
          <t>enk</t>
        </is>
      </c>
      <c r="Q239" t="inlineStr">
        <is>
          <t>International series of monographs in pure and applied biology. Division: Zoology, v. 49</t>
        </is>
      </c>
      <c r="R239" t="inlineStr">
        <is>
          <t xml:space="preserve">QL </t>
        </is>
      </c>
      <c r="S239" t="n">
        <v>8</v>
      </c>
      <c r="T239" t="n">
        <v>8</v>
      </c>
      <c r="U239" t="inlineStr">
        <is>
          <t>2009-03-24</t>
        </is>
      </c>
      <c r="V239" t="inlineStr">
        <is>
          <t>2009-03-24</t>
        </is>
      </c>
      <c r="W239" t="inlineStr">
        <is>
          <t>1997-07-19</t>
        </is>
      </c>
      <c r="X239" t="inlineStr">
        <is>
          <t>1997-07-19</t>
        </is>
      </c>
      <c r="Y239" t="n">
        <v>466</v>
      </c>
      <c r="Z239" t="n">
        <v>312</v>
      </c>
      <c r="AA239" t="n">
        <v>338</v>
      </c>
      <c r="AB239" t="n">
        <v>3</v>
      </c>
      <c r="AC239" t="n">
        <v>3</v>
      </c>
      <c r="AD239" t="n">
        <v>11</v>
      </c>
      <c r="AE239" t="n">
        <v>12</v>
      </c>
      <c r="AF239" t="n">
        <v>3</v>
      </c>
      <c r="AG239" t="n">
        <v>3</v>
      </c>
      <c r="AH239" t="n">
        <v>3</v>
      </c>
      <c r="AI239" t="n">
        <v>4</v>
      </c>
      <c r="AJ239" t="n">
        <v>6</v>
      </c>
      <c r="AK239" t="n">
        <v>6</v>
      </c>
      <c r="AL239" t="n">
        <v>2</v>
      </c>
      <c r="AM239" t="n">
        <v>2</v>
      </c>
      <c r="AN239" t="n">
        <v>0</v>
      </c>
      <c r="AO239" t="n">
        <v>0</v>
      </c>
      <c r="AP239" t="inlineStr">
        <is>
          <t>No</t>
        </is>
      </c>
      <c r="AQ239" t="inlineStr">
        <is>
          <t>Yes</t>
        </is>
      </c>
      <c r="AR239">
        <f>HYPERLINK("http://catalog.hathitrust.org/Record/001657144","HathiTrust Record")</f>
        <v/>
      </c>
      <c r="AS239">
        <f>HYPERLINK("https://creighton-primo.hosted.exlibrisgroup.com/primo-explore/search?tab=default_tab&amp;search_scope=EVERYTHING&amp;vid=01CRU&amp;lang=en_US&amp;offset=0&amp;query=any,contains,991003038639702656","Catalog Record")</f>
        <v/>
      </c>
      <c r="AT239">
        <f>HYPERLINK("http://www.worldcat.org/oclc/600388","WorldCat Record")</f>
        <v/>
      </c>
      <c r="AU239" t="inlineStr">
        <is>
          <t>407126:eng</t>
        </is>
      </c>
      <c r="AV239" t="inlineStr">
        <is>
          <t>600388</t>
        </is>
      </c>
      <c r="AW239" t="inlineStr">
        <is>
          <t>991003038639702656</t>
        </is>
      </c>
      <c r="AX239" t="inlineStr">
        <is>
          <t>991003038639702656</t>
        </is>
      </c>
      <c r="AY239" t="inlineStr">
        <is>
          <t>2261110800002656</t>
        </is>
      </c>
      <c r="AZ239" t="inlineStr">
        <is>
          <t>BOOK</t>
        </is>
      </c>
      <c r="BB239" t="inlineStr">
        <is>
          <t>9780080169910</t>
        </is>
      </c>
      <c r="BC239" t="inlineStr">
        <is>
          <t>32285002939964</t>
        </is>
      </c>
      <c r="BD239" t="inlineStr">
        <is>
          <t>893505133</t>
        </is>
      </c>
    </row>
    <row r="240">
      <c r="A240" t="inlineStr">
        <is>
          <t>No</t>
        </is>
      </c>
      <c r="B240" t="inlineStr">
        <is>
          <t>QL385 .B6</t>
        </is>
      </c>
      <c r="C240" t="inlineStr">
        <is>
          <t>0                      QL 0385000B  6</t>
        </is>
      </c>
      <c r="D240" t="inlineStr">
        <is>
          <t>Physiology of echinodermata; a collective effort by a group of experts, edited by Richard A. Boolootián. Authors: Charles B. Alender [and others]</t>
        </is>
      </c>
      <c r="F240" t="inlineStr">
        <is>
          <t>No</t>
        </is>
      </c>
      <c r="G240" t="inlineStr">
        <is>
          <t>1</t>
        </is>
      </c>
      <c r="H240" t="inlineStr">
        <is>
          <t>No</t>
        </is>
      </c>
      <c r="I240" t="inlineStr">
        <is>
          <t>No</t>
        </is>
      </c>
      <c r="J240" t="inlineStr">
        <is>
          <t>0</t>
        </is>
      </c>
      <c r="K240" t="inlineStr">
        <is>
          <t>Boolootian, Richard A. editor.</t>
        </is>
      </c>
      <c r="L240" t="inlineStr">
        <is>
          <t>New York, Interscience Publishers [1966]</t>
        </is>
      </c>
      <c r="M240" t="inlineStr">
        <is>
          <t>1966</t>
        </is>
      </c>
      <c r="O240" t="inlineStr">
        <is>
          <t>eng</t>
        </is>
      </c>
      <c r="P240" t="inlineStr">
        <is>
          <t>nyu</t>
        </is>
      </c>
      <c r="R240" t="inlineStr">
        <is>
          <t xml:space="preserve">QL </t>
        </is>
      </c>
      <c r="S240" t="n">
        <v>6</v>
      </c>
      <c r="T240" t="n">
        <v>6</v>
      </c>
      <c r="U240" t="inlineStr">
        <is>
          <t>2008-02-29</t>
        </is>
      </c>
      <c r="V240" t="inlineStr">
        <is>
          <t>2008-02-29</t>
        </is>
      </c>
      <c r="W240" t="inlineStr">
        <is>
          <t>1997-07-19</t>
        </is>
      </c>
      <c r="X240" t="inlineStr">
        <is>
          <t>1997-07-19</t>
        </is>
      </c>
      <c r="Y240" t="n">
        <v>680</v>
      </c>
      <c r="Z240" t="n">
        <v>572</v>
      </c>
      <c r="AA240" t="n">
        <v>579</v>
      </c>
      <c r="AB240" t="n">
        <v>3</v>
      </c>
      <c r="AC240" t="n">
        <v>3</v>
      </c>
      <c r="AD240" t="n">
        <v>22</v>
      </c>
      <c r="AE240" t="n">
        <v>22</v>
      </c>
      <c r="AF240" t="n">
        <v>8</v>
      </c>
      <c r="AG240" t="n">
        <v>8</v>
      </c>
      <c r="AH240" t="n">
        <v>5</v>
      </c>
      <c r="AI240" t="n">
        <v>5</v>
      </c>
      <c r="AJ240" t="n">
        <v>13</v>
      </c>
      <c r="AK240" t="n">
        <v>13</v>
      </c>
      <c r="AL240" t="n">
        <v>2</v>
      </c>
      <c r="AM240" t="n">
        <v>2</v>
      </c>
      <c r="AN240" t="n">
        <v>0</v>
      </c>
      <c r="AO240" t="n">
        <v>0</v>
      </c>
      <c r="AP240" t="inlineStr">
        <is>
          <t>No</t>
        </is>
      </c>
      <c r="AQ240" t="inlineStr">
        <is>
          <t>Yes</t>
        </is>
      </c>
      <c r="AR240">
        <f>HYPERLINK("http://catalog.hathitrust.org/Record/001499395","HathiTrust Record")</f>
        <v/>
      </c>
      <c r="AS240">
        <f>HYPERLINK("https://creighton-primo.hosted.exlibrisgroup.com/primo-explore/search?tab=default_tab&amp;search_scope=EVERYTHING&amp;vid=01CRU&amp;lang=en_US&amp;offset=0&amp;query=any,contains,991002983169702656","Catalog Record")</f>
        <v/>
      </c>
      <c r="AT240">
        <f>HYPERLINK("http://www.worldcat.org/oclc/556042","WorldCat Record")</f>
        <v/>
      </c>
      <c r="AU240" t="inlineStr">
        <is>
          <t>9593621588:eng</t>
        </is>
      </c>
      <c r="AV240" t="inlineStr">
        <is>
          <t>556042</t>
        </is>
      </c>
      <c r="AW240" t="inlineStr">
        <is>
          <t>991002983169702656</t>
        </is>
      </c>
      <c r="AX240" t="inlineStr">
        <is>
          <t>991002983169702656</t>
        </is>
      </c>
      <c r="AY240" t="inlineStr">
        <is>
          <t>2259824530002656</t>
        </is>
      </c>
      <c r="AZ240" t="inlineStr">
        <is>
          <t>BOOK</t>
        </is>
      </c>
      <c r="BC240" t="inlineStr">
        <is>
          <t>32285002939972</t>
        </is>
      </c>
      <c r="BD240" t="inlineStr">
        <is>
          <t>893793188</t>
        </is>
      </c>
    </row>
    <row r="241">
      <c r="A241" t="inlineStr">
        <is>
          <t>No</t>
        </is>
      </c>
      <c r="B241" t="inlineStr">
        <is>
          <t>QL386 .Y3</t>
        </is>
      </c>
      <c r="C241" t="inlineStr">
        <is>
          <t>0                      QL 0386000Y  3</t>
        </is>
      </c>
      <c r="D241" t="inlineStr">
        <is>
          <t>Systema helminthum.</t>
        </is>
      </c>
      <c r="E241" t="inlineStr">
        <is>
          <t>V.4</t>
        </is>
      </c>
      <c r="F241" t="inlineStr">
        <is>
          <t>Yes</t>
        </is>
      </c>
      <c r="G241" t="inlineStr">
        <is>
          <t>1</t>
        </is>
      </c>
      <c r="H241" t="inlineStr">
        <is>
          <t>No</t>
        </is>
      </c>
      <c r="I241" t="inlineStr">
        <is>
          <t>No</t>
        </is>
      </c>
      <c r="J241" t="inlineStr">
        <is>
          <t>0</t>
        </is>
      </c>
      <c r="K241" t="inlineStr">
        <is>
          <t>Yamaguti, Satyu, 1894-1976.</t>
        </is>
      </c>
      <c r="L241" t="inlineStr">
        <is>
          <t>New York, Interscience Publishers, 1958-&lt;1963 &gt;</t>
        </is>
      </c>
      <c r="M241" t="inlineStr">
        <is>
          <t>1958</t>
        </is>
      </c>
      <c r="O241" t="inlineStr">
        <is>
          <t>eng</t>
        </is>
      </c>
      <c r="P241" t="inlineStr">
        <is>
          <t>nyu</t>
        </is>
      </c>
      <c r="R241" t="inlineStr">
        <is>
          <t xml:space="preserve">QL </t>
        </is>
      </c>
      <c r="S241" t="n">
        <v>0</v>
      </c>
      <c r="T241" t="n">
        <v>1</v>
      </c>
      <c r="V241" t="inlineStr">
        <is>
          <t>2005-02-24</t>
        </is>
      </c>
      <c r="W241" t="inlineStr">
        <is>
          <t>1997-07-23</t>
        </is>
      </c>
      <c r="X241" t="inlineStr">
        <is>
          <t>1997-07-23</t>
        </is>
      </c>
      <c r="Y241" t="n">
        <v>374</v>
      </c>
      <c r="Z241" t="n">
        <v>312</v>
      </c>
      <c r="AA241" t="n">
        <v>312</v>
      </c>
      <c r="AB241" t="n">
        <v>4</v>
      </c>
      <c r="AC241" t="n">
        <v>4</v>
      </c>
      <c r="AD241" t="n">
        <v>14</v>
      </c>
      <c r="AE241" t="n">
        <v>14</v>
      </c>
      <c r="AF241" t="n">
        <v>6</v>
      </c>
      <c r="AG241" t="n">
        <v>6</v>
      </c>
      <c r="AH241" t="n">
        <v>3</v>
      </c>
      <c r="AI241" t="n">
        <v>3</v>
      </c>
      <c r="AJ241" t="n">
        <v>6</v>
      </c>
      <c r="AK241" t="n">
        <v>6</v>
      </c>
      <c r="AL241" t="n">
        <v>3</v>
      </c>
      <c r="AM241" t="n">
        <v>3</v>
      </c>
      <c r="AN241" t="n">
        <v>0</v>
      </c>
      <c r="AO241" t="n">
        <v>0</v>
      </c>
      <c r="AP241" t="inlineStr">
        <is>
          <t>Yes</t>
        </is>
      </c>
      <c r="AQ241" t="inlineStr">
        <is>
          <t>Yes</t>
        </is>
      </c>
      <c r="AR241">
        <f>HYPERLINK("http://catalog.hathitrust.org/Record/001499397","HathiTrust Record")</f>
        <v/>
      </c>
      <c r="AS241">
        <f>HYPERLINK("https://creighton-primo.hosted.exlibrisgroup.com/primo-explore/search?tab=default_tab&amp;search_scope=EVERYTHING&amp;vid=01CRU&amp;lang=en_US&amp;offset=0&amp;query=any,contains,991003236979702656","Catalog Record")</f>
        <v/>
      </c>
      <c r="AT241">
        <f>HYPERLINK("http://www.worldcat.org/oclc/761317","WorldCat Record")</f>
        <v/>
      </c>
      <c r="AU241" t="inlineStr">
        <is>
          <t>4790374248:und</t>
        </is>
      </c>
      <c r="AV241" t="inlineStr">
        <is>
          <t>761317</t>
        </is>
      </c>
      <c r="AW241" t="inlineStr">
        <is>
          <t>991003236979702656</t>
        </is>
      </c>
      <c r="AX241" t="inlineStr">
        <is>
          <t>991003236979702656</t>
        </is>
      </c>
      <c r="AY241" t="inlineStr">
        <is>
          <t>2267871800002656</t>
        </is>
      </c>
      <c r="AZ241" t="inlineStr">
        <is>
          <t>BOOK</t>
        </is>
      </c>
      <c r="BC241" t="inlineStr">
        <is>
          <t>32285002980042</t>
        </is>
      </c>
      <c r="BD241" t="inlineStr">
        <is>
          <t>893780755</t>
        </is>
      </c>
    </row>
    <row r="242">
      <c r="A242" t="inlineStr">
        <is>
          <t>No</t>
        </is>
      </c>
      <c r="B242" t="inlineStr">
        <is>
          <t>QL386 .Y3</t>
        </is>
      </c>
      <c r="C242" t="inlineStr">
        <is>
          <t>0                      QL 0386000Y  3</t>
        </is>
      </c>
      <c r="D242" t="inlineStr">
        <is>
          <t>Systema helminthum.</t>
        </is>
      </c>
      <c r="E242" t="inlineStr">
        <is>
          <t>V.3 PT.1</t>
        </is>
      </c>
      <c r="F242" t="inlineStr">
        <is>
          <t>Yes</t>
        </is>
      </c>
      <c r="G242" t="inlineStr">
        <is>
          <t>1</t>
        </is>
      </c>
      <c r="H242" t="inlineStr">
        <is>
          <t>No</t>
        </is>
      </c>
      <c r="I242" t="inlineStr">
        <is>
          <t>No</t>
        </is>
      </c>
      <c r="J242" t="inlineStr">
        <is>
          <t>0</t>
        </is>
      </c>
      <c r="K242" t="inlineStr">
        <is>
          <t>Yamaguti, Satyu, 1894-1976.</t>
        </is>
      </c>
      <c r="L242" t="inlineStr">
        <is>
          <t>New York, Interscience Publishers, 1958-&lt;1963 &gt;</t>
        </is>
      </c>
      <c r="M242" t="inlineStr">
        <is>
          <t>1958</t>
        </is>
      </c>
      <c r="O242" t="inlineStr">
        <is>
          <t>eng</t>
        </is>
      </c>
      <c r="P242" t="inlineStr">
        <is>
          <t>nyu</t>
        </is>
      </c>
      <c r="R242" t="inlineStr">
        <is>
          <t xml:space="preserve">QL </t>
        </is>
      </c>
      <c r="S242" t="n">
        <v>0</v>
      </c>
      <c r="T242" t="n">
        <v>1</v>
      </c>
      <c r="V242" t="inlineStr">
        <is>
          <t>2005-02-24</t>
        </is>
      </c>
      <c r="W242" t="inlineStr">
        <is>
          <t>1997-07-23</t>
        </is>
      </c>
      <c r="X242" t="inlineStr">
        <is>
          <t>1997-07-23</t>
        </is>
      </c>
      <c r="Y242" t="n">
        <v>374</v>
      </c>
      <c r="Z242" t="n">
        <v>312</v>
      </c>
      <c r="AA242" t="n">
        <v>312</v>
      </c>
      <c r="AB242" t="n">
        <v>4</v>
      </c>
      <c r="AC242" t="n">
        <v>4</v>
      </c>
      <c r="AD242" t="n">
        <v>14</v>
      </c>
      <c r="AE242" t="n">
        <v>14</v>
      </c>
      <c r="AF242" t="n">
        <v>6</v>
      </c>
      <c r="AG242" t="n">
        <v>6</v>
      </c>
      <c r="AH242" t="n">
        <v>3</v>
      </c>
      <c r="AI242" t="n">
        <v>3</v>
      </c>
      <c r="AJ242" t="n">
        <v>6</v>
      </c>
      <c r="AK242" t="n">
        <v>6</v>
      </c>
      <c r="AL242" t="n">
        <v>3</v>
      </c>
      <c r="AM242" t="n">
        <v>3</v>
      </c>
      <c r="AN242" t="n">
        <v>0</v>
      </c>
      <c r="AO242" t="n">
        <v>0</v>
      </c>
      <c r="AP242" t="inlineStr">
        <is>
          <t>Yes</t>
        </is>
      </c>
      <c r="AQ242" t="inlineStr">
        <is>
          <t>Yes</t>
        </is>
      </c>
      <c r="AR242">
        <f>HYPERLINK("http://catalog.hathitrust.org/Record/001499397","HathiTrust Record")</f>
        <v/>
      </c>
      <c r="AS242">
        <f>HYPERLINK("https://creighton-primo.hosted.exlibrisgroup.com/primo-explore/search?tab=default_tab&amp;search_scope=EVERYTHING&amp;vid=01CRU&amp;lang=en_US&amp;offset=0&amp;query=any,contains,991003236979702656","Catalog Record")</f>
        <v/>
      </c>
      <c r="AT242">
        <f>HYPERLINK("http://www.worldcat.org/oclc/761317","WorldCat Record")</f>
        <v/>
      </c>
      <c r="AU242" t="inlineStr">
        <is>
          <t>4790374248:und</t>
        </is>
      </c>
      <c r="AV242" t="inlineStr">
        <is>
          <t>761317</t>
        </is>
      </c>
      <c r="AW242" t="inlineStr">
        <is>
          <t>991003236979702656</t>
        </is>
      </c>
      <c r="AX242" t="inlineStr">
        <is>
          <t>991003236979702656</t>
        </is>
      </c>
      <c r="AY242" t="inlineStr">
        <is>
          <t>2267871800002656</t>
        </is>
      </c>
      <c r="AZ242" t="inlineStr">
        <is>
          <t>BOOK</t>
        </is>
      </c>
      <c r="BC242" t="inlineStr">
        <is>
          <t>32285002980026</t>
        </is>
      </c>
      <c r="BD242" t="inlineStr">
        <is>
          <t>893799506</t>
        </is>
      </c>
    </row>
    <row r="243">
      <c r="A243" t="inlineStr">
        <is>
          <t>No</t>
        </is>
      </c>
      <c r="B243" t="inlineStr">
        <is>
          <t>QL386 .Y3</t>
        </is>
      </c>
      <c r="C243" t="inlineStr">
        <is>
          <t>0                      QL 0386000Y  3</t>
        </is>
      </c>
      <c r="D243" t="inlineStr">
        <is>
          <t>Systema helminthum.</t>
        </is>
      </c>
      <c r="E243" t="inlineStr">
        <is>
          <t>V.3 PT.2</t>
        </is>
      </c>
      <c r="F243" t="inlineStr">
        <is>
          <t>Yes</t>
        </is>
      </c>
      <c r="G243" t="inlineStr">
        <is>
          <t>1</t>
        </is>
      </c>
      <c r="H243" t="inlineStr">
        <is>
          <t>No</t>
        </is>
      </c>
      <c r="I243" t="inlineStr">
        <is>
          <t>No</t>
        </is>
      </c>
      <c r="J243" t="inlineStr">
        <is>
          <t>0</t>
        </is>
      </c>
      <c r="K243" t="inlineStr">
        <is>
          <t>Yamaguti, Satyu, 1894-1976.</t>
        </is>
      </c>
      <c r="L243" t="inlineStr">
        <is>
          <t>New York, Interscience Publishers, 1958-&lt;1963 &gt;</t>
        </is>
      </c>
      <c r="M243" t="inlineStr">
        <is>
          <t>1958</t>
        </is>
      </c>
      <c r="O243" t="inlineStr">
        <is>
          <t>eng</t>
        </is>
      </c>
      <c r="P243" t="inlineStr">
        <is>
          <t>nyu</t>
        </is>
      </c>
      <c r="R243" t="inlineStr">
        <is>
          <t xml:space="preserve">QL </t>
        </is>
      </c>
      <c r="S243" t="n">
        <v>0</v>
      </c>
      <c r="T243" t="n">
        <v>1</v>
      </c>
      <c r="V243" t="inlineStr">
        <is>
          <t>2005-02-24</t>
        </is>
      </c>
      <c r="W243" t="inlineStr">
        <is>
          <t>1997-07-23</t>
        </is>
      </c>
      <c r="X243" t="inlineStr">
        <is>
          <t>1997-07-23</t>
        </is>
      </c>
      <c r="Y243" t="n">
        <v>374</v>
      </c>
      <c r="Z243" t="n">
        <v>312</v>
      </c>
      <c r="AA243" t="n">
        <v>312</v>
      </c>
      <c r="AB243" t="n">
        <v>4</v>
      </c>
      <c r="AC243" t="n">
        <v>4</v>
      </c>
      <c r="AD243" t="n">
        <v>14</v>
      </c>
      <c r="AE243" t="n">
        <v>14</v>
      </c>
      <c r="AF243" t="n">
        <v>6</v>
      </c>
      <c r="AG243" t="n">
        <v>6</v>
      </c>
      <c r="AH243" t="n">
        <v>3</v>
      </c>
      <c r="AI243" t="n">
        <v>3</v>
      </c>
      <c r="AJ243" t="n">
        <v>6</v>
      </c>
      <c r="AK243" t="n">
        <v>6</v>
      </c>
      <c r="AL243" t="n">
        <v>3</v>
      </c>
      <c r="AM243" t="n">
        <v>3</v>
      </c>
      <c r="AN243" t="n">
        <v>0</v>
      </c>
      <c r="AO243" t="n">
        <v>0</v>
      </c>
      <c r="AP243" t="inlineStr">
        <is>
          <t>Yes</t>
        </is>
      </c>
      <c r="AQ243" t="inlineStr">
        <is>
          <t>Yes</t>
        </is>
      </c>
      <c r="AR243">
        <f>HYPERLINK("http://catalog.hathitrust.org/Record/001499397","HathiTrust Record")</f>
        <v/>
      </c>
      <c r="AS243">
        <f>HYPERLINK("https://creighton-primo.hosted.exlibrisgroup.com/primo-explore/search?tab=default_tab&amp;search_scope=EVERYTHING&amp;vid=01CRU&amp;lang=en_US&amp;offset=0&amp;query=any,contains,991003236979702656","Catalog Record")</f>
        <v/>
      </c>
      <c r="AT243">
        <f>HYPERLINK("http://www.worldcat.org/oclc/761317","WorldCat Record")</f>
        <v/>
      </c>
      <c r="AU243" t="inlineStr">
        <is>
          <t>4790374248:und</t>
        </is>
      </c>
      <c r="AV243" t="inlineStr">
        <is>
          <t>761317</t>
        </is>
      </c>
      <c r="AW243" t="inlineStr">
        <is>
          <t>991003236979702656</t>
        </is>
      </c>
      <c r="AX243" t="inlineStr">
        <is>
          <t>991003236979702656</t>
        </is>
      </c>
      <c r="AY243" t="inlineStr">
        <is>
          <t>2267871800002656</t>
        </is>
      </c>
      <c r="AZ243" t="inlineStr">
        <is>
          <t>BOOK</t>
        </is>
      </c>
      <c r="BC243" t="inlineStr">
        <is>
          <t>32285002980034</t>
        </is>
      </c>
      <c r="BD243" t="inlineStr">
        <is>
          <t>893799505</t>
        </is>
      </c>
    </row>
    <row r="244">
      <c r="A244" t="inlineStr">
        <is>
          <t>No</t>
        </is>
      </c>
      <c r="B244" t="inlineStr">
        <is>
          <t>QL386 .Y3</t>
        </is>
      </c>
      <c r="C244" t="inlineStr">
        <is>
          <t>0                      QL 0386000Y  3</t>
        </is>
      </c>
      <c r="D244" t="inlineStr">
        <is>
          <t>Systema helminthum.</t>
        </is>
      </c>
      <c r="E244" t="inlineStr">
        <is>
          <t>V.2</t>
        </is>
      </c>
      <c r="F244" t="inlineStr">
        <is>
          <t>Yes</t>
        </is>
      </c>
      <c r="G244" t="inlineStr">
        <is>
          <t>1</t>
        </is>
      </c>
      <c r="H244" t="inlineStr">
        <is>
          <t>No</t>
        </is>
      </c>
      <c r="I244" t="inlineStr">
        <is>
          <t>No</t>
        </is>
      </c>
      <c r="J244" t="inlineStr">
        <is>
          <t>0</t>
        </is>
      </c>
      <c r="K244" t="inlineStr">
        <is>
          <t>Yamaguti, Satyu, 1894-1976.</t>
        </is>
      </c>
      <c r="L244" t="inlineStr">
        <is>
          <t>New York, Interscience Publishers, 1958-&lt;1963 &gt;</t>
        </is>
      </c>
      <c r="M244" t="inlineStr">
        <is>
          <t>1958</t>
        </is>
      </c>
      <c r="O244" t="inlineStr">
        <is>
          <t>eng</t>
        </is>
      </c>
      <c r="P244" t="inlineStr">
        <is>
          <t>nyu</t>
        </is>
      </c>
      <c r="R244" t="inlineStr">
        <is>
          <t xml:space="preserve">QL </t>
        </is>
      </c>
      <c r="S244" t="n">
        <v>1</v>
      </c>
      <c r="T244" t="n">
        <v>1</v>
      </c>
      <c r="U244" t="inlineStr">
        <is>
          <t>2005-02-24</t>
        </is>
      </c>
      <c r="V244" t="inlineStr">
        <is>
          <t>2005-02-24</t>
        </is>
      </c>
      <c r="W244" t="inlineStr">
        <is>
          <t>1997-07-23</t>
        </is>
      </c>
      <c r="X244" t="inlineStr">
        <is>
          <t>1997-07-23</t>
        </is>
      </c>
      <c r="Y244" t="n">
        <v>374</v>
      </c>
      <c r="Z244" t="n">
        <v>312</v>
      </c>
      <c r="AA244" t="n">
        <v>312</v>
      </c>
      <c r="AB244" t="n">
        <v>4</v>
      </c>
      <c r="AC244" t="n">
        <v>4</v>
      </c>
      <c r="AD244" t="n">
        <v>14</v>
      </c>
      <c r="AE244" t="n">
        <v>14</v>
      </c>
      <c r="AF244" t="n">
        <v>6</v>
      </c>
      <c r="AG244" t="n">
        <v>6</v>
      </c>
      <c r="AH244" t="n">
        <v>3</v>
      </c>
      <c r="AI244" t="n">
        <v>3</v>
      </c>
      <c r="AJ244" t="n">
        <v>6</v>
      </c>
      <c r="AK244" t="n">
        <v>6</v>
      </c>
      <c r="AL244" t="n">
        <v>3</v>
      </c>
      <c r="AM244" t="n">
        <v>3</v>
      </c>
      <c r="AN244" t="n">
        <v>0</v>
      </c>
      <c r="AO244" t="n">
        <v>0</v>
      </c>
      <c r="AP244" t="inlineStr">
        <is>
          <t>Yes</t>
        </is>
      </c>
      <c r="AQ244" t="inlineStr">
        <is>
          <t>Yes</t>
        </is>
      </c>
      <c r="AR244">
        <f>HYPERLINK("http://catalog.hathitrust.org/Record/001499397","HathiTrust Record")</f>
        <v/>
      </c>
      <c r="AS244">
        <f>HYPERLINK("https://creighton-primo.hosted.exlibrisgroup.com/primo-explore/search?tab=default_tab&amp;search_scope=EVERYTHING&amp;vid=01CRU&amp;lang=en_US&amp;offset=0&amp;query=any,contains,991003236979702656","Catalog Record")</f>
        <v/>
      </c>
      <c r="AT244">
        <f>HYPERLINK("http://www.worldcat.org/oclc/761317","WorldCat Record")</f>
        <v/>
      </c>
      <c r="AU244" t="inlineStr">
        <is>
          <t>4790374248:und</t>
        </is>
      </c>
      <c r="AV244" t="inlineStr">
        <is>
          <t>761317</t>
        </is>
      </c>
      <c r="AW244" t="inlineStr">
        <is>
          <t>991003236979702656</t>
        </is>
      </c>
      <c r="AX244" t="inlineStr">
        <is>
          <t>991003236979702656</t>
        </is>
      </c>
      <c r="AY244" t="inlineStr">
        <is>
          <t>2267871800002656</t>
        </is>
      </c>
      <c r="AZ244" t="inlineStr">
        <is>
          <t>BOOK</t>
        </is>
      </c>
      <c r="BC244" t="inlineStr">
        <is>
          <t>32285002980018</t>
        </is>
      </c>
      <c r="BD244" t="inlineStr">
        <is>
          <t>893793437</t>
        </is>
      </c>
    </row>
    <row r="245">
      <c r="A245" t="inlineStr">
        <is>
          <t>No</t>
        </is>
      </c>
      <c r="B245" t="inlineStr">
        <is>
          <t>QL386 .Y3</t>
        </is>
      </c>
      <c r="C245" t="inlineStr">
        <is>
          <t>0                      QL 0386000Y  3</t>
        </is>
      </c>
      <c r="D245" t="inlineStr">
        <is>
          <t>Systema helminthum.</t>
        </is>
      </c>
      <c r="E245" t="inlineStr">
        <is>
          <t>V.5</t>
        </is>
      </c>
      <c r="F245" t="inlineStr">
        <is>
          <t>Yes</t>
        </is>
      </c>
      <c r="G245" t="inlineStr">
        <is>
          <t>1</t>
        </is>
      </c>
      <c r="H245" t="inlineStr">
        <is>
          <t>No</t>
        </is>
      </c>
      <c r="I245" t="inlineStr">
        <is>
          <t>No</t>
        </is>
      </c>
      <c r="J245" t="inlineStr">
        <is>
          <t>0</t>
        </is>
      </c>
      <c r="K245" t="inlineStr">
        <is>
          <t>Yamaguti, Satyu, 1894-1976.</t>
        </is>
      </c>
      <c r="L245" t="inlineStr">
        <is>
          <t>New York, Interscience Publishers, 1958-&lt;1963 &gt;</t>
        </is>
      </c>
      <c r="M245" t="inlineStr">
        <is>
          <t>1958</t>
        </is>
      </c>
      <c r="O245" t="inlineStr">
        <is>
          <t>eng</t>
        </is>
      </c>
      <c r="P245" t="inlineStr">
        <is>
          <t>nyu</t>
        </is>
      </c>
      <c r="R245" t="inlineStr">
        <is>
          <t xml:space="preserve">QL </t>
        </is>
      </c>
      <c r="S245" t="n">
        <v>0</v>
      </c>
      <c r="T245" t="n">
        <v>1</v>
      </c>
      <c r="V245" t="inlineStr">
        <is>
          <t>2005-02-24</t>
        </is>
      </c>
      <c r="W245" t="inlineStr">
        <is>
          <t>1997-07-23</t>
        </is>
      </c>
      <c r="X245" t="inlineStr">
        <is>
          <t>1997-07-23</t>
        </is>
      </c>
      <c r="Y245" t="n">
        <v>374</v>
      </c>
      <c r="Z245" t="n">
        <v>312</v>
      </c>
      <c r="AA245" t="n">
        <v>312</v>
      </c>
      <c r="AB245" t="n">
        <v>4</v>
      </c>
      <c r="AC245" t="n">
        <v>4</v>
      </c>
      <c r="AD245" t="n">
        <v>14</v>
      </c>
      <c r="AE245" t="n">
        <v>14</v>
      </c>
      <c r="AF245" t="n">
        <v>6</v>
      </c>
      <c r="AG245" t="n">
        <v>6</v>
      </c>
      <c r="AH245" t="n">
        <v>3</v>
      </c>
      <c r="AI245" t="n">
        <v>3</v>
      </c>
      <c r="AJ245" t="n">
        <v>6</v>
      </c>
      <c r="AK245" t="n">
        <v>6</v>
      </c>
      <c r="AL245" t="n">
        <v>3</v>
      </c>
      <c r="AM245" t="n">
        <v>3</v>
      </c>
      <c r="AN245" t="n">
        <v>0</v>
      </c>
      <c r="AO245" t="n">
        <v>0</v>
      </c>
      <c r="AP245" t="inlineStr">
        <is>
          <t>Yes</t>
        </is>
      </c>
      <c r="AQ245" t="inlineStr">
        <is>
          <t>Yes</t>
        </is>
      </c>
      <c r="AR245">
        <f>HYPERLINK("http://catalog.hathitrust.org/Record/001499397","HathiTrust Record")</f>
        <v/>
      </c>
      <c r="AS245">
        <f>HYPERLINK("https://creighton-primo.hosted.exlibrisgroup.com/primo-explore/search?tab=default_tab&amp;search_scope=EVERYTHING&amp;vid=01CRU&amp;lang=en_US&amp;offset=0&amp;query=any,contains,991003236979702656","Catalog Record")</f>
        <v/>
      </c>
      <c r="AT245">
        <f>HYPERLINK("http://www.worldcat.org/oclc/761317","WorldCat Record")</f>
        <v/>
      </c>
      <c r="AU245" t="inlineStr">
        <is>
          <t>4790374248:und</t>
        </is>
      </c>
      <c r="AV245" t="inlineStr">
        <is>
          <t>761317</t>
        </is>
      </c>
      <c r="AW245" t="inlineStr">
        <is>
          <t>991003236979702656</t>
        </is>
      </c>
      <c r="AX245" t="inlineStr">
        <is>
          <t>991003236979702656</t>
        </is>
      </c>
      <c r="AY245" t="inlineStr">
        <is>
          <t>2267871800002656</t>
        </is>
      </c>
      <c r="AZ245" t="inlineStr">
        <is>
          <t>BOOK</t>
        </is>
      </c>
      <c r="BC245" t="inlineStr">
        <is>
          <t>32285002980059</t>
        </is>
      </c>
      <c r="BD245" t="inlineStr">
        <is>
          <t>893780754</t>
        </is>
      </c>
    </row>
    <row r="246">
      <c r="A246" t="inlineStr">
        <is>
          <t>No</t>
        </is>
      </c>
      <c r="B246" t="inlineStr">
        <is>
          <t>QL391.A2 C7</t>
        </is>
      </c>
      <c r="C246" t="inlineStr">
        <is>
          <t>0                      QL 0391000A  2                  C  7</t>
        </is>
      </c>
      <c r="D246" t="inlineStr">
        <is>
          <t>An ecological approach to acanthocephalan physiology, by D. W. T. Crompton.</t>
        </is>
      </c>
      <c r="F246" t="inlineStr">
        <is>
          <t>No</t>
        </is>
      </c>
      <c r="G246" t="inlineStr">
        <is>
          <t>1</t>
        </is>
      </c>
      <c r="H246" t="inlineStr">
        <is>
          <t>No</t>
        </is>
      </c>
      <c r="I246" t="inlineStr">
        <is>
          <t>No</t>
        </is>
      </c>
      <c r="J246" t="inlineStr">
        <is>
          <t>0</t>
        </is>
      </c>
      <c r="K246" t="inlineStr">
        <is>
          <t>Crompton, D. W. T. (David William Thomasson), 1937-</t>
        </is>
      </c>
      <c r="L246" t="inlineStr">
        <is>
          <t>Cambridge [Eng.] University Press, 1970.</t>
        </is>
      </c>
      <c r="M246" t="inlineStr">
        <is>
          <t>1970</t>
        </is>
      </c>
      <c r="O246" t="inlineStr">
        <is>
          <t>eng</t>
        </is>
      </c>
      <c r="P246" t="inlineStr">
        <is>
          <t>enk</t>
        </is>
      </c>
      <c r="Q246" t="inlineStr">
        <is>
          <t>Cambridge monographs in experimental biology ; no. 17</t>
        </is>
      </c>
      <c r="R246" t="inlineStr">
        <is>
          <t xml:space="preserve">QL </t>
        </is>
      </c>
      <c r="S246" t="n">
        <v>1</v>
      </c>
      <c r="T246" t="n">
        <v>1</v>
      </c>
      <c r="U246" t="inlineStr">
        <is>
          <t>1997-11-21</t>
        </is>
      </c>
      <c r="V246" t="inlineStr">
        <is>
          <t>1997-11-21</t>
        </is>
      </c>
      <c r="W246" t="inlineStr">
        <is>
          <t>1997-07-19</t>
        </is>
      </c>
      <c r="X246" t="inlineStr">
        <is>
          <t>1997-07-19</t>
        </is>
      </c>
      <c r="Y246" t="n">
        <v>318</v>
      </c>
      <c r="Z246" t="n">
        <v>226</v>
      </c>
      <c r="AA246" t="n">
        <v>234</v>
      </c>
      <c r="AB246" t="n">
        <v>3</v>
      </c>
      <c r="AC246" t="n">
        <v>3</v>
      </c>
      <c r="AD246" t="n">
        <v>7</v>
      </c>
      <c r="AE246" t="n">
        <v>7</v>
      </c>
      <c r="AF246" t="n">
        <v>2</v>
      </c>
      <c r="AG246" t="n">
        <v>2</v>
      </c>
      <c r="AH246" t="n">
        <v>2</v>
      </c>
      <c r="AI246" t="n">
        <v>2</v>
      </c>
      <c r="AJ246" t="n">
        <v>3</v>
      </c>
      <c r="AK246" t="n">
        <v>3</v>
      </c>
      <c r="AL246" t="n">
        <v>2</v>
      </c>
      <c r="AM246" t="n">
        <v>2</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HYPERLINK("https://creighton-primo.hosted.exlibrisgroup.com/primo-explore/search?tab=default_tab&amp;search_scope=EVERYTHING&amp;vid=01CRU&amp;lang=en_US&amp;offset=0&amp;query=any,contains,991000634189702656","Catalog Record")</f>
        <v/>
      </c>
      <c r="AT246">
        <f>HYPERLINK("http://www.worldcat.org/oclc/107097","WorldCat Record")</f>
        <v/>
      </c>
      <c r="AU246" t="inlineStr">
        <is>
          <t>1192016:eng</t>
        </is>
      </c>
      <c r="AV246" t="inlineStr">
        <is>
          <t>107097</t>
        </is>
      </c>
      <c r="AW246" t="inlineStr">
        <is>
          <t>991000634189702656</t>
        </is>
      </c>
      <c r="AX246" t="inlineStr">
        <is>
          <t>991000634189702656</t>
        </is>
      </c>
      <c r="AY246" t="inlineStr">
        <is>
          <t>2262073580002656</t>
        </is>
      </c>
      <c r="AZ246" t="inlineStr">
        <is>
          <t>BOOK</t>
        </is>
      </c>
      <c r="BB246" t="inlineStr">
        <is>
          <t>9780521079396</t>
        </is>
      </c>
      <c r="BC246" t="inlineStr">
        <is>
          <t>32285002939980</t>
        </is>
      </c>
      <c r="BD246" t="inlineStr">
        <is>
          <t>893528234</t>
        </is>
      </c>
    </row>
    <row r="247">
      <c r="A247" t="inlineStr">
        <is>
          <t>No</t>
        </is>
      </c>
      <c r="B247" t="inlineStr">
        <is>
          <t>QL391.A6 D3 1967</t>
        </is>
      </c>
      <c r="C247" t="inlineStr">
        <is>
          <t>0                      QL 0391000A  6                  D  3           1967</t>
        </is>
      </c>
      <c r="D247" t="inlineStr">
        <is>
          <t>Annelids [by] R. Phillips Dales.</t>
        </is>
      </c>
      <c r="F247" t="inlineStr">
        <is>
          <t>No</t>
        </is>
      </c>
      <c r="G247" t="inlineStr">
        <is>
          <t>1</t>
        </is>
      </c>
      <c r="H247" t="inlineStr">
        <is>
          <t>No</t>
        </is>
      </c>
      <c r="I247" t="inlineStr">
        <is>
          <t>No</t>
        </is>
      </c>
      <c r="J247" t="inlineStr">
        <is>
          <t>0</t>
        </is>
      </c>
      <c r="K247" t="inlineStr">
        <is>
          <t>Dales, Rodney Phillips.</t>
        </is>
      </c>
      <c r="L247" t="inlineStr">
        <is>
          <t>London, Hutchinson, 1967.</t>
        </is>
      </c>
      <c r="M247" t="inlineStr">
        <is>
          <t>1967</t>
        </is>
      </c>
      <c r="N247" t="inlineStr">
        <is>
          <t>2nd ed.</t>
        </is>
      </c>
      <c r="O247" t="inlineStr">
        <is>
          <t>eng</t>
        </is>
      </c>
      <c r="P247" t="inlineStr">
        <is>
          <t>enk</t>
        </is>
      </c>
      <c r="Q247" t="inlineStr">
        <is>
          <t>Hutchinson university library. Biological sciences</t>
        </is>
      </c>
      <c r="R247" t="inlineStr">
        <is>
          <t xml:space="preserve">QL </t>
        </is>
      </c>
      <c r="S247" t="n">
        <v>4</v>
      </c>
      <c r="T247" t="n">
        <v>4</v>
      </c>
      <c r="U247" t="inlineStr">
        <is>
          <t>2008-03-10</t>
        </is>
      </c>
      <c r="V247" t="inlineStr">
        <is>
          <t>2008-03-10</t>
        </is>
      </c>
      <c r="W247" t="inlineStr">
        <is>
          <t>1997-07-19</t>
        </is>
      </c>
      <c r="X247" t="inlineStr">
        <is>
          <t>1997-07-19</t>
        </is>
      </c>
      <c r="Y247" t="n">
        <v>227</v>
      </c>
      <c r="Z247" t="n">
        <v>123</v>
      </c>
      <c r="AA247" t="n">
        <v>357</v>
      </c>
      <c r="AB247" t="n">
        <v>2</v>
      </c>
      <c r="AC247" t="n">
        <v>2</v>
      </c>
      <c r="AD247" t="n">
        <v>3</v>
      </c>
      <c r="AE247" t="n">
        <v>12</v>
      </c>
      <c r="AF247" t="n">
        <v>0</v>
      </c>
      <c r="AG247" t="n">
        <v>3</v>
      </c>
      <c r="AH247" t="n">
        <v>0</v>
      </c>
      <c r="AI247" t="n">
        <v>2</v>
      </c>
      <c r="AJ247" t="n">
        <v>2</v>
      </c>
      <c r="AK247" t="n">
        <v>9</v>
      </c>
      <c r="AL247" t="n">
        <v>1</v>
      </c>
      <c r="AM247" t="n">
        <v>1</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HYPERLINK("https://creighton-primo.hosted.exlibrisgroup.com/primo-explore/search?tab=default_tab&amp;search_scope=EVERYTHING&amp;vid=01CRU&amp;lang=en_US&amp;offset=0&amp;query=any,contains,991003416029702656","Catalog Record")</f>
        <v/>
      </c>
      <c r="AT247">
        <f>HYPERLINK("http://www.worldcat.org/oclc/956573","WorldCat Record")</f>
        <v/>
      </c>
      <c r="AU247" t="inlineStr">
        <is>
          <t>1904473:eng</t>
        </is>
      </c>
      <c r="AV247" t="inlineStr">
        <is>
          <t>956573</t>
        </is>
      </c>
      <c r="AW247" t="inlineStr">
        <is>
          <t>991003416029702656</t>
        </is>
      </c>
      <c r="AX247" t="inlineStr">
        <is>
          <t>991003416029702656</t>
        </is>
      </c>
      <c r="AY247" t="inlineStr">
        <is>
          <t>2265248630002656</t>
        </is>
      </c>
      <c r="AZ247" t="inlineStr">
        <is>
          <t>BOOK</t>
        </is>
      </c>
      <c r="BC247" t="inlineStr">
        <is>
          <t>32285002939998</t>
        </is>
      </c>
      <c r="BD247" t="inlineStr">
        <is>
          <t>893598565</t>
        </is>
      </c>
    </row>
    <row r="248">
      <c r="A248" t="inlineStr">
        <is>
          <t>No</t>
        </is>
      </c>
      <c r="B248" t="inlineStr">
        <is>
          <t>QL391.A6 E27 1998</t>
        </is>
      </c>
      <c r="C248" t="inlineStr">
        <is>
          <t>0                      QL 0391000A  6                  E  27          1998</t>
        </is>
      </c>
      <c r="D248" t="inlineStr">
        <is>
          <t>Earthworm ecology / edited by Clive A. Edwards.</t>
        </is>
      </c>
      <c r="F248" t="inlineStr">
        <is>
          <t>No</t>
        </is>
      </c>
      <c r="G248" t="inlineStr">
        <is>
          <t>1</t>
        </is>
      </c>
      <c r="H248" t="inlineStr">
        <is>
          <t>No</t>
        </is>
      </c>
      <c r="I248" t="inlineStr">
        <is>
          <t>No</t>
        </is>
      </c>
      <c r="J248" t="inlineStr">
        <is>
          <t>0</t>
        </is>
      </c>
      <c r="L248" t="inlineStr">
        <is>
          <t>Boca Raton : St. Lucie Press, c1998.</t>
        </is>
      </c>
      <c r="M248" t="inlineStr">
        <is>
          <t>1998</t>
        </is>
      </c>
      <c r="O248" t="inlineStr">
        <is>
          <t>eng</t>
        </is>
      </c>
      <c r="P248" t="inlineStr">
        <is>
          <t>flu</t>
        </is>
      </c>
      <c r="R248" t="inlineStr">
        <is>
          <t xml:space="preserve">QL </t>
        </is>
      </c>
      <c r="S248" t="n">
        <v>5</v>
      </c>
      <c r="T248" t="n">
        <v>5</v>
      </c>
      <c r="U248" t="inlineStr">
        <is>
          <t>2005-02-19</t>
        </is>
      </c>
      <c r="V248" t="inlineStr">
        <is>
          <t>2005-02-19</t>
        </is>
      </c>
      <c r="W248" t="inlineStr">
        <is>
          <t>1998-02-19</t>
        </is>
      </c>
      <c r="X248" t="inlineStr">
        <is>
          <t>1998-02-19</t>
        </is>
      </c>
      <c r="Y248" t="n">
        <v>429</v>
      </c>
      <c r="Z248" t="n">
        <v>317</v>
      </c>
      <c r="AA248" t="n">
        <v>452</v>
      </c>
      <c r="AB248" t="n">
        <v>2</v>
      </c>
      <c r="AC248" t="n">
        <v>3</v>
      </c>
      <c r="AD248" t="n">
        <v>7</v>
      </c>
      <c r="AE248" t="n">
        <v>12</v>
      </c>
      <c r="AF248" t="n">
        <v>3</v>
      </c>
      <c r="AG248" t="n">
        <v>5</v>
      </c>
      <c r="AH248" t="n">
        <v>1</v>
      </c>
      <c r="AI248" t="n">
        <v>1</v>
      </c>
      <c r="AJ248" t="n">
        <v>5</v>
      </c>
      <c r="AK248" t="n">
        <v>7</v>
      </c>
      <c r="AL248" t="n">
        <v>1</v>
      </c>
      <c r="AM248" t="n">
        <v>2</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HYPERLINK("https://creighton-primo.hosted.exlibrisgroup.com/primo-explore/search?tab=default_tab&amp;search_scope=EVERYTHING&amp;vid=01CRU&amp;lang=en_US&amp;offset=0&amp;query=any,contains,991002900439702656","Catalog Record")</f>
        <v/>
      </c>
      <c r="AT248">
        <f>HYPERLINK("http://www.worldcat.org/oclc/38243637","WorldCat Record")</f>
        <v/>
      </c>
      <c r="AU248" t="inlineStr">
        <is>
          <t>350148423:eng</t>
        </is>
      </c>
      <c r="AV248" t="inlineStr">
        <is>
          <t>38243637</t>
        </is>
      </c>
      <c r="AW248" t="inlineStr">
        <is>
          <t>991002900439702656</t>
        </is>
      </c>
      <c r="AX248" t="inlineStr">
        <is>
          <t>991002900439702656</t>
        </is>
      </c>
      <c r="AY248" t="inlineStr">
        <is>
          <t>2267155370002656</t>
        </is>
      </c>
      <c r="AZ248" t="inlineStr">
        <is>
          <t>BOOK</t>
        </is>
      </c>
      <c r="BB248" t="inlineStr">
        <is>
          <t>9781884015748</t>
        </is>
      </c>
      <c r="BC248" t="inlineStr">
        <is>
          <t>32285003314183</t>
        </is>
      </c>
      <c r="BD248" t="inlineStr">
        <is>
          <t>893874155</t>
        </is>
      </c>
    </row>
    <row r="249">
      <c r="A249" t="inlineStr">
        <is>
          <t>No</t>
        </is>
      </c>
      <c r="B249" t="inlineStr">
        <is>
          <t>QL391.A6 E38 1977</t>
        </is>
      </c>
      <c r="C249" t="inlineStr">
        <is>
          <t>0                      QL 0391000A  6                  E  38          1977</t>
        </is>
      </c>
      <c r="D249" t="inlineStr">
        <is>
          <t>Biology of earthworms / C. A. Edwards, J. R. Lofty.</t>
        </is>
      </c>
      <c r="F249" t="inlineStr">
        <is>
          <t>No</t>
        </is>
      </c>
      <c r="G249" t="inlineStr">
        <is>
          <t>1</t>
        </is>
      </c>
      <c r="H249" t="inlineStr">
        <is>
          <t>No</t>
        </is>
      </c>
      <c r="I249" t="inlineStr">
        <is>
          <t>Yes</t>
        </is>
      </c>
      <c r="J249" t="inlineStr">
        <is>
          <t>0</t>
        </is>
      </c>
      <c r="K249" t="inlineStr">
        <is>
          <t>Edwards, C. A. (Clive Arthur), 1925-</t>
        </is>
      </c>
      <c r="L249" t="inlineStr">
        <is>
          <t>London : Chapman and Hall ; New York : Wiley, 1977.</t>
        </is>
      </c>
      <c r="M249" t="inlineStr">
        <is>
          <t>1977</t>
        </is>
      </c>
      <c r="N249" t="inlineStr">
        <is>
          <t>2d ed.</t>
        </is>
      </c>
      <c r="O249" t="inlineStr">
        <is>
          <t>eng</t>
        </is>
      </c>
      <c r="P249" t="inlineStr">
        <is>
          <t>enk</t>
        </is>
      </c>
      <c r="R249" t="inlineStr">
        <is>
          <t xml:space="preserve">QL </t>
        </is>
      </c>
      <c r="S249" t="n">
        <v>5</v>
      </c>
      <c r="T249" t="n">
        <v>5</v>
      </c>
      <c r="U249" t="inlineStr">
        <is>
          <t>2005-02-19</t>
        </is>
      </c>
      <c r="V249" t="inlineStr">
        <is>
          <t>2005-02-19</t>
        </is>
      </c>
      <c r="W249" t="inlineStr">
        <is>
          <t>1997-07-19</t>
        </is>
      </c>
      <c r="X249" t="inlineStr">
        <is>
          <t>1997-07-19</t>
        </is>
      </c>
      <c r="Y249" t="n">
        <v>436</v>
      </c>
      <c r="Z249" t="n">
        <v>307</v>
      </c>
      <c r="AA249" t="n">
        <v>711</v>
      </c>
      <c r="AB249" t="n">
        <v>1</v>
      </c>
      <c r="AC249" t="n">
        <v>2</v>
      </c>
      <c r="AD249" t="n">
        <v>8</v>
      </c>
      <c r="AE249" t="n">
        <v>23</v>
      </c>
      <c r="AF249" t="n">
        <v>4</v>
      </c>
      <c r="AG249" t="n">
        <v>11</v>
      </c>
      <c r="AH249" t="n">
        <v>1</v>
      </c>
      <c r="AI249" t="n">
        <v>4</v>
      </c>
      <c r="AJ249" t="n">
        <v>6</v>
      </c>
      <c r="AK249" t="n">
        <v>15</v>
      </c>
      <c r="AL249" t="n">
        <v>0</v>
      </c>
      <c r="AM249" t="n">
        <v>1</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HYPERLINK("https://creighton-primo.hosted.exlibrisgroup.com/primo-explore/search?tab=default_tab&amp;search_scope=EVERYTHING&amp;vid=01CRU&amp;lang=en_US&amp;offset=0&amp;query=any,contains,991004277389702656","Catalog Record")</f>
        <v/>
      </c>
      <c r="AT249">
        <f>HYPERLINK("http://www.worldcat.org/oclc/2896206","WorldCat Record")</f>
        <v/>
      </c>
      <c r="AU249" t="inlineStr">
        <is>
          <t>4923108112:eng</t>
        </is>
      </c>
      <c r="AV249" t="inlineStr">
        <is>
          <t>2896206</t>
        </is>
      </c>
      <c r="AW249" t="inlineStr">
        <is>
          <t>991004277389702656</t>
        </is>
      </c>
      <c r="AX249" t="inlineStr">
        <is>
          <t>991004277389702656</t>
        </is>
      </c>
      <c r="AY249" t="inlineStr">
        <is>
          <t>2256320330002656</t>
        </is>
      </c>
      <c r="AZ249" t="inlineStr">
        <is>
          <t>BOOK</t>
        </is>
      </c>
      <c r="BB249" t="inlineStr">
        <is>
          <t>9780470991473</t>
        </is>
      </c>
      <c r="BC249" t="inlineStr">
        <is>
          <t>32285002940004</t>
        </is>
      </c>
      <c r="BD249" t="inlineStr">
        <is>
          <t>893532214</t>
        </is>
      </c>
    </row>
    <row r="250">
      <c r="A250" t="inlineStr">
        <is>
          <t>No</t>
        </is>
      </c>
      <c r="B250" t="inlineStr">
        <is>
          <t>QL391.A6 G85 1985</t>
        </is>
      </c>
      <c r="C250" t="inlineStr">
        <is>
          <t>0                      QL 0391000A  6                  G  85          1985</t>
        </is>
      </c>
      <c r="D250" t="inlineStr">
        <is>
          <t>A Guide to the freshwater Annelida (Polychaeta, naidid and tubificid Oligochaeta, and Hirudinea) of North America / edited by Donald J. Klemm.</t>
        </is>
      </c>
      <c r="F250" t="inlineStr">
        <is>
          <t>No</t>
        </is>
      </c>
      <c r="G250" t="inlineStr">
        <is>
          <t>1</t>
        </is>
      </c>
      <c r="H250" t="inlineStr">
        <is>
          <t>No</t>
        </is>
      </c>
      <c r="I250" t="inlineStr">
        <is>
          <t>No</t>
        </is>
      </c>
      <c r="J250" t="inlineStr">
        <is>
          <t>0</t>
        </is>
      </c>
      <c r="L250" t="inlineStr">
        <is>
          <t>Dubuque, Iowa : Kendall/Hunt Pub. Co., c1985.</t>
        </is>
      </c>
      <c r="M250" t="inlineStr">
        <is>
          <t>1985</t>
        </is>
      </c>
      <c r="O250" t="inlineStr">
        <is>
          <t>eng</t>
        </is>
      </c>
      <c r="P250" t="inlineStr">
        <is>
          <t>iau</t>
        </is>
      </c>
      <c r="R250" t="inlineStr">
        <is>
          <t xml:space="preserve">QL </t>
        </is>
      </c>
      <c r="S250" t="n">
        <v>5</v>
      </c>
      <c r="T250" t="n">
        <v>5</v>
      </c>
      <c r="U250" t="inlineStr">
        <is>
          <t>2010-11-09</t>
        </is>
      </c>
      <c r="V250" t="inlineStr">
        <is>
          <t>2010-11-09</t>
        </is>
      </c>
      <c r="W250" t="inlineStr">
        <is>
          <t>1993-05-25</t>
        </is>
      </c>
      <c r="X250" t="inlineStr">
        <is>
          <t>1993-05-25</t>
        </is>
      </c>
      <c r="Y250" t="n">
        <v>181</v>
      </c>
      <c r="Z250" t="n">
        <v>170</v>
      </c>
      <c r="AA250" t="n">
        <v>172</v>
      </c>
      <c r="AB250" t="n">
        <v>4</v>
      </c>
      <c r="AC250" t="n">
        <v>4</v>
      </c>
      <c r="AD250" t="n">
        <v>7</v>
      </c>
      <c r="AE250" t="n">
        <v>7</v>
      </c>
      <c r="AF250" t="n">
        <v>3</v>
      </c>
      <c r="AG250" t="n">
        <v>3</v>
      </c>
      <c r="AH250" t="n">
        <v>2</v>
      </c>
      <c r="AI250" t="n">
        <v>2</v>
      </c>
      <c r="AJ250" t="n">
        <v>1</v>
      </c>
      <c r="AK250" t="n">
        <v>1</v>
      </c>
      <c r="AL250" t="n">
        <v>3</v>
      </c>
      <c r="AM250" t="n">
        <v>3</v>
      </c>
      <c r="AN250" t="n">
        <v>0</v>
      </c>
      <c r="AO250" t="n">
        <v>0</v>
      </c>
      <c r="AP250" t="inlineStr">
        <is>
          <t>No</t>
        </is>
      </c>
      <c r="AQ250" t="inlineStr">
        <is>
          <t>Yes</t>
        </is>
      </c>
      <c r="AR250">
        <f>HYPERLINK("http://catalog.hathitrust.org/Record/008852392","HathiTrust Record")</f>
        <v/>
      </c>
      <c r="AS250">
        <f>HYPERLINK("https://creighton-primo.hosted.exlibrisgroup.com/primo-explore/search?tab=default_tab&amp;search_scope=EVERYTHING&amp;vid=01CRU&amp;lang=en_US&amp;offset=0&amp;query=any,contains,991000745199702656","Catalog Record")</f>
        <v/>
      </c>
      <c r="AT250">
        <f>HYPERLINK("http://www.worldcat.org/oclc/12837858","WorldCat Record")</f>
        <v/>
      </c>
      <c r="AU250" t="inlineStr">
        <is>
          <t>54771247:eng</t>
        </is>
      </c>
      <c r="AV250" t="inlineStr">
        <is>
          <t>12837858</t>
        </is>
      </c>
      <c r="AW250" t="inlineStr">
        <is>
          <t>991000745199702656</t>
        </is>
      </c>
      <c r="AX250" t="inlineStr">
        <is>
          <t>991000745199702656</t>
        </is>
      </c>
      <c r="AY250" t="inlineStr">
        <is>
          <t>2272176520002656</t>
        </is>
      </c>
      <c r="AZ250" t="inlineStr">
        <is>
          <t>BOOK</t>
        </is>
      </c>
      <c r="BB250" t="inlineStr">
        <is>
          <t>9780840335777</t>
        </is>
      </c>
      <c r="BC250" t="inlineStr">
        <is>
          <t>32285001686707</t>
        </is>
      </c>
      <c r="BD250" t="inlineStr">
        <is>
          <t>893261592</t>
        </is>
      </c>
    </row>
    <row r="251">
      <c r="A251" t="inlineStr">
        <is>
          <t>No</t>
        </is>
      </c>
      <c r="B251" t="inlineStr">
        <is>
          <t>QL391.A6 I57 1979</t>
        </is>
      </c>
      <c r="C251" t="inlineStr">
        <is>
          <t>0                      QL 0391000A  6                  I  57          1979</t>
        </is>
      </c>
      <c r="D251" t="inlineStr">
        <is>
          <t>Aquatic oligochaete biology / edited by Ralph O. Brinkhurst and David G. Cook.</t>
        </is>
      </c>
      <c r="F251" t="inlineStr">
        <is>
          <t>No</t>
        </is>
      </c>
      <c r="G251" t="inlineStr">
        <is>
          <t>1</t>
        </is>
      </c>
      <c r="H251" t="inlineStr">
        <is>
          <t>No</t>
        </is>
      </c>
      <c r="I251" t="inlineStr">
        <is>
          <t>No</t>
        </is>
      </c>
      <c r="J251" t="inlineStr">
        <is>
          <t>0</t>
        </is>
      </c>
      <c r="K251" t="inlineStr">
        <is>
          <t>International Symposium on Aquatic Oligochaete Biology (1st : 1979 : Sidney, B.C.)</t>
        </is>
      </c>
      <c r="L251" t="inlineStr">
        <is>
          <t>New York : Plenum Press, c1980.</t>
        </is>
      </c>
      <c r="M251" t="inlineStr">
        <is>
          <t>1980</t>
        </is>
      </c>
      <c r="O251" t="inlineStr">
        <is>
          <t>eng</t>
        </is>
      </c>
      <c r="P251" t="inlineStr">
        <is>
          <t>nyu</t>
        </is>
      </c>
      <c r="R251" t="inlineStr">
        <is>
          <t xml:space="preserve">QL </t>
        </is>
      </c>
      <c r="S251" t="n">
        <v>2</v>
      </c>
      <c r="T251" t="n">
        <v>2</v>
      </c>
      <c r="U251" t="inlineStr">
        <is>
          <t>2002-07-02</t>
        </is>
      </c>
      <c r="V251" t="inlineStr">
        <is>
          <t>2002-07-02</t>
        </is>
      </c>
      <c r="W251" t="inlineStr">
        <is>
          <t>1993-05-25</t>
        </is>
      </c>
      <c r="X251" t="inlineStr">
        <is>
          <t>1993-05-25</t>
        </is>
      </c>
      <c r="Y251" t="n">
        <v>285</v>
      </c>
      <c r="Z251" t="n">
        <v>208</v>
      </c>
      <c r="AA251" t="n">
        <v>227</v>
      </c>
      <c r="AB251" t="n">
        <v>3</v>
      </c>
      <c r="AC251" t="n">
        <v>3</v>
      </c>
      <c r="AD251" t="n">
        <v>3</v>
      </c>
      <c r="AE251" t="n">
        <v>4</v>
      </c>
      <c r="AF251" t="n">
        <v>0</v>
      </c>
      <c r="AG251" t="n">
        <v>1</v>
      </c>
      <c r="AH251" t="n">
        <v>0</v>
      </c>
      <c r="AI251" t="n">
        <v>0</v>
      </c>
      <c r="AJ251" t="n">
        <v>1</v>
      </c>
      <c r="AK251" t="n">
        <v>2</v>
      </c>
      <c r="AL251" t="n">
        <v>2</v>
      </c>
      <c r="AM251" t="n">
        <v>2</v>
      </c>
      <c r="AN251" t="n">
        <v>0</v>
      </c>
      <c r="AO251" t="n">
        <v>0</v>
      </c>
      <c r="AP251" t="inlineStr">
        <is>
          <t>No</t>
        </is>
      </c>
      <c r="AQ251" t="inlineStr">
        <is>
          <t>Yes</t>
        </is>
      </c>
      <c r="AR251">
        <f>HYPERLINK("http://catalog.hathitrust.org/Record/000695829","HathiTrust Record")</f>
        <v/>
      </c>
      <c r="AS251">
        <f>HYPERLINK("https://creighton-primo.hosted.exlibrisgroup.com/primo-explore/search?tab=default_tab&amp;search_scope=EVERYTHING&amp;vid=01CRU&amp;lang=en_US&amp;offset=0&amp;query=any,contains,991004885089702656","Catalog Record")</f>
        <v/>
      </c>
      <c r="AT251">
        <f>HYPERLINK("http://www.worldcat.org/oclc/5831392","WorldCat Record")</f>
        <v/>
      </c>
      <c r="AU251" t="inlineStr">
        <is>
          <t>143769580:eng</t>
        </is>
      </c>
      <c r="AV251" t="inlineStr">
        <is>
          <t>5831392</t>
        </is>
      </c>
      <c r="AW251" t="inlineStr">
        <is>
          <t>991004885089702656</t>
        </is>
      </c>
      <c r="AX251" t="inlineStr">
        <is>
          <t>991004885089702656</t>
        </is>
      </c>
      <c r="AY251" t="inlineStr">
        <is>
          <t>2263195280002656</t>
        </is>
      </c>
      <c r="AZ251" t="inlineStr">
        <is>
          <t>BOOK</t>
        </is>
      </c>
      <c r="BB251" t="inlineStr">
        <is>
          <t>9780306403385</t>
        </is>
      </c>
      <c r="BC251" t="inlineStr">
        <is>
          <t>32285001686715</t>
        </is>
      </c>
      <c r="BD251" t="inlineStr">
        <is>
          <t>893446441</t>
        </is>
      </c>
    </row>
    <row r="252">
      <c r="A252" t="inlineStr">
        <is>
          <t>No</t>
        </is>
      </c>
      <c r="B252" t="inlineStr">
        <is>
          <t>QL391.A6 S7 1972</t>
        </is>
      </c>
      <c r="C252" t="inlineStr">
        <is>
          <t>0                      QL 0391000A  6                  S  7           1972</t>
        </is>
      </c>
      <c r="D252" t="inlineStr">
        <is>
          <t>The Oligochaeta, by J. Stephenson.</t>
        </is>
      </c>
      <c r="F252" t="inlineStr">
        <is>
          <t>No</t>
        </is>
      </c>
      <c r="G252" t="inlineStr">
        <is>
          <t>1</t>
        </is>
      </c>
      <c r="H252" t="inlineStr">
        <is>
          <t>No</t>
        </is>
      </c>
      <c r="I252" t="inlineStr">
        <is>
          <t>No</t>
        </is>
      </c>
      <c r="J252" t="inlineStr">
        <is>
          <t>0</t>
        </is>
      </c>
      <c r="K252" t="inlineStr">
        <is>
          <t>Stephenson, J. (John), 1871-1933.</t>
        </is>
      </c>
      <c r="L252" t="inlineStr">
        <is>
          <t>Lehre, J. Cramer; New York, Stechert-Hafner, 1972.</t>
        </is>
      </c>
      <c r="M252" t="inlineStr">
        <is>
          <t>1972</t>
        </is>
      </c>
      <c r="O252" t="inlineStr">
        <is>
          <t>eng</t>
        </is>
      </c>
      <c r="P252" t="inlineStr">
        <is>
          <t xml:space="preserve">gw </t>
        </is>
      </c>
      <c r="Q252" t="inlineStr">
        <is>
          <t>Historiae naturalis classica ; t. 92</t>
        </is>
      </c>
      <c r="R252" t="inlineStr">
        <is>
          <t xml:space="preserve">QL </t>
        </is>
      </c>
      <c r="S252" t="n">
        <v>3</v>
      </c>
      <c r="T252" t="n">
        <v>3</v>
      </c>
      <c r="U252" t="inlineStr">
        <is>
          <t>1998-03-25</t>
        </is>
      </c>
      <c r="V252" t="inlineStr">
        <is>
          <t>1998-03-25</t>
        </is>
      </c>
      <c r="W252" t="inlineStr">
        <is>
          <t>1997-07-23</t>
        </is>
      </c>
      <c r="X252" t="inlineStr">
        <is>
          <t>1997-07-23</t>
        </is>
      </c>
      <c r="Y252" t="n">
        <v>55</v>
      </c>
      <c r="Z252" t="n">
        <v>50</v>
      </c>
      <c r="AA252" t="n">
        <v>161</v>
      </c>
      <c r="AB252" t="n">
        <v>1</v>
      </c>
      <c r="AC252" t="n">
        <v>2</v>
      </c>
      <c r="AD252" t="n">
        <v>0</v>
      </c>
      <c r="AE252" t="n">
        <v>3</v>
      </c>
      <c r="AF252" t="n">
        <v>0</v>
      </c>
      <c r="AG252" t="n">
        <v>0</v>
      </c>
      <c r="AH252" t="n">
        <v>0</v>
      </c>
      <c r="AI252" t="n">
        <v>1</v>
      </c>
      <c r="AJ252" t="n">
        <v>0</v>
      </c>
      <c r="AK252" t="n">
        <v>1</v>
      </c>
      <c r="AL252" t="n">
        <v>0</v>
      </c>
      <c r="AM252" t="n">
        <v>1</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HYPERLINK("https://creighton-primo.hosted.exlibrisgroup.com/primo-explore/search?tab=default_tab&amp;search_scope=EVERYTHING&amp;vid=01CRU&amp;lang=en_US&amp;offset=0&amp;query=any,contains,991005024239702656","Catalog Record")</f>
        <v/>
      </c>
      <c r="AT252">
        <f>HYPERLINK("http://www.worldcat.org/oclc/6677643","WorldCat Record")</f>
        <v/>
      </c>
      <c r="AU252" t="inlineStr">
        <is>
          <t>1857733:eng</t>
        </is>
      </c>
      <c r="AV252" t="inlineStr">
        <is>
          <t>6677643</t>
        </is>
      </c>
      <c r="AW252" t="inlineStr">
        <is>
          <t>991005024239702656</t>
        </is>
      </c>
      <c r="AX252" t="inlineStr">
        <is>
          <t>991005024239702656</t>
        </is>
      </c>
      <c r="AY252" t="inlineStr">
        <is>
          <t>2257931270002656</t>
        </is>
      </c>
      <c r="AZ252" t="inlineStr">
        <is>
          <t>BOOK</t>
        </is>
      </c>
      <c r="BC252" t="inlineStr">
        <is>
          <t>32285002980067</t>
        </is>
      </c>
      <c r="BD252" t="inlineStr">
        <is>
          <t>893795509</t>
        </is>
      </c>
    </row>
    <row r="253">
      <c r="A253" t="inlineStr">
        <is>
          <t>No</t>
        </is>
      </c>
      <c r="B253" t="inlineStr">
        <is>
          <t>QL391.C4 S37</t>
        </is>
      </c>
      <c r="C253" t="inlineStr">
        <is>
          <t>0                      QL 0391000C  4                  S  37</t>
        </is>
      </c>
      <c r="D253" t="inlineStr">
        <is>
          <t>How to know the tapeworms [by] Gerald D. Schmidt.</t>
        </is>
      </c>
      <c r="F253" t="inlineStr">
        <is>
          <t>No</t>
        </is>
      </c>
      <c r="G253" t="inlineStr">
        <is>
          <t>1</t>
        </is>
      </c>
      <c r="H253" t="inlineStr">
        <is>
          <t>No</t>
        </is>
      </c>
      <c r="I253" t="inlineStr">
        <is>
          <t>No</t>
        </is>
      </c>
      <c r="J253" t="inlineStr">
        <is>
          <t>0</t>
        </is>
      </c>
      <c r="K253" t="inlineStr">
        <is>
          <t>Schmidt, Gerald D., 1934-</t>
        </is>
      </c>
      <c r="L253" t="inlineStr">
        <is>
          <t>Dubuque, Iowa, W. C. Brown Co. [1970]</t>
        </is>
      </c>
      <c r="M253" t="inlineStr">
        <is>
          <t>1970</t>
        </is>
      </c>
      <c r="O253" t="inlineStr">
        <is>
          <t>eng</t>
        </is>
      </c>
      <c r="P253" t="inlineStr">
        <is>
          <t>iau</t>
        </is>
      </c>
      <c r="Q253" t="inlineStr">
        <is>
          <t>Pictured key nature series</t>
        </is>
      </c>
      <c r="R253" t="inlineStr">
        <is>
          <t xml:space="preserve">QL </t>
        </is>
      </c>
      <c r="S253" t="n">
        <v>1</v>
      </c>
      <c r="T253" t="n">
        <v>1</v>
      </c>
      <c r="U253" t="inlineStr">
        <is>
          <t>2005-02-11</t>
        </is>
      </c>
      <c r="V253" t="inlineStr">
        <is>
          <t>2005-02-11</t>
        </is>
      </c>
      <c r="W253" t="inlineStr">
        <is>
          <t>1997-07-23</t>
        </is>
      </c>
      <c r="X253" t="inlineStr">
        <is>
          <t>1997-07-23</t>
        </is>
      </c>
      <c r="Y253" t="n">
        <v>380</v>
      </c>
      <c r="Z253" t="n">
        <v>326</v>
      </c>
      <c r="AA253" t="n">
        <v>328</v>
      </c>
      <c r="AB253" t="n">
        <v>4</v>
      </c>
      <c r="AC253" t="n">
        <v>4</v>
      </c>
      <c r="AD253" t="n">
        <v>6</v>
      </c>
      <c r="AE253" t="n">
        <v>6</v>
      </c>
      <c r="AF253" t="n">
        <v>2</v>
      </c>
      <c r="AG253" t="n">
        <v>2</v>
      </c>
      <c r="AH253" t="n">
        <v>0</v>
      </c>
      <c r="AI253" t="n">
        <v>0</v>
      </c>
      <c r="AJ253" t="n">
        <v>2</v>
      </c>
      <c r="AK253" t="n">
        <v>2</v>
      </c>
      <c r="AL253" t="n">
        <v>3</v>
      </c>
      <c r="AM253" t="n">
        <v>3</v>
      </c>
      <c r="AN253" t="n">
        <v>0</v>
      </c>
      <c r="AO253" t="n">
        <v>0</v>
      </c>
      <c r="AP253" t="inlineStr">
        <is>
          <t>No</t>
        </is>
      </c>
      <c r="AQ253" t="inlineStr">
        <is>
          <t>Yes</t>
        </is>
      </c>
      <c r="AR253">
        <f>HYPERLINK("http://catalog.hathitrust.org/Record/001499439","HathiTrust Record")</f>
        <v/>
      </c>
      <c r="AS253">
        <f>HYPERLINK("https://creighton-primo.hosted.exlibrisgroup.com/primo-explore/search?tab=default_tab&amp;search_scope=EVERYTHING&amp;vid=01CRU&amp;lang=en_US&amp;offset=0&amp;query=any,contains,991000682839702656","Catalog Record")</f>
        <v/>
      </c>
      <c r="AT253">
        <f>HYPERLINK("http://www.worldcat.org/oclc/122418","WorldCat Record")</f>
        <v/>
      </c>
      <c r="AU253" t="inlineStr">
        <is>
          <t>1244925:eng</t>
        </is>
      </c>
      <c r="AV253" t="inlineStr">
        <is>
          <t>122418</t>
        </is>
      </c>
      <c r="AW253" t="inlineStr">
        <is>
          <t>991000682839702656</t>
        </is>
      </c>
      <c r="AX253" t="inlineStr">
        <is>
          <t>991000682839702656</t>
        </is>
      </c>
      <c r="AY253" t="inlineStr">
        <is>
          <t>2263091710002656</t>
        </is>
      </c>
      <c r="AZ253" t="inlineStr">
        <is>
          <t>BOOK</t>
        </is>
      </c>
      <c r="BB253" t="inlineStr">
        <is>
          <t>9780697048608</t>
        </is>
      </c>
      <c r="BC253" t="inlineStr">
        <is>
          <t>32285002980083</t>
        </is>
      </c>
      <c r="BD253" t="inlineStr">
        <is>
          <t>893327494</t>
        </is>
      </c>
    </row>
    <row r="254">
      <c r="A254" t="inlineStr">
        <is>
          <t>No</t>
        </is>
      </c>
      <c r="B254" t="inlineStr">
        <is>
          <t>QL391.C4 S5</t>
        </is>
      </c>
      <c r="C254" t="inlineStr">
        <is>
          <t>0                      QL 0391000C  4                  S  5</t>
        </is>
      </c>
      <c r="D254" t="inlineStr">
        <is>
          <t>The physiology of cestodes [by] J. D. Smyth.</t>
        </is>
      </c>
      <c r="F254" t="inlineStr">
        <is>
          <t>No</t>
        </is>
      </c>
      <c r="G254" t="inlineStr">
        <is>
          <t>1</t>
        </is>
      </c>
      <c r="H254" t="inlineStr">
        <is>
          <t>No</t>
        </is>
      </c>
      <c r="I254" t="inlineStr">
        <is>
          <t>No</t>
        </is>
      </c>
      <c r="J254" t="inlineStr">
        <is>
          <t>0</t>
        </is>
      </c>
      <c r="K254" t="inlineStr">
        <is>
          <t>Smyth, J. D. (James Desmond), 1917-1999.</t>
        </is>
      </c>
      <c r="L254" t="inlineStr">
        <is>
          <t>San Francisco, W. H. Freeman [1969]</t>
        </is>
      </c>
      <c r="M254" t="inlineStr">
        <is>
          <t>1969</t>
        </is>
      </c>
      <c r="O254" t="inlineStr">
        <is>
          <t>eng</t>
        </is>
      </c>
      <c r="P254" t="inlineStr">
        <is>
          <t>cau</t>
        </is>
      </c>
      <c r="Q254" t="inlineStr">
        <is>
          <t>University reviews in biology</t>
        </is>
      </c>
      <c r="R254" t="inlineStr">
        <is>
          <t xml:space="preserve">QL </t>
        </is>
      </c>
      <c r="S254" t="n">
        <v>2</v>
      </c>
      <c r="T254" t="n">
        <v>2</v>
      </c>
      <c r="U254" t="inlineStr">
        <is>
          <t>2006-03-22</t>
        </is>
      </c>
      <c r="V254" t="inlineStr">
        <is>
          <t>2006-03-22</t>
        </is>
      </c>
      <c r="W254" t="inlineStr">
        <is>
          <t>1997-07-23</t>
        </is>
      </c>
      <c r="X254" t="inlineStr">
        <is>
          <t>1997-07-23</t>
        </is>
      </c>
      <c r="Y254" t="n">
        <v>405</v>
      </c>
      <c r="Z254" t="n">
        <v>360</v>
      </c>
      <c r="AA254" t="n">
        <v>385</v>
      </c>
      <c r="AB254" t="n">
        <v>3</v>
      </c>
      <c r="AC254" t="n">
        <v>3</v>
      </c>
      <c r="AD254" t="n">
        <v>16</v>
      </c>
      <c r="AE254" t="n">
        <v>17</v>
      </c>
      <c r="AF254" t="n">
        <v>6</v>
      </c>
      <c r="AG254" t="n">
        <v>6</v>
      </c>
      <c r="AH254" t="n">
        <v>5</v>
      </c>
      <c r="AI254" t="n">
        <v>6</v>
      </c>
      <c r="AJ254" t="n">
        <v>8</v>
      </c>
      <c r="AK254" t="n">
        <v>9</v>
      </c>
      <c r="AL254" t="n">
        <v>2</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HYPERLINK("https://creighton-primo.hosted.exlibrisgroup.com/primo-explore/search?tab=default_tab&amp;search_scope=EVERYTHING&amp;vid=01CRU&amp;lang=en_US&amp;offset=0&amp;query=any,contains,991000124089702656","Catalog Record")</f>
        <v/>
      </c>
      <c r="AT254">
        <f>HYPERLINK("http://www.worldcat.org/oclc/51236","WorldCat Record")</f>
        <v/>
      </c>
      <c r="AU254" t="inlineStr">
        <is>
          <t>3855307647:eng</t>
        </is>
      </c>
      <c r="AV254" t="inlineStr">
        <is>
          <t>51236</t>
        </is>
      </c>
      <c r="AW254" t="inlineStr">
        <is>
          <t>991000124089702656</t>
        </is>
      </c>
      <c r="AX254" t="inlineStr">
        <is>
          <t>991000124089702656</t>
        </is>
      </c>
      <c r="AY254" t="inlineStr">
        <is>
          <t>2258532820002656</t>
        </is>
      </c>
      <c r="AZ254" t="inlineStr">
        <is>
          <t>BOOK</t>
        </is>
      </c>
      <c r="BB254" t="inlineStr">
        <is>
          <t>9780716706762</t>
        </is>
      </c>
      <c r="BC254" t="inlineStr">
        <is>
          <t>32285002980091</t>
        </is>
      </c>
      <c r="BD254" t="inlineStr">
        <is>
          <t>893438029</t>
        </is>
      </c>
    </row>
    <row r="255">
      <c r="A255" t="inlineStr">
        <is>
          <t>No</t>
        </is>
      </c>
      <c r="B255" t="inlineStr">
        <is>
          <t>QL391.C4 W28</t>
        </is>
      </c>
      <c r="C255" t="inlineStr">
        <is>
          <t>0                      QL 0391000C  4                  W  28</t>
        </is>
      </c>
      <c r="D255" t="inlineStr">
        <is>
          <t>The zoology of tapeworms, by Robert A. Wardle and James Archie McLeod.</t>
        </is>
      </c>
      <c r="F255" t="inlineStr">
        <is>
          <t>No</t>
        </is>
      </c>
      <c r="G255" t="inlineStr">
        <is>
          <t>1</t>
        </is>
      </c>
      <c r="H255" t="inlineStr">
        <is>
          <t>No</t>
        </is>
      </c>
      <c r="I255" t="inlineStr">
        <is>
          <t>No</t>
        </is>
      </c>
      <c r="J255" t="inlineStr">
        <is>
          <t>0</t>
        </is>
      </c>
      <c r="K255" t="inlineStr">
        <is>
          <t>Wardle, Robert A. (Robert Arnold), 1890-1974.</t>
        </is>
      </c>
      <c r="L255" t="inlineStr">
        <is>
          <t>Minneapolis, Published for the University of Manitoba by the University of Minnesota Press [1952]</t>
        </is>
      </c>
      <c r="M255" t="inlineStr">
        <is>
          <t>1952</t>
        </is>
      </c>
      <c r="O255" t="inlineStr">
        <is>
          <t>eng</t>
        </is>
      </c>
      <c r="P255" t="inlineStr">
        <is>
          <t>mnu</t>
        </is>
      </c>
      <c r="R255" t="inlineStr">
        <is>
          <t xml:space="preserve">QL </t>
        </is>
      </c>
      <c r="S255" t="n">
        <v>8</v>
      </c>
      <c r="T255" t="n">
        <v>8</v>
      </c>
      <c r="U255" t="inlineStr">
        <is>
          <t>2006-03-22</t>
        </is>
      </c>
      <c r="V255" t="inlineStr">
        <is>
          <t>2006-03-22</t>
        </is>
      </c>
      <c r="W255" t="inlineStr">
        <is>
          <t>1997-07-23</t>
        </is>
      </c>
      <c r="X255" t="inlineStr">
        <is>
          <t>1997-07-23</t>
        </is>
      </c>
      <c r="Y255" t="n">
        <v>7</v>
      </c>
      <c r="Z255" t="n">
        <v>4</v>
      </c>
      <c r="AA255" t="n">
        <v>723</v>
      </c>
      <c r="AB255" t="n">
        <v>1</v>
      </c>
      <c r="AC255" t="n">
        <v>5</v>
      </c>
      <c r="AD255" t="n">
        <v>1</v>
      </c>
      <c r="AE255" t="n">
        <v>37</v>
      </c>
      <c r="AF255" t="n">
        <v>1</v>
      </c>
      <c r="AG255" t="n">
        <v>15</v>
      </c>
      <c r="AH255" t="n">
        <v>0</v>
      </c>
      <c r="AI255" t="n">
        <v>8</v>
      </c>
      <c r="AJ255" t="n">
        <v>1</v>
      </c>
      <c r="AK255" t="n">
        <v>18</v>
      </c>
      <c r="AL255" t="n">
        <v>0</v>
      </c>
      <c r="AM255" t="n">
        <v>4</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HYPERLINK("https://creighton-primo.hosted.exlibrisgroup.com/primo-explore/search?tab=default_tab&amp;search_scope=EVERYTHING&amp;vid=01CRU&amp;lang=en_US&amp;offset=0&amp;query=any,contains,991002433049702656","Catalog Record")</f>
        <v/>
      </c>
      <c r="AT255">
        <f>HYPERLINK("http://www.worldcat.org/oclc/31725464","WorldCat Record")</f>
        <v/>
      </c>
      <c r="AU255" t="inlineStr">
        <is>
          <t>1413870:eng</t>
        </is>
      </c>
      <c r="AV255" t="inlineStr">
        <is>
          <t>31725464</t>
        </is>
      </c>
      <c r="AW255" t="inlineStr">
        <is>
          <t>991002433049702656</t>
        </is>
      </c>
      <c r="AX255" t="inlineStr">
        <is>
          <t>991002433049702656</t>
        </is>
      </c>
      <c r="AY255" t="inlineStr">
        <is>
          <t>2263449630002656</t>
        </is>
      </c>
      <c r="AZ255" t="inlineStr">
        <is>
          <t>BOOK</t>
        </is>
      </c>
      <c r="BC255" t="inlineStr">
        <is>
          <t>32285002980109</t>
        </is>
      </c>
      <c r="BD255" t="inlineStr">
        <is>
          <t>893773620</t>
        </is>
      </c>
    </row>
    <row r="256">
      <c r="A256" t="inlineStr">
        <is>
          <t>No</t>
        </is>
      </c>
      <c r="B256" t="inlineStr">
        <is>
          <t>QL391.N4 C74</t>
        </is>
      </c>
      <c r="C256" t="inlineStr">
        <is>
          <t>0                      QL 0391000N  4                  C  74</t>
        </is>
      </c>
      <c r="D256" t="inlineStr">
        <is>
          <t>Nematodes [by] H.D. Crofton.</t>
        </is>
      </c>
      <c r="F256" t="inlineStr">
        <is>
          <t>No</t>
        </is>
      </c>
      <c r="G256" t="inlineStr">
        <is>
          <t>1</t>
        </is>
      </c>
      <c r="H256" t="inlineStr">
        <is>
          <t>No</t>
        </is>
      </c>
      <c r="I256" t="inlineStr">
        <is>
          <t>No</t>
        </is>
      </c>
      <c r="J256" t="inlineStr">
        <is>
          <t>0</t>
        </is>
      </c>
      <c r="K256" t="inlineStr">
        <is>
          <t>Crofton, H. D. (Harry Draper)</t>
        </is>
      </c>
      <c r="L256" t="inlineStr">
        <is>
          <t>London, Hutchinson, 1966.</t>
        </is>
      </c>
      <c r="M256" t="inlineStr">
        <is>
          <t>1966</t>
        </is>
      </c>
      <c r="O256" t="inlineStr">
        <is>
          <t>eng</t>
        </is>
      </c>
      <c r="P256" t="inlineStr">
        <is>
          <t>enk</t>
        </is>
      </c>
      <c r="Q256" t="inlineStr">
        <is>
          <t>Hutchinson university library. Biological sciences</t>
        </is>
      </c>
      <c r="R256" t="inlineStr">
        <is>
          <t xml:space="preserve">QL </t>
        </is>
      </c>
      <c r="S256" t="n">
        <v>4</v>
      </c>
      <c r="T256" t="n">
        <v>4</v>
      </c>
      <c r="U256" t="inlineStr">
        <is>
          <t>2005-02-26</t>
        </is>
      </c>
      <c r="V256" t="inlineStr">
        <is>
          <t>2005-02-26</t>
        </is>
      </c>
      <c r="W256" t="inlineStr">
        <is>
          <t>1997-07-23</t>
        </is>
      </c>
      <c r="X256" t="inlineStr">
        <is>
          <t>1997-07-23</t>
        </is>
      </c>
      <c r="Y256" t="n">
        <v>277</v>
      </c>
      <c r="Z256" t="n">
        <v>128</v>
      </c>
      <c r="AA256" t="n">
        <v>132</v>
      </c>
      <c r="AB256" t="n">
        <v>2</v>
      </c>
      <c r="AC256" t="n">
        <v>2</v>
      </c>
      <c r="AD256" t="n">
        <v>2</v>
      </c>
      <c r="AE256" t="n">
        <v>2</v>
      </c>
      <c r="AF256" t="n">
        <v>0</v>
      </c>
      <c r="AG256" t="n">
        <v>0</v>
      </c>
      <c r="AH256" t="n">
        <v>1</v>
      </c>
      <c r="AI256" t="n">
        <v>1</v>
      </c>
      <c r="AJ256" t="n">
        <v>0</v>
      </c>
      <c r="AK256" t="n">
        <v>0</v>
      </c>
      <c r="AL256" t="n">
        <v>1</v>
      </c>
      <c r="AM256" t="n">
        <v>1</v>
      </c>
      <c r="AN256" t="n">
        <v>0</v>
      </c>
      <c r="AO256" t="n">
        <v>0</v>
      </c>
      <c r="AP256" t="inlineStr">
        <is>
          <t>No</t>
        </is>
      </c>
      <c r="AQ256" t="inlineStr">
        <is>
          <t>Yes</t>
        </is>
      </c>
      <c r="AR256">
        <f>HYPERLINK("http://catalog.hathitrust.org/Record/006215023","HathiTrust Record")</f>
        <v/>
      </c>
      <c r="AS256">
        <f>HYPERLINK("https://creighton-primo.hosted.exlibrisgroup.com/primo-explore/search?tab=default_tab&amp;search_scope=EVERYTHING&amp;vid=01CRU&amp;lang=en_US&amp;offset=0&amp;query=any,contains,991003645249702656","Catalog Record")</f>
        <v/>
      </c>
      <c r="AT256">
        <f>HYPERLINK("http://www.worldcat.org/oclc/1245429","WorldCat Record")</f>
        <v/>
      </c>
      <c r="AU256" t="inlineStr">
        <is>
          <t>2152903:eng</t>
        </is>
      </c>
      <c r="AV256" t="inlineStr">
        <is>
          <t>1245429</t>
        </is>
      </c>
      <c r="AW256" t="inlineStr">
        <is>
          <t>991003645249702656</t>
        </is>
      </c>
      <c r="AX256" t="inlineStr">
        <is>
          <t>991003645249702656</t>
        </is>
      </c>
      <c r="AY256" t="inlineStr">
        <is>
          <t>2260201960002656</t>
        </is>
      </c>
      <c r="AZ256" t="inlineStr">
        <is>
          <t>BOOK</t>
        </is>
      </c>
      <c r="BC256" t="inlineStr">
        <is>
          <t>32285002980133</t>
        </is>
      </c>
      <c r="BD256" t="inlineStr">
        <is>
          <t>893806029</t>
        </is>
      </c>
    </row>
    <row r="257">
      <c r="A257" t="inlineStr">
        <is>
          <t>No</t>
        </is>
      </c>
      <c r="B257" t="inlineStr">
        <is>
          <t>QL391.N4 C745 1971</t>
        </is>
      </c>
      <c r="C257" t="inlineStr">
        <is>
          <t>0                      QL 0391000N  4                  C  745         1971</t>
        </is>
      </c>
      <c r="D257" t="inlineStr">
        <is>
          <t>The behaviour of nematodes: their activity, senses, and responses [by] Neil A. Croll.</t>
        </is>
      </c>
      <c r="F257" t="inlineStr">
        <is>
          <t>No</t>
        </is>
      </c>
      <c r="G257" t="inlineStr">
        <is>
          <t>1</t>
        </is>
      </c>
      <c r="H257" t="inlineStr">
        <is>
          <t>No</t>
        </is>
      </c>
      <c r="I257" t="inlineStr">
        <is>
          <t>No</t>
        </is>
      </c>
      <c r="J257" t="inlineStr">
        <is>
          <t>0</t>
        </is>
      </c>
      <c r="K257" t="inlineStr">
        <is>
          <t>Croll, Neil Argo.</t>
        </is>
      </c>
      <c r="L257" t="inlineStr">
        <is>
          <t>New York, St. Martin's Press [1971, c1970]</t>
        </is>
      </c>
      <c r="M257" t="inlineStr">
        <is>
          <t>1971</t>
        </is>
      </c>
      <c r="O257" t="inlineStr">
        <is>
          <t>eng</t>
        </is>
      </c>
      <c r="P257" t="inlineStr">
        <is>
          <t>nyu</t>
        </is>
      </c>
      <c r="R257" t="inlineStr">
        <is>
          <t xml:space="preserve">QL </t>
        </is>
      </c>
      <c r="S257" t="n">
        <v>5</v>
      </c>
      <c r="T257" t="n">
        <v>5</v>
      </c>
      <c r="U257" t="inlineStr">
        <is>
          <t>1998-03-10</t>
        </is>
      </c>
      <c r="V257" t="inlineStr">
        <is>
          <t>1998-03-10</t>
        </is>
      </c>
      <c r="W257" t="inlineStr">
        <is>
          <t>1997-07-23</t>
        </is>
      </c>
      <c r="X257" t="inlineStr">
        <is>
          <t>1997-07-23</t>
        </is>
      </c>
      <c r="Y257" t="n">
        <v>241</v>
      </c>
      <c r="Z257" t="n">
        <v>236</v>
      </c>
      <c r="AA257" t="n">
        <v>341</v>
      </c>
      <c r="AB257" t="n">
        <v>2</v>
      </c>
      <c r="AC257" t="n">
        <v>2</v>
      </c>
      <c r="AD257" t="n">
        <v>3</v>
      </c>
      <c r="AE257" t="n">
        <v>5</v>
      </c>
      <c r="AF257" t="n">
        <v>1</v>
      </c>
      <c r="AG257" t="n">
        <v>2</v>
      </c>
      <c r="AH257" t="n">
        <v>0</v>
      </c>
      <c r="AI257" t="n">
        <v>1</v>
      </c>
      <c r="AJ257" t="n">
        <v>1</v>
      </c>
      <c r="AK257" t="n">
        <v>1</v>
      </c>
      <c r="AL257" t="n">
        <v>1</v>
      </c>
      <c r="AM257" t="n">
        <v>1</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HYPERLINK("https://creighton-primo.hosted.exlibrisgroup.com/primo-explore/search?tab=default_tab&amp;search_scope=EVERYTHING&amp;vid=01CRU&amp;lang=en_US&amp;offset=0&amp;query=any,contains,991000895629702656","Catalog Record")</f>
        <v/>
      </c>
      <c r="AT257">
        <f>HYPERLINK("http://www.worldcat.org/oclc/155922","WorldCat Record")</f>
        <v/>
      </c>
      <c r="AU257" t="inlineStr">
        <is>
          <t>441659:eng</t>
        </is>
      </c>
      <c r="AV257" t="inlineStr">
        <is>
          <t>155922</t>
        </is>
      </c>
      <c r="AW257" t="inlineStr">
        <is>
          <t>991000895629702656</t>
        </is>
      </c>
      <c r="AX257" t="inlineStr">
        <is>
          <t>991000895629702656</t>
        </is>
      </c>
      <c r="AY257" t="inlineStr">
        <is>
          <t>2256682980002656</t>
        </is>
      </c>
      <c r="AZ257" t="inlineStr">
        <is>
          <t>BOOK</t>
        </is>
      </c>
      <c r="BC257" t="inlineStr">
        <is>
          <t>32285002980141</t>
        </is>
      </c>
      <c r="BD257" t="inlineStr">
        <is>
          <t>893690128</t>
        </is>
      </c>
    </row>
    <row r="258">
      <c r="A258" t="inlineStr">
        <is>
          <t>No</t>
        </is>
      </c>
      <c r="B258" t="inlineStr">
        <is>
          <t>QL391.N4 L37</t>
        </is>
      </c>
      <c r="C258" t="inlineStr">
        <is>
          <t>0                      QL 0391000N  4                  L  37</t>
        </is>
      </c>
      <c r="D258" t="inlineStr">
        <is>
          <t>The physiology of nematodes, by D. L. Lee.</t>
        </is>
      </c>
      <c r="F258" t="inlineStr">
        <is>
          <t>No</t>
        </is>
      </c>
      <c r="G258" t="inlineStr">
        <is>
          <t>1</t>
        </is>
      </c>
      <c r="H258" t="inlineStr">
        <is>
          <t>No</t>
        </is>
      </c>
      <c r="I258" t="inlineStr">
        <is>
          <t>No</t>
        </is>
      </c>
      <c r="J258" t="inlineStr">
        <is>
          <t>0</t>
        </is>
      </c>
      <c r="K258" t="inlineStr">
        <is>
          <t>Lee, D. L. (Donald Lewis)</t>
        </is>
      </c>
      <c r="L258" t="inlineStr">
        <is>
          <t>San Francisco, W. H. Freeman [1965]</t>
        </is>
      </c>
      <c r="M258" t="inlineStr">
        <is>
          <t>1965</t>
        </is>
      </c>
      <c r="O258" t="inlineStr">
        <is>
          <t>eng</t>
        </is>
      </c>
      <c r="P258" t="inlineStr">
        <is>
          <t>cau</t>
        </is>
      </c>
      <c r="Q258" t="inlineStr">
        <is>
          <t>University reviews in biology</t>
        </is>
      </c>
      <c r="R258" t="inlineStr">
        <is>
          <t xml:space="preserve">QL </t>
        </is>
      </c>
      <c r="S258" t="n">
        <v>4</v>
      </c>
      <c r="T258" t="n">
        <v>4</v>
      </c>
      <c r="U258" t="inlineStr">
        <is>
          <t>2006-03-22</t>
        </is>
      </c>
      <c r="V258" t="inlineStr">
        <is>
          <t>2006-03-22</t>
        </is>
      </c>
      <c r="W258" t="inlineStr">
        <is>
          <t>1997-07-23</t>
        </is>
      </c>
      <c r="X258" t="inlineStr">
        <is>
          <t>1997-07-23</t>
        </is>
      </c>
      <c r="Y258" t="n">
        <v>490</v>
      </c>
      <c r="Z258" t="n">
        <v>451</v>
      </c>
      <c r="AA258" t="n">
        <v>610</v>
      </c>
      <c r="AB258" t="n">
        <v>4</v>
      </c>
      <c r="AC258" t="n">
        <v>4</v>
      </c>
      <c r="AD258" t="n">
        <v>14</v>
      </c>
      <c r="AE258" t="n">
        <v>17</v>
      </c>
      <c r="AF258" t="n">
        <v>4</v>
      </c>
      <c r="AG258" t="n">
        <v>5</v>
      </c>
      <c r="AH258" t="n">
        <v>3</v>
      </c>
      <c r="AI258" t="n">
        <v>3</v>
      </c>
      <c r="AJ258" t="n">
        <v>8</v>
      </c>
      <c r="AK258" t="n">
        <v>10</v>
      </c>
      <c r="AL258" t="n">
        <v>3</v>
      </c>
      <c r="AM258" t="n">
        <v>3</v>
      </c>
      <c r="AN258" t="n">
        <v>0</v>
      </c>
      <c r="AO258" t="n">
        <v>0</v>
      </c>
      <c r="AP258" t="inlineStr">
        <is>
          <t>No</t>
        </is>
      </c>
      <c r="AQ258" t="inlineStr">
        <is>
          <t>Yes</t>
        </is>
      </c>
      <c r="AR258">
        <f>HYPERLINK("http://catalog.hathitrust.org/Record/001499420","HathiTrust Record")</f>
        <v/>
      </c>
      <c r="AS258">
        <f>HYPERLINK("https://creighton-primo.hosted.exlibrisgroup.com/primo-explore/search?tab=default_tab&amp;search_scope=EVERYTHING&amp;vid=01CRU&amp;lang=en_US&amp;offset=0&amp;query=any,contains,991003309829702656","Catalog Record")</f>
        <v/>
      </c>
      <c r="AT258">
        <f>HYPERLINK("http://www.worldcat.org/oclc/833671","WorldCat Record")</f>
        <v/>
      </c>
      <c r="AU258" t="inlineStr">
        <is>
          <t>5219023576:eng</t>
        </is>
      </c>
      <c r="AV258" t="inlineStr">
        <is>
          <t>833671</t>
        </is>
      </c>
      <c r="AW258" t="inlineStr">
        <is>
          <t>991003309829702656</t>
        </is>
      </c>
      <c r="AX258" t="inlineStr">
        <is>
          <t>991003309829702656</t>
        </is>
      </c>
      <c r="AY258" t="inlineStr">
        <is>
          <t>2271517590002656</t>
        </is>
      </c>
      <c r="AZ258" t="inlineStr">
        <is>
          <t>BOOK</t>
        </is>
      </c>
      <c r="BC258" t="inlineStr">
        <is>
          <t>32285002980182</t>
        </is>
      </c>
      <c r="BD258" t="inlineStr">
        <is>
          <t>893323967</t>
        </is>
      </c>
    </row>
    <row r="259">
      <c r="A259" t="inlineStr">
        <is>
          <t>No</t>
        </is>
      </c>
      <c r="B259" t="inlineStr">
        <is>
          <t>QL391.N4 L48</t>
        </is>
      </c>
      <c r="C259" t="inlineStr">
        <is>
          <t>0                      QL 0391000N  4                  L  48</t>
        </is>
      </c>
      <c r="D259" t="inlineStr">
        <is>
          <t>Nematode parasites of domestic animals and of man [by] Norman D. Levine.</t>
        </is>
      </c>
      <c r="F259" t="inlineStr">
        <is>
          <t>No</t>
        </is>
      </c>
      <c r="G259" t="inlineStr">
        <is>
          <t>1</t>
        </is>
      </c>
      <c r="H259" t="inlineStr">
        <is>
          <t>No</t>
        </is>
      </c>
      <c r="I259" t="inlineStr">
        <is>
          <t>No</t>
        </is>
      </c>
      <c r="J259" t="inlineStr">
        <is>
          <t>0</t>
        </is>
      </c>
      <c r="K259" t="inlineStr">
        <is>
          <t>Levine, Norman D.</t>
        </is>
      </c>
      <c r="L259" t="inlineStr">
        <is>
          <t>Minneapolis, Minn., Burgess Pub. Co. [1968]</t>
        </is>
      </c>
      <c r="M259" t="inlineStr">
        <is>
          <t>1968</t>
        </is>
      </c>
      <c r="O259" t="inlineStr">
        <is>
          <t>eng</t>
        </is>
      </c>
      <c r="P259" t="inlineStr">
        <is>
          <t>mnu</t>
        </is>
      </c>
      <c r="R259" t="inlineStr">
        <is>
          <t xml:space="preserve">QL </t>
        </is>
      </c>
      <c r="S259" t="n">
        <v>6</v>
      </c>
      <c r="T259" t="n">
        <v>6</v>
      </c>
      <c r="U259" t="inlineStr">
        <is>
          <t>2009-02-25</t>
        </is>
      </c>
      <c r="V259" t="inlineStr">
        <is>
          <t>2009-02-25</t>
        </is>
      </c>
      <c r="W259" t="inlineStr">
        <is>
          <t>1997-07-23</t>
        </is>
      </c>
      <c r="X259" t="inlineStr">
        <is>
          <t>1997-07-23</t>
        </is>
      </c>
      <c r="Y259" t="n">
        <v>407</v>
      </c>
      <c r="Z259" t="n">
        <v>349</v>
      </c>
      <c r="AA259" t="n">
        <v>429</v>
      </c>
      <c r="AB259" t="n">
        <v>3</v>
      </c>
      <c r="AC259" t="n">
        <v>3</v>
      </c>
      <c r="AD259" t="n">
        <v>8</v>
      </c>
      <c r="AE259" t="n">
        <v>11</v>
      </c>
      <c r="AF259" t="n">
        <v>3</v>
      </c>
      <c r="AG259" t="n">
        <v>4</v>
      </c>
      <c r="AH259" t="n">
        <v>1</v>
      </c>
      <c r="AI259" t="n">
        <v>2</v>
      </c>
      <c r="AJ259" t="n">
        <v>4</v>
      </c>
      <c r="AK259" t="n">
        <v>6</v>
      </c>
      <c r="AL259" t="n">
        <v>2</v>
      </c>
      <c r="AM259" t="n">
        <v>2</v>
      </c>
      <c r="AN259" t="n">
        <v>0</v>
      </c>
      <c r="AO259" t="n">
        <v>0</v>
      </c>
      <c r="AP259" t="inlineStr">
        <is>
          <t>No</t>
        </is>
      </c>
      <c r="AQ259" t="inlineStr">
        <is>
          <t>Yes</t>
        </is>
      </c>
      <c r="AR259">
        <f>HYPERLINK("http://catalog.hathitrust.org/Record/003609478","HathiTrust Record")</f>
        <v/>
      </c>
      <c r="AS259">
        <f>HYPERLINK("https://creighton-primo.hosted.exlibrisgroup.com/primo-explore/search?tab=default_tab&amp;search_scope=EVERYTHING&amp;vid=01CRU&amp;lang=en_US&amp;offset=0&amp;query=any,contains,991002653539702656","Catalog Record")</f>
        <v/>
      </c>
      <c r="AT259">
        <f>HYPERLINK("http://www.worldcat.org/oclc/387831","WorldCat Record")</f>
        <v/>
      </c>
      <c r="AU259" t="inlineStr">
        <is>
          <t>1515332:eng</t>
        </is>
      </c>
      <c r="AV259" t="inlineStr">
        <is>
          <t>387831</t>
        </is>
      </c>
      <c r="AW259" t="inlineStr">
        <is>
          <t>991002653539702656</t>
        </is>
      </c>
      <c r="AX259" t="inlineStr">
        <is>
          <t>991002653539702656</t>
        </is>
      </c>
      <c r="AY259" t="inlineStr">
        <is>
          <t>2257701650002656</t>
        </is>
      </c>
      <c r="AZ259" t="inlineStr">
        <is>
          <t>BOOK</t>
        </is>
      </c>
      <c r="BC259" t="inlineStr">
        <is>
          <t>32285002980190</t>
        </is>
      </c>
      <c r="BD259" t="inlineStr">
        <is>
          <t>893710517</t>
        </is>
      </c>
    </row>
    <row r="260">
      <c r="A260" t="inlineStr">
        <is>
          <t>No</t>
        </is>
      </c>
      <c r="B260" t="inlineStr">
        <is>
          <t>QL391.N4 N375 1988</t>
        </is>
      </c>
      <c r="C260" t="inlineStr">
        <is>
          <t>0                      QL 0391000N  4                  N  375         1988</t>
        </is>
      </c>
      <c r="D260" t="inlineStr">
        <is>
          <t>The Nematode Caenorhabditis elegans / edited by William B. Wood and the community of C. elegans researchers.</t>
        </is>
      </c>
      <c r="F260" t="inlineStr">
        <is>
          <t>No</t>
        </is>
      </c>
      <c r="G260" t="inlineStr">
        <is>
          <t>1</t>
        </is>
      </c>
      <c r="H260" t="inlineStr">
        <is>
          <t>No</t>
        </is>
      </c>
      <c r="I260" t="inlineStr">
        <is>
          <t>No</t>
        </is>
      </c>
      <c r="J260" t="inlineStr">
        <is>
          <t>0</t>
        </is>
      </c>
      <c r="L260" t="inlineStr">
        <is>
          <t>Cold Spring Harbor, N.Y. : Cold Spring Harbor Laboratory, 1988.</t>
        </is>
      </c>
      <c r="M260" t="inlineStr">
        <is>
          <t>1988</t>
        </is>
      </c>
      <c r="O260" t="inlineStr">
        <is>
          <t>eng</t>
        </is>
      </c>
      <c r="P260" t="inlineStr">
        <is>
          <t>nyu</t>
        </is>
      </c>
      <c r="Q260" t="inlineStr">
        <is>
          <t>Cold Spring Harbor monograph series ; 17</t>
        </is>
      </c>
      <c r="R260" t="inlineStr">
        <is>
          <t xml:space="preserve">QL </t>
        </is>
      </c>
      <c r="S260" t="n">
        <v>11</v>
      </c>
      <c r="T260" t="n">
        <v>11</v>
      </c>
      <c r="U260" t="inlineStr">
        <is>
          <t>2010-02-05</t>
        </is>
      </c>
      <c r="V260" t="inlineStr">
        <is>
          <t>2010-02-05</t>
        </is>
      </c>
      <c r="W260" t="inlineStr">
        <is>
          <t>1993-05-25</t>
        </is>
      </c>
      <c r="X260" t="inlineStr">
        <is>
          <t>1993-05-25</t>
        </is>
      </c>
      <c r="Y260" t="n">
        <v>371</v>
      </c>
      <c r="Z260" t="n">
        <v>271</v>
      </c>
      <c r="AA260" t="n">
        <v>275</v>
      </c>
      <c r="AB260" t="n">
        <v>1</v>
      </c>
      <c r="AC260" t="n">
        <v>1</v>
      </c>
      <c r="AD260" t="n">
        <v>11</v>
      </c>
      <c r="AE260" t="n">
        <v>11</v>
      </c>
      <c r="AF260" t="n">
        <v>3</v>
      </c>
      <c r="AG260" t="n">
        <v>3</v>
      </c>
      <c r="AH260" t="n">
        <v>3</v>
      </c>
      <c r="AI260" t="n">
        <v>3</v>
      </c>
      <c r="AJ260" t="n">
        <v>9</v>
      </c>
      <c r="AK260" t="n">
        <v>9</v>
      </c>
      <c r="AL260" t="n">
        <v>0</v>
      </c>
      <c r="AM260" t="n">
        <v>0</v>
      </c>
      <c r="AN260" t="n">
        <v>0</v>
      </c>
      <c r="AO260" t="n">
        <v>0</v>
      </c>
      <c r="AP260" t="inlineStr">
        <is>
          <t>No</t>
        </is>
      </c>
      <c r="AQ260" t="inlineStr">
        <is>
          <t>Yes</t>
        </is>
      </c>
      <c r="AR260">
        <f>HYPERLINK("http://catalog.hathitrust.org/Record/001105076","HathiTrust Record")</f>
        <v/>
      </c>
      <c r="AS260">
        <f>HYPERLINK("https://creighton-primo.hosted.exlibrisgroup.com/primo-explore/search?tab=default_tab&amp;search_scope=EVERYTHING&amp;vid=01CRU&amp;lang=en_US&amp;offset=0&amp;query=any,contains,991005408369702656","Catalog Record")</f>
        <v/>
      </c>
      <c r="AT260">
        <f>HYPERLINK("http://www.worldcat.org/oclc/16685062","WorldCat Record")</f>
        <v/>
      </c>
      <c r="AU260" t="inlineStr">
        <is>
          <t>55008712:eng</t>
        </is>
      </c>
      <c r="AV260" t="inlineStr">
        <is>
          <t>16685062</t>
        </is>
      </c>
      <c r="AW260" t="inlineStr">
        <is>
          <t>991005408369702656</t>
        </is>
      </c>
      <c r="AX260" t="inlineStr">
        <is>
          <t>991005408369702656</t>
        </is>
      </c>
      <c r="AY260" t="inlineStr">
        <is>
          <t>2271324480002656</t>
        </is>
      </c>
      <c r="AZ260" t="inlineStr">
        <is>
          <t>BOOK</t>
        </is>
      </c>
      <c r="BB260" t="inlineStr">
        <is>
          <t>9780879693077</t>
        </is>
      </c>
      <c r="BC260" t="inlineStr">
        <is>
          <t>32285001686749</t>
        </is>
      </c>
      <c r="BD260" t="inlineStr">
        <is>
          <t>893261110</t>
        </is>
      </c>
    </row>
    <row r="261">
      <c r="A261" t="inlineStr">
        <is>
          <t>No</t>
        </is>
      </c>
      <c r="B261" t="inlineStr">
        <is>
          <t>QL391.N4 N38</t>
        </is>
      </c>
      <c r="C261" t="inlineStr">
        <is>
          <t>0                      QL 0391000N  4                  N  38</t>
        </is>
      </c>
      <c r="D261" t="inlineStr">
        <is>
          <t>Nematodes as biological models / edited by Bert M. Zuckerman ; contributors, David B. Dusenbery ... [et al.].</t>
        </is>
      </c>
      <c r="E261" t="inlineStr">
        <is>
          <t>V.2</t>
        </is>
      </c>
      <c r="F261" t="inlineStr">
        <is>
          <t>Yes</t>
        </is>
      </c>
      <c r="G261" t="inlineStr">
        <is>
          <t>1</t>
        </is>
      </c>
      <c r="H261" t="inlineStr">
        <is>
          <t>No</t>
        </is>
      </c>
      <c r="I261" t="inlineStr">
        <is>
          <t>No</t>
        </is>
      </c>
      <c r="J261" t="inlineStr">
        <is>
          <t>0</t>
        </is>
      </c>
      <c r="L261" t="inlineStr">
        <is>
          <t>New York : Academic Press, 1980.</t>
        </is>
      </c>
      <c r="M261" t="inlineStr">
        <is>
          <t>1980</t>
        </is>
      </c>
      <c r="O261" t="inlineStr">
        <is>
          <t>eng</t>
        </is>
      </c>
      <c r="P261" t="inlineStr">
        <is>
          <t>nyu</t>
        </is>
      </c>
      <c r="R261" t="inlineStr">
        <is>
          <t xml:space="preserve">QL </t>
        </is>
      </c>
      <c r="S261" t="n">
        <v>5</v>
      </c>
      <c r="T261" t="n">
        <v>19</v>
      </c>
      <c r="U261" t="inlineStr">
        <is>
          <t>2009-02-16</t>
        </is>
      </c>
      <c r="V261" t="inlineStr">
        <is>
          <t>2009-02-16</t>
        </is>
      </c>
      <c r="W261" t="inlineStr">
        <is>
          <t>1993-05-25</t>
        </is>
      </c>
      <c r="X261" t="inlineStr">
        <is>
          <t>1993-05-25</t>
        </is>
      </c>
      <c r="Y261" t="n">
        <v>263</v>
      </c>
      <c r="Z261" t="n">
        <v>190</v>
      </c>
      <c r="AA261" t="n">
        <v>229</v>
      </c>
      <c r="AB261" t="n">
        <v>2</v>
      </c>
      <c r="AC261" t="n">
        <v>2</v>
      </c>
      <c r="AD261" t="n">
        <v>9</v>
      </c>
      <c r="AE261" t="n">
        <v>11</v>
      </c>
      <c r="AF261" t="n">
        <v>1</v>
      </c>
      <c r="AG261" t="n">
        <v>2</v>
      </c>
      <c r="AH261" t="n">
        <v>4</v>
      </c>
      <c r="AI261" t="n">
        <v>5</v>
      </c>
      <c r="AJ261" t="n">
        <v>5</v>
      </c>
      <c r="AK261" t="n">
        <v>5</v>
      </c>
      <c r="AL261" t="n">
        <v>1</v>
      </c>
      <c r="AM261" t="n">
        <v>1</v>
      </c>
      <c r="AN261" t="n">
        <v>0</v>
      </c>
      <c r="AO261" t="n">
        <v>0</v>
      </c>
      <c r="AP261" t="inlineStr">
        <is>
          <t>No</t>
        </is>
      </c>
      <c r="AQ261" t="inlineStr">
        <is>
          <t>Yes</t>
        </is>
      </c>
      <c r="AR261">
        <f>HYPERLINK("http://catalog.hathitrust.org/Record/000692275","HathiTrust Record")</f>
        <v/>
      </c>
      <c r="AS261">
        <f>HYPERLINK("https://creighton-primo.hosted.exlibrisgroup.com/primo-explore/search?tab=default_tab&amp;search_scope=EVERYTHING&amp;vid=01CRU&amp;lang=en_US&amp;offset=0&amp;query=any,contains,991004944629702656","Catalog Record")</f>
        <v/>
      </c>
      <c r="AT261">
        <f>HYPERLINK("http://www.worldcat.org/oclc/6198952","WorldCat Record")</f>
        <v/>
      </c>
      <c r="AU261" t="inlineStr">
        <is>
          <t>2865137000:eng</t>
        </is>
      </c>
      <c r="AV261" t="inlineStr">
        <is>
          <t>6198952</t>
        </is>
      </c>
      <c r="AW261" t="inlineStr">
        <is>
          <t>991004944629702656</t>
        </is>
      </c>
      <c r="AX261" t="inlineStr">
        <is>
          <t>991004944629702656</t>
        </is>
      </c>
      <c r="AY261" t="inlineStr">
        <is>
          <t>2262361340002656</t>
        </is>
      </c>
      <c r="AZ261" t="inlineStr">
        <is>
          <t>BOOK</t>
        </is>
      </c>
      <c r="BB261" t="inlineStr">
        <is>
          <t>9780127824017</t>
        </is>
      </c>
      <c r="BC261" t="inlineStr">
        <is>
          <t>32285001686764</t>
        </is>
      </c>
      <c r="BD261" t="inlineStr">
        <is>
          <t>893536282</t>
        </is>
      </c>
    </row>
    <row r="262">
      <c r="A262" t="inlineStr">
        <is>
          <t>No</t>
        </is>
      </c>
      <c r="B262" t="inlineStr">
        <is>
          <t>QL391.N4 N38</t>
        </is>
      </c>
      <c r="C262" t="inlineStr">
        <is>
          <t>0                      QL 0391000N  4                  N  38</t>
        </is>
      </c>
      <c r="D262" t="inlineStr">
        <is>
          <t>Nematodes as biological models / edited by Bert M. Zuckerman ; contributors, David B. Dusenbery ... [et al.].</t>
        </is>
      </c>
      <c r="E262" t="inlineStr">
        <is>
          <t>V.1</t>
        </is>
      </c>
      <c r="F262" t="inlineStr">
        <is>
          <t>Yes</t>
        </is>
      </c>
      <c r="G262" t="inlineStr">
        <is>
          <t>1</t>
        </is>
      </c>
      <c r="H262" t="inlineStr">
        <is>
          <t>No</t>
        </is>
      </c>
      <c r="I262" t="inlineStr">
        <is>
          <t>No</t>
        </is>
      </c>
      <c r="J262" t="inlineStr">
        <is>
          <t>0</t>
        </is>
      </c>
      <c r="L262" t="inlineStr">
        <is>
          <t>New York : Academic Press, 1980.</t>
        </is>
      </c>
      <c r="M262" t="inlineStr">
        <is>
          <t>1980</t>
        </is>
      </c>
      <c r="O262" t="inlineStr">
        <is>
          <t>eng</t>
        </is>
      </c>
      <c r="P262" t="inlineStr">
        <is>
          <t>nyu</t>
        </is>
      </c>
      <c r="R262" t="inlineStr">
        <is>
          <t xml:space="preserve">QL </t>
        </is>
      </c>
      <c r="S262" t="n">
        <v>14</v>
      </c>
      <c r="T262" t="n">
        <v>19</v>
      </c>
      <c r="U262" t="inlineStr">
        <is>
          <t>2009-02-16</t>
        </is>
      </c>
      <c r="V262" t="inlineStr">
        <is>
          <t>2009-02-16</t>
        </is>
      </c>
      <c r="W262" t="inlineStr">
        <is>
          <t>1993-05-25</t>
        </is>
      </c>
      <c r="X262" t="inlineStr">
        <is>
          <t>1993-05-25</t>
        </is>
      </c>
      <c r="Y262" t="n">
        <v>263</v>
      </c>
      <c r="Z262" t="n">
        <v>190</v>
      </c>
      <c r="AA262" t="n">
        <v>229</v>
      </c>
      <c r="AB262" t="n">
        <v>2</v>
      </c>
      <c r="AC262" t="n">
        <v>2</v>
      </c>
      <c r="AD262" t="n">
        <v>9</v>
      </c>
      <c r="AE262" t="n">
        <v>11</v>
      </c>
      <c r="AF262" t="n">
        <v>1</v>
      </c>
      <c r="AG262" t="n">
        <v>2</v>
      </c>
      <c r="AH262" t="n">
        <v>4</v>
      </c>
      <c r="AI262" t="n">
        <v>5</v>
      </c>
      <c r="AJ262" t="n">
        <v>5</v>
      </c>
      <c r="AK262" t="n">
        <v>5</v>
      </c>
      <c r="AL262" t="n">
        <v>1</v>
      </c>
      <c r="AM262" t="n">
        <v>1</v>
      </c>
      <c r="AN262" t="n">
        <v>0</v>
      </c>
      <c r="AO262" t="n">
        <v>0</v>
      </c>
      <c r="AP262" t="inlineStr">
        <is>
          <t>No</t>
        </is>
      </c>
      <c r="AQ262" t="inlineStr">
        <is>
          <t>Yes</t>
        </is>
      </c>
      <c r="AR262">
        <f>HYPERLINK("http://catalog.hathitrust.org/Record/000692275","HathiTrust Record")</f>
        <v/>
      </c>
      <c r="AS262">
        <f>HYPERLINK("https://creighton-primo.hosted.exlibrisgroup.com/primo-explore/search?tab=default_tab&amp;search_scope=EVERYTHING&amp;vid=01CRU&amp;lang=en_US&amp;offset=0&amp;query=any,contains,991004944629702656","Catalog Record")</f>
        <v/>
      </c>
      <c r="AT262">
        <f>HYPERLINK("http://www.worldcat.org/oclc/6198952","WorldCat Record")</f>
        <v/>
      </c>
      <c r="AU262" t="inlineStr">
        <is>
          <t>2865137000:eng</t>
        </is>
      </c>
      <c r="AV262" t="inlineStr">
        <is>
          <t>6198952</t>
        </is>
      </c>
      <c r="AW262" t="inlineStr">
        <is>
          <t>991004944629702656</t>
        </is>
      </c>
      <c r="AX262" t="inlineStr">
        <is>
          <t>991004944629702656</t>
        </is>
      </c>
      <c r="AY262" t="inlineStr">
        <is>
          <t>2262361340002656</t>
        </is>
      </c>
      <c r="AZ262" t="inlineStr">
        <is>
          <t>BOOK</t>
        </is>
      </c>
      <c r="BB262" t="inlineStr">
        <is>
          <t>9780127824017</t>
        </is>
      </c>
      <c r="BC262" t="inlineStr">
        <is>
          <t>32285001686756</t>
        </is>
      </c>
      <c r="BD262" t="inlineStr">
        <is>
          <t>893520200</t>
        </is>
      </c>
    </row>
    <row r="263">
      <c r="A263" t="inlineStr">
        <is>
          <t>No</t>
        </is>
      </c>
      <c r="B263" t="inlineStr">
        <is>
          <t>QL391.N4 P23 1991</t>
        </is>
      </c>
      <c r="C263" t="inlineStr">
        <is>
          <t>0                      QL 0391000N  4                  P  23          1991</t>
        </is>
      </c>
      <c r="D263" t="inlineStr">
        <is>
          <t>Parasitic nematodes : antigens, membranes, and genes / edited by M.W. Kennedy.</t>
        </is>
      </c>
      <c r="F263" t="inlineStr">
        <is>
          <t>No</t>
        </is>
      </c>
      <c r="G263" t="inlineStr">
        <is>
          <t>1</t>
        </is>
      </c>
      <c r="H263" t="inlineStr">
        <is>
          <t>No</t>
        </is>
      </c>
      <c r="I263" t="inlineStr">
        <is>
          <t>No</t>
        </is>
      </c>
      <c r="J263" t="inlineStr">
        <is>
          <t>0</t>
        </is>
      </c>
      <c r="K263" t="inlineStr">
        <is>
          <t>Kennedy, M. W. (Malcolm W.)</t>
        </is>
      </c>
      <c r="L263" t="inlineStr">
        <is>
          <t>London ; New York : Taylor &amp; Francis, 1991.</t>
        </is>
      </c>
      <c r="M263" t="inlineStr">
        <is>
          <t>1991</t>
        </is>
      </c>
      <c r="O263" t="inlineStr">
        <is>
          <t>eng</t>
        </is>
      </c>
      <c r="P263" t="inlineStr">
        <is>
          <t>enk</t>
        </is>
      </c>
      <c r="R263" t="inlineStr">
        <is>
          <t xml:space="preserve">QL </t>
        </is>
      </c>
      <c r="S263" t="n">
        <v>13</v>
      </c>
      <c r="T263" t="n">
        <v>13</v>
      </c>
      <c r="U263" t="inlineStr">
        <is>
          <t>2010-02-05</t>
        </is>
      </c>
      <c r="V263" t="inlineStr">
        <is>
          <t>2010-02-05</t>
        </is>
      </c>
      <c r="W263" t="inlineStr">
        <is>
          <t>1993-01-19</t>
        </is>
      </c>
      <c r="X263" t="inlineStr">
        <is>
          <t>1993-01-19</t>
        </is>
      </c>
      <c r="Y263" t="n">
        <v>150</v>
      </c>
      <c r="Z263" t="n">
        <v>87</v>
      </c>
      <c r="AA263" t="n">
        <v>88</v>
      </c>
      <c r="AB263" t="n">
        <v>2</v>
      </c>
      <c r="AC263" t="n">
        <v>2</v>
      </c>
      <c r="AD263" t="n">
        <v>4</v>
      </c>
      <c r="AE263" t="n">
        <v>4</v>
      </c>
      <c r="AF263" t="n">
        <v>1</v>
      </c>
      <c r="AG263" t="n">
        <v>1</v>
      </c>
      <c r="AH263" t="n">
        <v>2</v>
      </c>
      <c r="AI263" t="n">
        <v>2</v>
      </c>
      <c r="AJ263" t="n">
        <v>1</v>
      </c>
      <c r="AK263" t="n">
        <v>1</v>
      </c>
      <c r="AL263" t="n">
        <v>1</v>
      </c>
      <c r="AM263" t="n">
        <v>1</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HYPERLINK("https://creighton-primo.hosted.exlibrisgroup.com/primo-explore/search?tab=default_tab&amp;search_scope=EVERYTHING&amp;vid=01CRU&amp;lang=en_US&amp;offset=0&amp;query=any,contains,991002058029702656","Catalog Record")</f>
        <v/>
      </c>
      <c r="AT263">
        <f>HYPERLINK("http://www.worldcat.org/oclc/26318591","WorldCat Record")</f>
        <v/>
      </c>
      <c r="AU263" t="inlineStr">
        <is>
          <t>3943608126:eng</t>
        </is>
      </c>
      <c r="AV263" t="inlineStr">
        <is>
          <t>26318591</t>
        </is>
      </c>
      <c r="AW263" t="inlineStr">
        <is>
          <t>991002058029702656</t>
        </is>
      </c>
      <c r="AX263" t="inlineStr">
        <is>
          <t>991002058029702656</t>
        </is>
      </c>
      <c r="AY263" t="inlineStr">
        <is>
          <t>2263467450002656</t>
        </is>
      </c>
      <c r="AZ263" t="inlineStr">
        <is>
          <t>BOOK</t>
        </is>
      </c>
      <c r="BB263" t="inlineStr">
        <is>
          <t>9780850667721</t>
        </is>
      </c>
      <c r="BC263" t="inlineStr">
        <is>
          <t>32285001446581</t>
        </is>
      </c>
      <c r="BD263" t="inlineStr">
        <is>
          <t>893497672</t>
        </is>
      </c>
    </row>
    <row r="264">
      <c r="A264" t="inlineStr">
        <is>
          <t>No</t>
        </is>
      </c>
      <c r="B264" t="inlineStr">
        <is>
          <t>QL391.N4 Y6 1962</t>
        </is>
      </c>
      <c r="C264" t="inlineStr">
        <is>
          <t>0                      QL 0391000N  4                  Y  6           1962</t>
        </is>
      </c>
      <c r="D264" t="inlineStr">
        <is>
          <t>The nematode parasites of vertebrates, by Warrington Yorke and P.A. Maplestone. With a foreword by C.W. Stiles.</t>
        </is>
      </c>
      <c r="F264" t="inlineStr">
        <is>
          <t>No</t>
        </is>
      </c>
      <c r="G264" t="inlineStr">
        <is>
          <t>1</t>
        </is>
      </c>
      <c r="H264" t="inlineStr">
        <is>
          <t>No</t>
        </is>
      </c>
      <c r="I264" t="inlineStr">
        <is>
          <t>No</t>
        </is>
      </c>
      <c r="J264" t="inlineStr">
        <is>
          <t>0</t>
        </is>
      </c>
      <c r="K264" t="inlineStr">
        <is>
          <t>Yorke, Warrington, 1883-1943.</t>
        </is>
      </c>
      <c r="L264" t="inlineStr">
        <is>
          <t>New York Hafner Pub. Co. 1962.</t>
        </is>
      </c>
      <c r="M264" t="inlineStr">
        <is>
          <t>1962</t>
        </is>
      </c>
      <c r="O264" t="inlineStr">
        <is>
          <t>eng</t>
        </is>
      </c>
      <c r="P264" t="inlineStr">
        <is>
          <t>nyu</t>
        </is>
      </c>
      <c r="R264" t="inlineStr">
        <is>
          <t xml:space="preserve">QL </t>
        </is>
      </c>
      <c r="S264" t="n">
        <v>2</v>
      </c>
      <c r="T264" t="n">
        <v>2</v>
      </c>
      <c r="U264" t="inlineStr">
        <is>
          <t>2010-02-05</t>
        </is>
      </c>
      <c r="V264" t="inlineStr">
        <is>
          <t>2010-02-05</t>
        </is>
      </c>
      <c r="W264" t="inlineStr">
        <is>
          <t>1997-07-23</t>
        </is>
      </c>
      <c r="X264" t="inlineStr">
        <is>
          <t>1997-07-23</t>
        </is>
      </c>
      <c r="Y264" t="n">
        <v>252</v>
      </c>
      <c r="Z264" t="n">
        <v>219</v>
      </c>
      <c r="AA264" t="n">
        <v>379</v>
      </c>
      <c r="AB264" t="n">
        <v>2</v>
      </c>
      <c r="AC264" t="n">
        <v>5</v>
      </c>
      <c r="AD264" t="n">
        <v>6</v>
      </c>
      <c r="AE264" t="n">
        <v>14</v>
      </c>
      <c r="AF264" t="n">
        <v>4</v>
      </c>
      <c r="AG264" t="n">
        <v>4</v>
      </c>
      <c r="AH264" t="n">
        <v>2</v>
      </c>
      <c r="AI264" t="n">
        <v>5</v>
      </c>
      <c r="AJ264" t="n">
        <v>1</v>
      </c>
      <c r="AK264" t="n">
        <v>4</v>
      </c>
      <c r="AL264" t="n">
        <v>0</v>
      </c>
      <c r="AM264" t="n">
        <v>3</v>
      </c>
      <c r="AN264" t="n">
        <v>0</v>
      </c>
      <c r="AO264" t="n">
        <v>0</v>
      </c>
      <c r="AP264" t="inlineStr">
        <is>
          <t>No</t>
        </is>
      </c>
      <c r="AQ264" t="inlineStr">
        <is>
          <t>Yes</t>
        </is>
      </c>
      <c r="AR264">
        <f>HYPERLINK("http://catalog.hathitrust.org/Record/001499426","HathiTrust Record")</f>
        <v/>
      </c>
      <c r="AS264">
        <f>HYPERLINK("https://creighton-primo.hosted.exlibrisgroup.com/primo-explore/search?tab=default_tab&amp;search_scope=EVERYTHING&amp;vid=01CRU&amp;lang=en_US&amp;offset=0&amp;query=any,contains,991003813179702656","Catalog Record")</f>
        <v/>
      </c>
      <c r="AT264">
        <f>HYPERLINK("http://www.worldcat.org/oclc/1542400","WorldCat Record")</f>
        <v/>
      </c>
      <c r="AU264" t="inlineStr">
        <is>
          <t>1493196:eng</t>
        </is>
      </c>
      <c r="AV264" t="inlineStr">
        <is>
          <t>1542400</t>
        </is>
      </c>
      <c r="AW264" t="inlineStr">
        <is>
          <t>991003813179702656</t>
        </is>
      </c>
      <c r="AX264" t="inlineStr">
        <is>
          <t>991003813179702656</t>
        </is>
      </c>
      <c r="AY264" t="inlineStr">
        <is>
          <t>2262940760002656</t>
        </is>
      </c>
      <c r="AZ264" t="inlineStr">
        <is>
          <t>BOOK</t>
        </is>
      </c>
      <c r="BC264" t="inlineStr">
        <is>
          <t>32285002980224</t>
        </is>
      </c>
      <c r="BD264" t="inlineStr">
        <is>
          <t>893535638</t>
        </is>
      </c>
    </row>
    <row r="265">
      <c r="A265" t="inlineStr">
        <is>
          <t>No</t>
        </is>
      </c>
      <c r="B265" t="inlineStr">
        <is>
          <t>QL391.O4 D3 1881a</t>
        </is>
      </c>
      <c r="C265" t="inlineStr">
        <is>
          <t>0                      QL 0391000O  4                  D  3           1881a</t>
        </is>
      </c>
      <c r="D265" t="inlineStr">
        <is>
          <t>The formation of vegetable mould through the action of worms, with observations of their habits. By Charles Darwin. London, Murray, 1881.</t>
        </is>
      </c>
      <c r="F265" t="inlineStr">
        <is>
          <t>No</t>
        </is>
      </c>
      <c r="G265" t="inlineStr">
        <is>
          <t>1</t>
        </is>
      </c>
      <c r="H265" t="inlineStr">
        <is>
          <t>No</t>
        </is>
      </c>
      <c r="I265" t="inlineStr">
        <is>
          <t>No</t>
        </is>
      </c>
      <c r="J265" t="inlineStr">
        <is>
          <t>0</t>
        </is>
      </c>
      <c r="K265" t="inlineStr">
        <is>
          <t>Darwin, Charles, 1809-1882.</t>
        </is>
      </c>
      <c r="L265" t="inlineStr">
        <is>
          <t>Bruxelles, Impression anastaltique Culture et Civilisation, 1969 [1970].</t>
        </is>
      </c>
      <c r="M265" t="inlineStr">
        <is>
          <t>1970</t>
        </is>
      </c>
      <c r="O265" t="inlineStr">
        <is>
          <t>eng</t>
        </is>
      </c>
      <c r="P265" t="inlineStr">
        <is>
          <t xml:space="preserve">be </t>
        </is>
      </c>
      <c r="R265" t="inlineStr">
        <is>
          <t xml:space="preserve">QL </t>
        </is>
      </c>
      <c r="S265" t="n">
        <v>5</v>
      </c>
      <c r="T265" t="n">
        <v>5</v>
      </c>
      <c r="U265" t="inlineStr">
        <is>
          <t>2009-12-01</t>
        </is>
      </c>
      <c r="V265" t="inlineStr">
        <is>
          <t>2009-12-01</t>
        </is>
      </c>
      <c r="W265" t="inlineStr">
        <is>
          <t>1997-07-23</t>
        </is>
      </c>
      <c r="X265" t="inlineStr">
        <is>
          <t>1997-07-23</t>
        </is>
      </c>
      <c r="Y265" t="n">
        <v>22</v>
      </c>
      <c r="Z265" t="n">
        <v>17</v>
      </c>
      <c r="AA265" t="n">
        <v>32</v>
      </c>
      <c r="AB265" t="n">
        <v>1</v>
      </c>
      <c r="AC265" t="n">
        <v>1</v>
      </c>
      <c r="AD265" t="n">
        <v>1</v>
      </c>
      <c r="AE265" t="n">
        <v>1</v>
      </c>
      <c r="AF265" t="n">
        <v>1</v>
      </c>
      <c r="AG265" t="n">
        <v>1</v>
      </c>
      <c r="AH265" t="n">
        <v>0</v>
      </c>
      <c r="AI265" t="n">
        <v>0</v>
      </c>
      <c r="AJ265" t="n">
        <v>0</v>
      </c>
      <c r="AK265" t="n">
        <v>0</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HYPERLINK("https://creighton-primo.hosted.exlibrisgroup.com/primo-explore/search?tab=default_tab&amp;search_scope=EVERYTHING&amp;vid=01CRU&amp;lang=en_US&amp;offset=0&amp;query=any,contains,991000338569702656","Catalog Record")</f>
        <v/>
      </c>
      <c r="AT265">
        <f>HYPERLINK("http://www.worldcat.org/oclc/70186","WorldCat Record")</f>
        <v/>
      </c>
      <c r="AU265" t="inlineStr">
        <is>
          <t>10792805107:eng</t>
        </is>
      </c>
      <c r="AV265" t="inlineStr">
        <is>
          <t>70186</t>
        </is>
      </c>
      <c r="AW265" t="inlineStr">
        <is>
          <t>991000338569702656</t>
        </is>
      </c>
      <c r="AX265" t="inlineStr">
        <is>
          <t>991000338569702656</t>
        </is>
      </c>
      <c r="AY265" t="inlineStr">
        <is>
          <t>2270290830002656</t>
        </is>
      </c>
      <c r="AZ265" t="inlineStr">
        <is>
          <t>BOOK</t>
        </is>
      </c>
      <c r="BC265" t="inlineStr">
        <is>
          <t>32285002980232</t>
        </is>
      </c>
      <c r="BD265" t="inlineStr">
        <is>
          <t>893589360</t>
        </is>
      </c>
    </row>
    <row r="266">
      <c r="A266" t="inlineStr">
        <is>
          <t>No</t>
        </is>
      </c>
      <c r="B266" t="inlineStr">
        <is>
          <t>QL391.O4 E33</t>
        </is>
      </c>
      <c r="C266" t="inlineStr">
        <is>
          <t>0                      QL 0391000O  4                  E  33</t>
        </is>
      </c>
      <c r="D266" t="inlineStr">
        <is>
          <t>Biology of earthworms [by] C. A. Edwards [and] J. R. Lofty.</t>
        </is>
      </c>
      <c r="F266" t="inlineStr">
        <is>
          <t>No</t>
        </is>
      </c>
      <c r="G266" t="inlineStr">
        <is>
          <t>1</t>
        </is>
      </c>
      <c r="H266" t="inlineStr">
        <is>
          <t>No</t>
        </is>
      </c>
      <c r="I266" t="inlineStr">
        <is>
          <t>Yes</t>
        </is>
      </c>
      <c r="J266" t="inlineStr">
        <is>
          <t>0</t>
        </is>
      </c>
      <c r="K266" t="inlineStr">
        <is>
          <t>Edwards, C. A. (Clive Arthur), 1925-</t>
        </is>
      </c>
      <c r="L266" t="inlineStr">
        <is>
          <t>London, Chapman and Hall, 1972.</t>
        </is>
      </c>
      <c r="M266" t="inlineStr">
        <is>
          <t>1972</t>
        </is>
      </c>
      <c r="O266" t="inlineStr">
        <is>
          <t>eng</t>
        </is>
      </c>
      <c r="P266" t="inlineStr">
        <is>
          <t>enk</t>
        </is>
      </c>
      <c r="R266" t="inlineStr">
        <is>
          <t xml:space="preserve">QL </t>
        </is>
      </c>
      <c r="S266" t="n">
        <v>4</v>
      </c>
      <c r="T266" t="n">
        <v>4</v>
      </c>
      <c r="U266" t="inlineStr">
        <is>
          <t>1998-03-25</t>
        </is>
      </c>
      <c r="V266" t="inlineStr">
        <is>
          <t>1998-03-25</t>
        </is>
      </c>
      <c r="W266" t="inlineStr">
        <is>
          <t>1992-04-16</t>
        </is>
      </c>
      <c r="X266" t="inlineStr">
        <is>
          <t>1992-04-16</t>
        </is>
      </c>
      <c r="Y266" t="n">
        <v>643</v>
      </c>
      <c r="Z266" t="n">
        <v>485</v>
      </c>
      <c r="AA266" t="n">
        <v>711</v>
      </c>
      <c r="AB266" t="n">
        <v>2</v>
      </c>
      <c r="AC266" t="n">
        <v>2</v>
      </c>
      <c r="AD266" t="n">
        <v>18</v>
      </c>
      <c r="AE266" t="n">
        <v>23</v>
      </c>
      <c r="AF266" t="n">
        <v>7</v>
      </c>
      <c r="AG266" t="n">
        <v>11</v>
      </c>
      <c r="AH266" t="n">
        <v>4</v>
      </c>
      <c r="AI266" t="n">
        <v>4</v>
      </c>
      <c r="AJ266" t="n">
        <v>11</v>
      </c>
      <c r="AK266" t="n">
        <v>15</v>
      </c>
      <c r="AL266" t="n">
        <v>1</v>
      </c>
      <c r="AM266" t="n">
        <v>1</v>
      </c>
      <c r="AN266" t="n">
        <v>0</v>
      </c>
      <c r="AO266" t="n">
        <v>0</v>
      </c>
      <c r="AP266" t="inlineStr">
        <is>
          <t>No</t>
        </is>
      </c>
      <c r="AQ266" t="inlineStr">
        <is>
          <t>Yes</t>
        </is>
      </c>
      <c r="AR266">
        <f>HYPERLINK("http://catalog.hathitrust.org/Record/004413668","HathiTrust Record")</f>
        <v/>
      </c>
      <c r="AS266">
        <f>HYPERLINK("https://creighton-primo.hosted.exlibrisgroup.com/primo-explore/search?tab=default_tab&amp;search_scope=EVERYTHING&amp;vid=01CRU&amp;lang=en_US&amp;offset=0&amp;query=any,contains,991003042349702656","Catalog Record")</f>
        <v/>
      </c>
      <c r="AT266">
        <f>HYPERLINK("http://www.worldcat.org/oclc/603537","WorldCat Record")</f>
        <v/>
      </c>
      <c r="AU266" t="inlineStr">
        <is>
          <t>4923108112:eng</t>
        </is>
      </c>
      <c r="AV266" t="inlineStr">
        <is>
          <t>603537</t>
        </is>
      </c>
      <c r="AW266" t="inlineStr">
        <is>
          <t>991003042349702656</t>
        </is>
      </c>
      <c r="AX266" t="inlineStr">
        <is>
          <t>991003042349702656</t>
        </is>
      </c>
      <c r="AY266" t="inlineStr">
        <is>
          <t>2260263240002656</t>
        </is>
      </c>
      <c r="AZ266" t="inlineStr">
        <is>
          <t>BOOK</t>
        </is>
      </c>
      <c r="BB266" t="inlineStr">
        <is>
          <t>9780412110603</t>
        </is>
      </c>
      <c r="BC266" t="inlineStr">
        <is>
          <t>32285001053460</t>
        </is>
      </c>
      <c r="BD266" t="inlineStr">
        <is>
          <t>893530794</t>
        </is>
      </c>
    </row>
    <row r="267">
      <c r="A267" t="inlineStr">
        <is>
          <t>No</t>
        </is>
      </c>
      <c r="B267" t="inlineStr">
        <is>
          <t>QL391.O4 G3</t>
        </is>
      </c>
      <c r="C267" t="inlineStr">
        <is>
          <t>0                      QL 0391000O  4                  G  3</t>
        </is>
      </c>
      <c r="D267" t="inlineStr">
        <is>
          <t>Earthworms for ecology &amp; profit / Ronald E. Gaddie and Donald E. Douglas.</t>
        </is>
      </c>
      <c r="E267" t="inlineStr">
        <is>
          <t>V.1</t>
        </is>
      </c>
      <c r="F267" t="inlineStr">
        <is>
          <t>No</t>
        </is>
      </c>
      <c r="G267" t="inlineStr">
        <is>
          <t>1</t>
        </is>
      </c>
      <c r="H267" t="inlineStr">
        <is>
          <t>No</t>
        </is>
      </c>
      <c r="I267" t="inlineStr">
        <is>
          <t>No</t>
        </is>
      </c>
      <c r="J267" t="inlineStr">
        <is>
          <t>0</t>
        </is>
      </c>
      <c r="K267" t="inlineStr">
        <is>
          <t>Gaddie, Ronald E., 1939-</t>
        </is>
      </c>
      <c r="L267" t="inlineStr">
        <is>
          <t>[Ontario, Calif. : North American Bait Farms, 1975- ].</t>
        </is>
      </c>
      <c r="M267" t="inlineStr">
        <is>
          <t>1975</t>
        </is>
      </c>
      <c r="O267" t="inlineStr">
        <is>
          <t>eng</t>
        </is>
      </c>
      <c r="P267" t="inlineStr">
        <is>
          <t>cau</t>
        </is>
      </c>
      <c r="R267" t="inlineStr">
        <is>
          <t xml:space="preserve">QL </t>
        </is>
      </c>
      <c r="S267" t="n">
        <v>7</v>
      </c>
      <c r="T267" t="n">
        <v>7</v>
      </c>
      <c r="U267" t="inlineStr">
        <is>
          <t>2005-01-20</t>
        </is>
      </c>
      <c r="V267" t="inlineStr">
        <is>
          <t>2005-01-20</t>
        </is>
      </c>
      <c r="W267" t="inlineStr">
        <is>
          <t>1993-05-25</t>
        </is>
      </c>
      <c r="X267" t="inlineStr">
        <is>
          <t>1993-05-25</t>
        </is>
      </c>
      <c r="Y267" t="n">
        <v>40</v>
      </c>
      <c r="Z267" t="n">
        <v>40</v>
      </c>
      <c r="AA267" t="n">
        <v>42</v>
      </c>
      <c r="AB267" t="n">
        <v>1</v>
      </c>
      <c r="AC267" t="n">
        <v>1</v>
      </c>
      <c r="AD267" t="n">
        <v>0</v>
      </c>
      <c r="AE267" t="n">
        <v>0</v>
      </c>
      <c r="AF267" t="n">
        <v>0</v>
      </c>
      <c r="AG267" t="n">
        <v>0</v>
      </c>
      <c r="AH267" t="n">
        <v>0</v>
      </c>
      <c r="AI267" t="n">
        <v>0</v>
      </c>
      <c r="AJ267" t="n">
        <v>0</v>
      </c>
      <c r="AK267" t="n">
        <v>0</v>
      </c>
      <c r="AL267" t="n">
        <v>0</v>
      </c>
      <c r="AM267" t="n">
        <v>0</v>
      </c>
      <c r="AN267" t="n">
        <v>0</v>
      </c>
      <c r="AO267" t="n">
        <v>0</v>
      </c>
      <c r="AP267" t="inlineStr">
        <is>
          <t>No</t>
        </is>
      </c>
      <c r="AQ267" t="inlineStr">
        <is>
          <t>Yes</t>
        </is>
      </c>
      <c r="AR267">
        <f>HYPERLINK("http://catalog.hathitrust.org/Record/008706755","HathiTrust Record")</f>
        <v/>
      </c>
      <c r="AS267">
        <f>HYPERLINK("https://creighton-primo.hosted.exlibrisgroup.com/primo-explore/search?tab=default_tab&amp;search_scope=EVERYTHING&amp;vid=01CRU&amp;lang=en_US&amp;offset=0&amp;query=any,contains,991003943359702656","Catalog Record")</f>
        <v/>
      </c>
      <c r="AT267">
        <f>HYPERLINK("http://www.worldcat.org/oclc/1938717","WorldCat Record")</f>
        <v/>
      </c>
      <c r="AU267" t="inlineStr">
        <is>
          <t>1910407833:eng</t>
        </is>
      </c>
      <c r="AV267" t="inlineStr">
        <is>
          <t>1938717</t>
        </is>
      </c>
      <c r="AW267" t="inlineStr">
        <is>
          <t>991003943359702656</t>
        </is>
      </c>
      <c r="AX267" t="inlineStr">
        <is>
          <t>991003943359702656</t>
        </is>
      </c>
      <c r="AY267" t="inlineStr">
        <is>
          <t>2260332000002656</t>
        </is>
      </c>
      <c r="AZ267" t="inlineStr">
        <is>
          <t>BOOK</t>
        </is>
      </c>
      <c r="BC267" t="inlineStr">
        <is>
          <t>32285001686772</t>
        </is>
      </c>
      <c r="BD267" t="inlineStr">
        <is>
          <t>893417029</t>
        </is>
      </c>
    </row>
    <row r="268">
      <c r="A268" t="inlineStr">
        <is>
          <t>No</t>
        </is>
      </c>
      <c r="B268" t="inlineStr">
        <is>
          <t>QL391.O4 L3 1963</t>
        </is>
      </c>
      <c r="C268" t="inlineStr">
        <is>
          <t>0                      QL 0391000O  4                  L  3           1963</t>
        </is>
      </c>
      <c r="D268" t="inlineStr">
        <is>
          <t>The physiology of earthworms.</t>
        </is>
      </c>
      <c r="F268" t="inlineStr">
        <is>
          <t>No</t>
        </is>
      </c>
      <c r="G268" t="inlineStr">
        <is>
          <t>1</t>
        </is>
      </c>
      <c r="H268" t="inlineStr">
        <is>
          <t>No</t>
        </is>
      </c>
      <c r="I268" t="inlineStr">
        <is>
          <t>No</t>
        </is>
      </c>
      <c r="J268" t="inlineStr">
        <is>
          <t>0</t>
        </is>
      </c>
      <c r="K268" t="inlineStr">
        <is>
          <t>Laverack, M. S.</t>
        </is>
      </c>
      <c r="L268" t="inlineStr">
        <is>
          <t>New York, Macmillan, 1963.</t>
        </is>
      </c>
      <c r="M268" t="inlineStr">
        <is>
          <t>1963</t>
        </is>
      </c>
      <c r="O268" t="inlineStr">
        <is>
          <t>eng</t>
        </is>
      </c>
      <c r="P268" t="inlineStr">
        <is>
          <t>nyu</t>
        </is>
      </c>
      <c r="Q268" t="inlineStr">
        <is>
          <t>International series of monographs on pure and applied biology. Division, Zoology ; v. 15</t>
        </is>
      </c>
      <c r="R268" t="inlineStr">
        <is>
          <t xml:space="preserve">QL </t>
        </is>
      </c>
      <c r="S268" t="n">
        <v>1</v>
      </c>
      <c r="T268" t="n">
        <v>1</v>
      </c>
      <c r="U268" t="inlineStr">
        <is>
          <t>1998-03-25</t>
        </is>
      </c>
      <c r="V268" t="inlineStr">
        <is>
          <t>1998-03-25</t>
        </is>
      </c>
      <c r="W268" t="inlineStr">
        <is>
          <t>1998-03-02</t>
        </is>
      </c>
      <c r="X268" t="inlineStr">
        <is>
          <t>1998-03-02</t>
        </is>
      </c>
      <c r="Y268" t="n">
        <v>599</v>
      </c>
      <c r="Z268" t="n">
        <v>559</v>
      </c>
      <c r="AA268" t="n">
        <v>676</v>
      </c>
      <c r="AB268" t="n">
        <v>5</v>
      </c>
      <c r="AC268" t="n">
        <v>5</v>
      </c>
      <c r="AD268" t="n">
        <v>25</v>
      </c>
      <c r="AE268" t="n">
        <v>29</v>
      </c>
      <c r="AF268" t="n">
        <v>10</v>
      </c>
      <c r="AG268" t="n">
        <v>13</v>
      </c>
      <c r="AH268" t="n">
        <v>5</v>
      </c>
      <c r="AI268" t="n">
        <v>6</v>
      </c>
      <c r="AJ268" t="n">
        <v>14</v>
      </c>
      <c r="AK268" t="n">
        <v>14</v>
      </c>
      <c r="AL268" t="n">
        <v>3</v>
      </c>
      <c r="AM268" t="n">
        <v>3</v>
      </c>
      <c r="AN268" t="n">
        <v>0</v>
      </c>
      <c r="AO268" t="n">
        <v>0</v>
      </c>
      <c r="AP268" t="inlineStr">
        <is>
          <t>No</t>
        </is>
      </c>
      <c r="AQ268" t="inlineStr">
        <is>
          <t>Yes</t>
        </is>
      </c>
      <c r="AR268">
        <f>HYPERLINK("http://catalog.hathitrust.org/Record/001657132","HathiTrust Record")</f>
        <v/>
      </c>
      <c r="AS268">
        <f>HYPERLINK("https://creighton-primo.hosted.exlibrisgroup.com/primo-explore/search?tab=default_tab&amp;search_scope=EVERYTHING&amp;vid=01CRU&amp;lang=en_US&amp;offset=0&amp;query=any,contains,991002987099702656","Catalog Record")</f>
        <v/>
      </c>
      <c r="AT268">
        <f>HYPERLINK("http://www.worldcat.org/oclc/558131","WorldCat Record")</f>
        <v/>
      </c>
      <c r="AU268" t="inlineStr">
        <is>
          <t>1593382:eng</t>
        </is>
      </c>
      <c r="AV268" t="inlineStr">
        <is>
          <t>558131</t>
        </is>
      </c>
      <c r="AW268" t="inlineStr">
        <is>
          <t>991002987099702656</t>
        </is>
      </c>
      <c r="AX268" t="inlineStr">
        <is>
          <t>991002987099702656</t>
        </is>
      </c>
      <c r="AY268" t="inlineStr">
        <is>
          <t>2258198550002656</t>
        </is>
      </c>
      <c r="AZ268" t="inlineStr">
        <is>
          <t>BOOK</t>
        </is>
      </c>
      <c r="BC268" t="inlineStr">
        <is>
          <t>32285003354163</t>
        </is>
      </c>
      <c r="BD268" t="inlineStr">
        <is>
          <t>893880688</t>
        </is>
      </c>
    </row>
    <row r="269">
      <c r="A269" t="inlineStr">
        <is>
          <t>No</t>
        </is>
      </c>
      <c r="B269" t="inlineStr">
        <is>
          <t>QL391.O4 R463</t>
        </is>
      </c>
      <c r="C269" t="inlineStr">
        <is>
          <t>0                      QL 0391000O  4                  R  463</t>
        </is>
      </c>
      <c r="D269" t="inlineStr">
        <is>
          <t>The earthworms : (Lumbricidae and Sparganophilidae) of Ontario / John W. Reynolds. Illustrated by Daniel L. Dindal.</t>
        </is>
      </c>
      <c r="F269" t="inlineStr">
        <is>
          <t>No</t>
        </is>
      </c>
      <c r="G269" t="inlineStr">
        <is>
          <t>1</t>
        </is>
      </c>
      <c r="H269" t="inlineStr">
        <is>
          <t>No</t>
        </is>
      </c>
      <c r="I269" t="inlineStr">
        <is>
          <t>No</t>
        </is>
      </c>
      <c r="J269" t="inlineStr">
        <is>
          <t>0</t>
        </is>
      </c>
      <c r="K269" t="inlineStr">
        <is>
          <t>Reynolds, John W., 1941-</t>
        </is>
      </c>
      <c r="L269" t="inlineStr">
        <is>
          <t>[Toronto : The Royal Ontario Museum], 1977.</t>
        </is>
      </c>
      <c r="M269" t="inlineStr">
        <is>
          <t>1977</t>
        </is>
      </c>
      <c r="O269" t="inlineStr">
        <is>
          <t>eng</t>
        </is>
      </c>
      <c r="P269" t="inlineStr">
        <is>
          <t xml:space="preserve">xx </t>
        </is>
      </c>
      <c r="Q269" t="inlineStr">
        <is>
          <t>Life sciences miscellaneous publications / Royal Ontario Museum</t>
        </is>
      </c>
      <c r="R269" t="inlineStr">
        <is>
          <t xml:space="preserve">QL </t>
        </is>
      </c>
      <c r="S269" t="n">
        <v>4</v>
      </c>
      <c r="T269" t="n">
        <v>4</v>
      </c>
      <c r="U269" t="inlineStr">
        <is>
          <t>1998-03-25</t>
        </is>
      </c>
      <c r="V269" t="inlineStr">
        <is>
          <t>1998-03-25</t>
        </is>
      </c>
      <c r="W269" t="inlineStr">
        <is>
          <t>1993-05-25</t>
        </is>
      </c>
      <c r="X269" t="inlineStr">
        <is>
          <t>1993-05-25</t>
        </is>
      </c>
      <c r="Y269" t="n">
        <v>182</v>
      </c>
      <c r="Z269" t="n">
        <v>119</v>
      </c>
      <c r="AA269" t="n">
        <v>144</v>
      </c>
      <c r="AB269" t="n">
        <v>3</v>
      </c>
      <c r="AC269" t="n">
        <v>3</v>
      </c>
      <c r="AD269" t="n">
        <v>3</v>
      </c>
      <c r="AE269" t="n">
        <v>3</v>
      </c>
      <c r="AF269" t="n">
        <v>1</v>
      </c>
      <c r="AG269" t="n">
        <v>1</v>
      </c>
      <c r="AH269" t="n">
        <v>0</v>
      </c>
      <c r="AI269" t="n">
        <v>0</v>
      </c>
      <c r="AJ269" t="n">
        <v>1</v>
      </c>
      <c r="AK269" t="n">
        <v>1</v>
      </c>
      <c r="AL269" t="n">
        <v>2</v>
      </c>
      <c r="AM269" t="n">
        <v>2</v>
      </c>
      <c r="AN269" t="n">
        <v>0</v>
      </c>
      <c r="AO269" t="n">
        <v>0</v>
      </c>
      <c r="AP269" t="inlineStr">
        <is>
          <t>No</t>
        </is>
      </c>
      <c r="AQ269" t="inlineStr">
        <is>
          <t>Yes</t>
        </is>
      </c>
      <c r="AR269">
        <f>HYPERLINK("http://catalog.hathitrust.org/Record/000294568","HathiTrust Record")</f>
        <v/>
      </c>
      <c r="AS269">
        <f>HYPERLINK("https://creighton-primo.hosted.exlibrisgroup.com/primo-explore/search?tab=default_tab&amp;search_scope=EVERYTHING&amp;vid=01CRU&amp;lang=en_US&amp;offset=0&amp;query=any,contains,991004372789702656","Catalog Record")</f>
        <v/>
      </c>
      <c r="AT269">
        <f>HYPERLINK("http://www.worldcat.org/oclc/7575050","WorldCat Record")</f>
        <v/>
      </c>
      <c r="AU269" t="inlineStr">
        <is>
          <t>28870224:eng</t>
        </is>
      </c>
      <c r="AV269" t="inlineStr">
        <is>
          <t>7575050</t>
        </is>
      </c>
      <c r="AW269" t="inlineStr">
        <is>
          <t>991004372789702656</t>
        </is>
      </c>
      <c r="AX269" t="inlineStr">
        <is>
          <t>991004372789702656</t>
        </is>
      </c>
      <c r="AY269" t="inlineStr">
        <is>
          <t>2267495530002656</t>
        </is>
      </c>
      <c r="AZ269" t="inlineStr">
        <is>
          <t>BOOK</t>
        </is>
      </c>
      <c r="BC269" t="inlineStr">
        <is>
          <t>32285001686780</t>
        </is>
      </c>
      <c r="BD269" t="inlineStr">
        <is>
          <t>893788618</t>
        </is>
      </c>
    </row>
    <row r="270">
      <c r="A270" t="inlineStr">
        <is>
          <t>No</t>
        </is>
      </c>
      <c r="B270" t="inlineStr">
        <is>
          <t>QL391.P7 B54</t>
        </is>
      </c>
      <c r="C270" t="inlineStr">
        <is>
          <t>0                      QL 0391000P  7                  B  54</t>
        </is>
      </c>
      <c r="D270" t="inlineStr">
        <is>
          <t>Biology of the tapeworm Hymenolepis diminuta / edited by Hisao P. Arai.</t>
        </is>
      </c>
      <c r="F270" t="inlineStr">
        <is>
          <t>No</t>
        </is>
      </c>
      <c r="G270" t="inlineStr">
        <is>
          <t>1</t>
        </is>
      </c>
      <c r="H270" t="inlineStr">
        <is>
          <t>No</t>
        </is>
      </c>
      <c r="I270" t="inlineStr">
        <is>
          <t>No</t>
        </is>
      </c>
      <c r="J270" t="inlineStr">
        <is>
          <t>0</t>
        </is>
      </c>
      <c r="L270" t="inlineStr">
        <is>
          <t>New York : Academic Press, 1980.</t>
        </is>
      </c>
      <c r="M270" t="inlineStr">
        <is>
          <t>1980</t>
        </is>
      </c>
      <c r="O270" t="inlineStr">
        <is>
          <t>eng</t>
        </is>
      </c>
      <c r="P270" t="inlineStr">
        <is>
          <t>nyu</t>
        </is>
      </c>
      <c r="R270" t="inlineStr">
        <is>
          <t xml:space="preserve">QL </t>
        </is>
      </c>
      <c r="S270" t="n">
        <v>3</v>
      </c>
      <c r="T270" t="n">
        <v>3</v>
      </c>
      <c r="U270" t="inlineStr">
        <is>
          <t>2008-02-26</t>
        </is>
      </c>
      <c r="V270" t="inlineStr">
        <is>
          <t>2008-02-26</t>
        </is>
      </c>
      <c r="W270" t="inlineStr">
        <is>
          <t>1993-05-25</t>
        </is>
      </c>
      <c r="X270" t="inlineStr">
        <is>
          <t>1993-05-25</t>
        </is>
      </c>
      <c r="Y270" t="n">
        <v>255</v>
      </c>
      <c r="Z270" t="n">
        <v>178</v>
      </c>
      <c r="AA270" t="n">
        <v>216</v>
      </c>
      <c r="AB270" t="n">
        <v>4</v>
      </c>
      <c r="AC270" t="n">
        <v>4</v>
      </c>
      <c r="AD270" t="n">
        <v>9</v>
      </c>
      <c r="AE270" t="n">
        <v>11</v>
      </c>
      <c r="AF270" t="n">
        <v>2</v>
      </c>
      <c r="AG270" t="n">
        <v>3</v>
      </c>
      <c r="AH270" t="n">
        <v>3</v>
      </c>
      <c r="AI270" t="n">
        <v>5</v>
      </c>
      <c r="AJ270" t="n">
        <v>3</v>
      </c>
      <c r="AK270" t="n">
        <v>3</v>
      </c>
      <c r="AL270" t="n">
        <v>3</v>
      </c>
      <c r="AM270" t="n">
        <v>3</v>
      </c>
      <c r="AN270" t="n">
        <v>0</v>
      </c>
      <c r="AO270" t="n">
        <v>0</v>
      </c>
      <c r="AP270" t="inlineStr">
        <is>
          <t>No</t>
        </is>
      </c>
      <c r="AQ270" t="inlineStr">
        <is>
          <t>Yes</t>
        </is>
      </c>
      <c r="AR270">
        <f>HYPERLINK("http://catalog.hathitrust.org/Record/000147320","HathiTrust Record")</f>
        <v/>
      </c>
      <c r="AS270">
        <f>HYPERLINK("https://creighton-primo.hosted.exlibrisgroup.com/primo-explore/search?tab=default_tab&amp;search_scope=EVERYTHING&amp;vid=01CRU&amp;lang=en_US&amp;offset=0&amp;query=any,contains,991005058309702656","Catalog Record")</f>
        <v/>
      </c>
      <c r="AT270">
        <f>HYPERLINK("http://www.worldcat.org/oclc/6914997","WorldCat Record")</f>
        <v/>
      </c>
      <c r="AU270" t="inlineStr">
        <is>
          <t>408339:eng</t>
        </is>
      </c>
      <c r="AV270" t="inlineStr">
        <is>
          <t>6914997</t>
        </is>
      </c>
      <c r="AW270" t="inlineStr">
        <is>
          <t>991005058309702656</t>
        </is>
      </c>
      <c r="AX270" t="inlineStr">
        <is>
          <t>991005058309702656</t>
        </is>
      </c>
      <c r="AY270" t="inlineStr">
        <is>
          <t>2262969260002656</t>
        </is>
      </c>
      <c r="AZ270" t="inlineStr">
        <is>
          <t>BOOK</t>
        </is>
      </c>
      <c r="BB270" t="inlineStr">
        <is>
          <t>9780120589807</t>
        </is>
      </c>
      <c r="BC270" t="inlineStr">
        <is>
          <t>32285001686798</t>
        </is>
      </c>
      <c r="BD270" t="inlineStr">
        <is>
          <t>893628494</t>
        </is>
      </c>
    </row>
    <row r="271">
      <c r="A271" t="inlineStr">
        <is>
          <t>No</t>
        </is>
      </c>
      <c r="B271" t="inlineStr">
        <is>
          <t>QL391.P7 B55</t>
        </is>
      </c>
      <c r="C271" t="inlineStr">
        <is>
          <t>0                      QL 0391000P  7                  B  55</t>
        </is>
      </c>
      <c r="D271" t="inlineStr">
        <is>
          <t>Biology of the Turbellaria. Edited by Nathan W. Riser [and] M. Patricia Morse.</t>
        </is>
      </c>
      <c r="F271" t="inlineStr">
        <is>
          <t>No</t>
        </is>
      </c>
      <c r="G271" t="inlineStr">
        <is>
          <t>1</t>
        </is>
      </c>
      <c r="H271" t="inlineStr">
        <is>
          <t>No</t>
        </is>
      </c>
      <c r="I271" t="inlineStr">
        <is>
          <t>No</t>
        </is>
      </c>
      <c r="J271" t="inlineStr">
        <is>
          <t>0</t>
        </is>
      </c>
      <c r="L271" t="inlineStr">
        <is>
          <t>New York, McGraw-Hill [1974]</t>
        </is>
      </c>
      <c r="M271" t="inlineStr">
        <is>
          <t>1974</t>
        </is>
      </c>
      <c r="O271" t="inlineStr">
        <is>
          <t>eng</t>
        </is>
      </c>
      <c r="P271" t="inlineStr">
        <is>
          <t>nyu</t>
        </is>
      </c>
      <c r="Q271" t="inlineStr">
        <is>
          <t>McGraw-Hill series in the invertebrates</t>
        </is>
      </c>
      <c r="R271" t="inlineStr">
        <is>
          <t xml:space="preserve">QL </t>
        </is>
      </c>
      <c r="S271" t="n">
        <v>2</v>
      </c>
      <c r="T271" t="n">
        <v>2</v>
      </c>
      <c r="U271" t="inlineStr">
        <is>
          <t>2004-02-25</t>
        </is>
      </c>
      <c r="V271" t="inlineStr">
        <is>
          <t>2004-02-25</t>
        </is>
      </c>
      <c r="W271" t="inlineStr">
        <is>
          <t>1997-07-23</t>
        </is>
      </c>
      <c r="X271" t="inlineStr">
        <is>
          <t>1997-07-23</t>
        </is>
      </c>
      <c r="Y271" t="n">
        <v>449</v>
      </c>
      <c r="Z271" t="n">
        <v>350</v>
      </c>
      <c r="AA271" t="n">
        <v>357</v>
      </c>
      <c r="AB271" t="n">
        <v>4</v>
      </c>
      <c r="AC271" t="n">
        <v>4</v>
      </c>
      <c r="AD271" t="n">
        <v>19</v>
      </c>
      <c r="AE271" t="n">
        <v>19</v>
      </c>
      <c r="AF271" t="n">
        <v>7</v>
      </c>
      <c r="AG271" t="n">
        <v>7</v>
      </c>
      <c r="AH271" t="n">
        <v>6</v>
      </c>
      <c r="AI271" t="n">
        <v>6</v>
      </c>
      <c r="AJ271" t="n">
        <v>9</v>
      </c>
      <c r="AK271" t="n">
        <v>9</v>
      </c>
      <c r="AL271" t="n">
        <v>3</v>
      </c>
      <c r="AM271" t="n">
        <v>3</v>
      </c>
      <c r="AN271" t="n">
        <v>0</v>
      </c>
      <c r="AO271" t="n">
        <v>0</v>
      </c>
      <c r="AP271" t="inlineStr">
        <is>
          <t>No</t>
        </is>
      </c>
      <c r="AQ271" t="inlineStr">
        <is>
          <t>Yes</t>
        </is>
      </c>
      <c r="AR271">
        <f>HYPERLINK("http://catalog.hathitrust.org/Record/001499434","HathiTrust Record")</f>
        <v/>
      </c>
      <c r="AS271">
        <f>HYPERLINK("https://creighton-primo.hosted.exlibrisgroup.com/primo-explore/search?tab=default_tab&amp;search_scope=EVERYTHING&amp;vid=01CRU&amp;lang=en_US&amp;offset=0&amp;query=any,contains,991003160049702656","Catalog Record")</f>
        <v/>
      </c>
      <c r="AT271">
        <f>HYPERLINK("http://www.worldcat.org/oclc/698756","WorldCat Record")</f>
        <v/>
      </c>
      <c r="AU271" t="inlineStr">
        <is>
          <t>53999933:eng</t>
        </is>
      </c>
      <c r="AV271" t="inlineStr">
        <is>
          <t>698756</t>
        </is>
      </c>
      <c r="AW271" t="inlineStr">
        <is>
          <t>991003160049702656</t>
        </is>
      </c>
      <c r="AX271" t="inlineStr">
        <is>
          <t>991003160049702656</t>
        </is>
      </c>
      <c r="AY271" t="inlineStr">
        <is>
          <t>2265162980002656</t>
        </is>
      </c>
      <c r="AZ271" t="inlineStr">
        <is>
          <t>BOOK</t>
        </is>
      </c>
      <c r="BB271" t="inlineStr">
        <is>
          <t>9780070529472</t>
        </is>
      </c>
      <c r="BC271" t="inlineStr">
        <is>
          <t>32285002980240</t>
        </is>
      </c>
      <c r="BD271" t="inlineStr">
        <is>
          <t>893887194</t>
        </is>
      </c>
    </row>
    <row r="272">
      <c r="A272" t="inlineStr">
        <is>
          <t>No</t>
        </is>
      </c>
      <c r="B272" t="inlineStr">
        <is>
          <t>QL391.T7 B93</t>
        </is>
      </c>
      <c r="C272" t="inlineStr">
        <is>
          <t>0                      QL 0391000T  7                  B  93</t>
        </is>
      </c>
      <c r="D272" t="inlineStr">
        <is>
          <t>Monogenetic trematodes : their systematics and phylogeny / by Boris E. Bychowsky ; edited by William J. Hargis, Jr. ; translated by Pierre C. Oustinoff.</t>
        </is>
      </c>
      <c r="F272" t="inlineStr">
        <is>
          <t>No</t>
        </is>
      </c>
      <c r="G272" t="inlineStr">
        <is>
          <t>1</t>
        </is>
      </c>
      <c r="H272" t="inlineStr">
        <is>
          <t>No</t>
        </is>
      </c>
      <c r="I272" t="inlineStr">
        <is>
          <t>No</t>
        </is>
      </c>
      <c r="J272" t="inlineStr">
        <is>
          <t>0</t>
        </is>
      </c>
      <c r="K272" t="inlineStr">
        <is>
          <t>Bykhovskiĭ, B. E. (Boris Evseevich), 1908-1974.</t>
        </is>
      </c>
      <c r="L272" t="inlineStr">
        <is>
          <t>Washington, D.C. : American Institute of Biological Sciences, c1961.</t>
        </is>
      </c>
      <c r="M272" t="inlineStr">
        <is>
          <t>1961</t>
        </is>
      </c>
      <c r="O272" t="inlineStr">
        <is>
          <t>eng</t>
        </is>
      </c>
      <c r="P272" t="inlineStr">
        <is>
          <t>dcu</t>
        </is>
      </c>
      <c r="Q272" t="inlineStr">
        <is>
          <t>[Virginia Institute of Marine Science translation series] ; no. 1</t>
        </is>
      </c>
      <c r="R272" t="inlineStr">
        <is>
          <t xml:space="preserve">QL </t>
        </is>
      </c>
      <c r="S272" t="n">
        <v>1</v>
      </c>
      <c r="T272" t="n">
        <v>1</v>
      </c>
      <c r="U272" t="inlineStr">
        <is>
          <t>2001-02-18</t>
        </is>
      </c>
      <c r="V272" t="inlineStr">
        <is>
          <t>2001-02-18</t>
        </is>
      </c>
      <c r="W272" t="inlineStr">
        <is>
          <t>1997-07-23</t>
        </is>
      </c>
      <c r="X272" t="inlineStr">
        <is>
          <t>1997-07-23</t>
        </is>
      </c>
      <c r="Y272" t="n">
        <v>303</v>
      </c>
      <c r="Z272" t="n">
        <v>252</v>
      </c>
      <c r="AA272" t="n">
        <v>275</v>
      </c>
      <c r="AB272" t="n">
        <v>3</v>
      </c>
      <c r="AC272" t="n">
        <v>3</v>
      </c>
      <c r="AD272" t="n">
        <v>10</v>
      </c>
      <c r="AE272" t="n">
        <v>10</v>
      </c>
      <c r="AF272" t="n">
        <v>3</v>
      </c>
      <c r="AG272" t="n">
        <v>3</v>
      </c>
      <c r="AH272" t="n">
        <v>2</v>
      </c>
      <c r="AI272" t="n">
        <v>2</v>
      </c>
      <c r="AJ272" t="n">
        <v>4</v>
      </c>
      <c r="AK272" t="n">
        <v>4</v>
      </c>
      <c r="AL272" t="n">
        <v>2</v>
      </c>
      <c r="AM272" t="n">
        <v>2</v>
      </c>
      <c r="AN272" t="n">
        <v>0</v>
      </c>
      <c r="AO272" t="n">
        <v>0</v>
      </c>
      <c r="AP272" t="inlineStr">
        <is>
          <t>No</t>
        </is>
      </c>
      <c r="AQ272" t="inlineStr">
        <is>
          <t>Yes</t>
        </is>
      </c>
      <c r="AR272">
        <f>HYPERLINK("http://catalog.hathitrust.org/Record/001499462","HathiTrust Record")</f>
        <v/>
      </c>
      <c r="AS272">
        <f>HYPERLINK("https://creighton-primo.hosted.exlibrisgroup.com/primo-explore/search?tab=default_tab&amp;search_scope=EVERYTHING&amp;vid=01CRU&amp;lang=en_US&amp;offset=0&amp;query=any,contains,991000965709702656","Catalog Record")</f>
        <v/>
      </c>
      <c r="AT272">
        <f>HYPERLINK("http://www.worldcat.org/oclc/170246","WorldCat Record")</f>
        <v/>
      </c>
      <c r="AU272" t="inlineStr">
        <is>
          <t>52613824:eng</t>
        </is>
      </c>
      <c r="AV272" t="inlineStr">
        <is>
          <t>170246</t>
        </is>
      </c>
      <c r="AW272" t="inlineStr">
        <is>
          <t>991000965709702656</t>
        </is>
      </c>
      <c r="AX272" t="inlineStr">
        <is>
          <t>991000965709702656</t>
        </is>
      </c>
      <c r="AY272" t="inlineStr">
        <is>
          <t>2269539960002656</t>
        </is>
      </c>
      <c r="AZ272" t="inlineStr">
        <is>
          <t>BOOK</t>
        </is>
      </c>
      <c r="BC272" t="inlineStr">
        <is>
          <t>32285002980265</t>
        </is>
      </c>
      <c r="BD272" t="inlineStr">
        <is>
          <t>893426211</t>
        </is>
      </c>
    </row>
    <row r="273">
      <c r="A273" t="inlineStr">
        <is>
          <t>No</t>
        </is>
      </c>
      <c r="B273" t="inlineStr">
        <is>
          <t>QL391.T7 P22 1965</t>
        </is>
      </c>
      <c r="C273" t="inlineStr">
        <is>
          <t>0                      QL 0391000T  7                  P  22          1965</t>
        </is>
      </c>
      <c r="D273" t="inlineStr">
        <is>
          <t>The common liver fluke, Fasciola hepatica L., by E.M. Pantelouris.</t>
        </is>
      </c>
      <c r="F273" t="inlineStr">
        <is>
          <t>No</t>
        </is>
      </c>
      <c r="G273" t="inlineStr">
        <is>
          <t>1</t>
        </is>
      </c>
      <c r="H273" t="inlineStr">
        <is>
          <t>No</t>
        </is>
      </c>
      <c r="I273" t="inlineStr">
        <is>
          <t>No</t>
        </is>
      </c>
      <c r="J273" t="inlineStr">
        <is>
          <t>0</t>
        </is>
      </c>
      <c r="K273" t="inlineStr">
        <is>
          <t>Pantelouris, E. M.</t>
        </is>
      </c>
      <c r="L273" t="inlineStr">
        <is>
          <t>Oxford, New York, Pergamon Press [1965]</t>
        </is>
      </c>
      <c r="M273" t="inlineStr">
        <is>
          <t>1965</t>
        </is>
      </c>
      <c r="N273" t="inlineStr">
        <is>
          <t>[1st ed.].</t>
        </is>
      </c>
      <c r="O273" t="inlineStr">
        <is>
          <t>eng</t>
        </is>
      </c>
      <c r="P273" t="inlineStr">
        <is>
          <t>enk</t>
        </is>
      </c>
      <c r="Q273" t="inlineStr">
        <is>
          <t>International series of monographs on pure and applied biology. Division, Zoology ; v. 21</t>
        </is>
      </c>
      <c r="R273" t="inlineStr">
        <is>
          <t xml:space="preserve">QL </t>
        </is>
      </c>
      <c r="S273" t="n">
        <v>2</v>
      </c>
      <c r="T273" t="n">
        <v>2</v>
      </c>
      <c r="U273" t="inlineStr">
        <is>
          <t>2004-04-15</t>
        </is>
      </c>
      <c r="V273" t="inlineStr">
        <is>
          <t>2004-04-15</t>
        </is>
      </c>
      <c r="W273" t="inlineStr">
        <is>
          <t>1997-07-23</t>
        </is>
      </c>
      <c r="X273" t="inlineStr">
        <is>
          <t>1997-07-23</t>
        </is>
      </c>
      <c r="Y273" t="n">
        <v>340</v>
      </c>
      <c r="Z273" t="n">
        <v>245</v>
      </c>
      <c r="AA273" t="n">
        <v>294</v>
      </c>
      <c r="AB273" t="n">
        <v>2</v>
      </c>
      <c r="AC273" t="n">
        <v>3</v>
      </c>
      <c r="AD273" t="n">
        <v>6</v>
      </c>
      <c r="AE273" t="n">
        <v>9</v>
      </c>
      <c r="AF273" t="n">
        <v>3</v>
      </c>
      <c r="AG273" t="n">
        <v>3</v>
      </c>
      <c r="AH273" t="n">
        <v>3</v>
      </c>
      <c r="AI273" t="n">
        <v>5</v>
      </c>
      <c r="AJ273" t="n">
        <v>1</v>
      </c>
      <c r="AK273" t="n">
        <v>2</v>
      </c>
      <c r="AL273" t="n">
        <v>1</v>
      </c>
      <c r="AM273" t="n">
        <v>2</v>
      </c>
      <c r="AN273" t="n">
        <v>0</v>
      </c>
      <c r="AO273" t="n">
        <v>0</v>
      </c>
      <c r="AP273" t="inlineStr">
        <is>
          <t>No</t>
        </is>
      </c>
      <c r="AQ273" t="inlineStr">
        <is>
          <t>Yes</t>
        </is>
      </c>
      <c r="AR273">
        <f>HYPERLINK("http://catalog.hathitrust.org/Record/001499475","HathiTrust Record")</f>
        <v/>
      </c>
      <c r="AS273">
        <f>HYPERLINK("https://creighton-primo.hosted.exlibrisgroup.com/primo-explore/search?tab=default_tab&amp;search_scope=EVERYTHING&amp;vid=01CRU&amp;lang=en_US&amp;offset=0&amp;query=any,contains,991000714479702656","Catalog Record")</f>
        <v/>
      </c>
      <c r="AT273">
        <f>HYPERLINK("http://www.worldcat.org/oclc/12613901","WorldCat Record")</f>
        <v/>
      </c>
      <c r="AU273" t="inlineStr">
        <is>
          <t>9988739456:eng</t>
        </is>
      </c>
      <c r="AV273" t="inlineStr">
        <is>
          <t>12613901</t>
        </is>
      </c>
      <c r="AW273" t="inlineStr">
        <is>
          <t>991000714479702656</t>
        </is>
      </c>
      <c r="AX273" t="inlineStr">
        <is>
          <t>991000714479702656</t>
        </is>
      </c>
      <c r="AY273" t="inlineStr">
        <is>
          <t>2259895590002656</t>
        </is>
      </c>
      <c r="AZ273" t="inlineStr">
        <is>
          <t>BOOK</t>
        </is>
      </c>
      <c r="BC273" t="inlineStr">
        <is>
          <t>32285002980273</t>
        </is>
      </c>
      <c r="BD273" t="inlineStr">
        <is>
          <t>893419714</t>
        </is>
      </c>
    </row>
    <row r="274">
      <c r="A274" t="inlineStr">
        <is>
          <t>No</t>
        </is>
      </c>
      <c r="B274" t="inlineStr">
        <is>
          <t>QL391.T9 C43</t>
        </is>
      </c>
      <c r="C274" t="inlineStr">
        <is>
          <t>0                      QL 0391000T  9                  C  43</t>
        </is>
      </c>
      <c r="D274" t="inlineStr">
        <is>
          <t>Histogenesis and morphogenesis in planarian regeneration / Rosine Chandebois.</t>
        </is>
      </c>
      <c r="F274" t="inlineStr">
        <is>
          <t>No</t>
        </is>
      </c>
      <c r="G274" t="inlineStr">
        <is>
          <t>1</t>
        </is>
      </c>
      <c r="H274" t="inlineStr">
        <is>
          <t>No</t>
        </is>
      </c>
      <c r="I274" t="inlineStr">
        <is>
          <t>No</t>
        </is>
      </c>
      <c r="J274" t="inlineStr">
        <is>
          <t>0</t>
        </is>
      </c>
      <c r="K274" t="inlineStr">
        <is>
          <t>Chandebois, Rosine.</t>
        </is>
      </c>
      <c r="L274" t="inlineStr">
        <is>
          <t>Basel ; New York : S. Karger, 1976.</t>
        </is>
      </c>
      <c r="M274" t="inlineStr">
        <is>
          <t>1976</t>
        </is>
      </c>
      <c r="O274" t="inlineStr">
        <is>
          <t>eng</t>
        </is>
      </c>
      <c r="P274" t="inlineStr">
        <is>
          <t xml:space="preserve">sz </t>
        </is>
      </c>
      <c r="Q274" t="inlineStr">
        <is>
          <t>Monographs in developmental biology ; v. 11</t>
        </is>
      </c>
      <c r="R274" t="inlineStr">
        <is>
          <t xml:space="preserve">QL </t>
        </is>
      </c>
      <c r="S274" t="n">
        <v>2</v>
      </c>
      <c r="T274" t="n">
        <v>2</v>
      </c>
      <c r="U274" t="inlineStr">
        <is>
          <t>1995-02-20</t>
        </is>
      </c>
      <c r="V274" t="inlineStr">
        <is>
          <t>1995-02-20</t>
        </is>
      </c>
      <c r="W274" t="inlineStr">
        <is>
          <t>1993-05-25</t>
        </is>
      </c>
      <c r="X274" t="inlineStr">
        <is>
          <t>1993-05-25</t>
        </is>
      </c>
      <c r="Y274" t="n">
        <v>166</v>
      </c>
      <c r="Z274" t="n">
        <v>120</v>
      </c>
      <c r="AA274" t="n">
        <v>121</v>
      </c>
      <c r="AB274" t="n">
        <v>2</v>
      </c>
      <c r="AC274" t="n">
        <v>2</v>
      </c>
      <c r="AD274" t="n">
        <v>6</v>
      </c>
      <c r="AE274" t="n">
        <v>6</v>
      </c>
      <c r="AF274" t="n">
        <v>1</v>
      </c>
      <c r="AG274" t="n">
        <v>1</v>
      </c>
      <c r="AH274" t="n">
        <v>0</v>
      </c>
      <c r="AI274" t="n">
        <v>0</v>
      </c>
      <c r="AJ274" t="n">
        <v>5</v>
      </c>
      <c r="AK274" t="n">
        <v>5</v>
      </c>
      <c r="AL274" t="n">
        <v>1</v>
      </c>
      <c r="AM274" t="n">
        <v>1</v>
      </c>
      <c r="AN274" t="n">
        <v>0</v>
      </c>
      <c r="AO274" t="n">
        <v>0</v>
      </c>
      <c r="AP274" t="inlineStr">
        <is>
          <t>No</t>
        </is>
      </c>
      <c r="AQ274" t="inlineStr">
        <is>
          <t>Yes</t>
        </is>
      </c>
      <c r="AR274">
        <f>HYPERLINK("http://catalog.hathitrust.org/Record/002870310","HathiTrust Record")</f>
        <v/>
      </c>
      <c r="AS274">
        <f>HYPERLINK("https://creighton-primo.hosted.exlibrisgroup.com/primo-explore/search?tab=default_tab&amp;search_scope=EVERYTHING&amp;vid=01CRU&amp;lang=en_US&amp;offset=0&amp;query=any,contains,991004056789702656","Catalog Record")</f>
        <v/>
      </c>
      <c r="AT274">
        <f>HYPERLINK("http://www.worldcat.org/oclc/2227627","WorldCat Record")</f>
        <v/>
      </c>
      <c r="AU274" t="inlineStr">
        <is>
          <t>393894:eng</t>
        </is>
      </c>
      <c r="AV274" t="inlineStr">
        <is>
          <t>2227627</t>
        </is>
      </c>
      <c r="AW274" t="inlineStr">
        <is>
          <t>991004056789702656</t>
        </is>
      </c>
      <c r="AX274" t="inlineStr">
        <is>
          <t>991004056789702656</t>
        </is>
      </c>
      <c r="AY274" t="inlineStr">
        <is>
          <t>2270696120002656</t>
        </is>
      </c>
      <c r="AZ274" t="inlineStr">
        <is>
          <t>BOOK</t>
        </is>
      </c>
      <c r="BB274" t="inlineStr">
        <is>
          <t>9783805522816</t>
        </is>
      </c>
      <c r="BC274" t="inlineStr">
        <is>
          <t>32285001686806</t>
        </is>
      </c>
      <c r="BD274" t="inlineStr">
        <is>
          <t>893810332</t>
        </is>
      </c>
    </row>
    <row r="275">
      <c r="A275" t="inlineStr">
        <is>
          <t>No</t>
        </is>
      </c>
      <c r="B275" t="inlineStr">
        <is>
          <t>QL392 .C76</t>
        </is>
      </c>
      <c r="C275" t="inlineStr">
        <is>
          <t>0                      QL 0392000C  76</t>
        </is>
      </c>
      <c r="D275" t="inlineStr">
        <is>
          <t>Parasitic worms / D. W. T. Crompton and S. M. Joyner.</t>
        </is>
      </c>
      <c r="F275" t="inlineStr">
        <is>
          <t>No</t>
        </is>
      </c>
      <c r="G275" t="inlineStr">
        <is>
          <t>1</t>
        </is>
      </c>
      <c r="H275" t="inlineStr">
        <is>
          <t>No</t>
        </is>
      </c>
      <c r="I275" t="inlineStr">
        <is>
          <t>No</t>
        </is>
      </c>
      <c r="J275" t="inlineStr">
        <is>
          <t>0</t>
        </is>
      </c>
      <c r="K275" t="inlineStr">
        <is>
          <t>Crompton, D. W. T. (David William Thomasson), 1937-</t>
        </is>
      </c>
      <c r="L275" t="inlineStr">
        <is>
          <t>New York : Crane, Russak, 1980.</t>
        </is>
      </c>
      <c r="M275" t="inlineStr">
        <is>
          <t>1979</t>
        </is>
      </c>
      <c r="O275" t="inlineStr">
        <is>
          <t>eng</t>
        </is>
      </c>
      <c r="P275" t="inlineStr">
        <is>
          <t>nyu</t>
        </is>
      </c>
      <c r="Q275" t="inlineStr">
        <is>
          <t>Wykeham science series ; 57</t>
        </is>
      </c>
      <c r="R275" t="inlineStr">
        <is>
          <t xml:space="preserve">QL </t>
        </is>
      </c>
      <c r="S275" t="n">
        <v>2</v>
      </c>
      <c r="T275" t="n">
        <v>2</v>
      </c>
      <c r="U275" t="inlineStr">
        <is>
          <t>2005-02-24</t>
        </is>
      </c>
      <c r="V275" t="inlineStr">
        <is>
          <t>2005-02-24</t>
        </is>
      </c>
      <c r="W275" t="inlineStr">
        <is>
          <t>1993-05-25</t>
        </is>
      </c>
      <c r="X275" t="inlineStr">
        <is>
          <t>1993-05-25</t>
        </is>
      </c>
      <c r="Y275" t="n">
        <v>239</v>
      </c>
      <c r="Z275" t="n">
        <v>154</v>
      </c>
      <c r="AA275" t="n">
        <v>161</v>
      </c>
      <c r="AB275" t="n">
        <v>2</v>
      </c>
      <c r="AC275" t="n">
        <v>2</v>
      </c>
      <c r="AD275" t="n">
        <v>7</v>
      </c>
      <c r="AE275" t="n">
        <v>7</v>
      </c>
      <c r="AF275" t="n">
        <v>2</v>
      </c>
      <c r="AG275" t="n">
        <v>2</v>
      </c>
      <c r="AH275" t="n">
        <v>1</v>
      </c>
      <c r="AI275" t="n">
        <v>1</v>
      </c>
      <c r="AJ275" t="n">
        <v>2</v>
      </c>
      <c r="AK275" t="n">
        <v>2</v>
      </c>
      <c r="AL275" t="n">
        <v>2</v>
      </c>
      <c r="AM275" t="n">
        <v>2</v>
      </c>
      <c r="AN275" t="n">
        <v>0</v>
      </c>
      <c r="AO275" t="n">
        <v>0</v>
      </c>
      <c r="AP275" t="inlineStr">
        <is>
          <t>No</t>
        </is>
      </c>
      <c r="AQ275" t="inlineStr">
        <is>
          <t>Yes</t>
        </is>
      </c>
      <c r="AR275">
        <f>HYPERLINK("http://catalog.hathitrust.org/Record/009518796","HathiTrust Record")</f>
        <v/>
      </c>
      <c r="AS275">
        <f>HYPERLINK("https://creighton-primo.hosted.exlibrisgroup.com/primo-explore/search?tab=default_tab&amp;search_scope=EVERYTHING&amp;vid=01CRU&amp;lang=en_US&amp;offset=0&amp;query=any,contains,991004822509702656","Catalog Record")</f>
        <v/>
      </c>
      <c r="AT275">
        <f>HYPERLINK("http://www.worldcat.org/oclc/5336830","WorldCat Record")</f>
        <v/>
      </c>
      <c r="AU275" t="inlineStr">
        <is>
          <t>507755:eng</t>
        </is>
      </c>
      <c r="AV275" t="inlineStr">
        <is>
          <t>5336830</t>
        </is>
      </c>
      <c r="AW275" t="inlineStr">
        <is>
          <t>991004822509702656</t>
        </is>
      </c>
      <c r="AX275" t="inlineStr">
        <is>
          <t>991004822509702656</t>
        </is>
      </c>
      <c r="AY275" t="inlineStr">
        <is>
          <t>2265240330002656</t>
        </is>
      </c>
      <c r="AZ275" t="inlineStr">
        <is>
          <t>BOOK</t>
        </is>
      </c>
      <c r="BB275" t="inlineStr">
        <is>
          <t>9780844813424</t>
        </is>
      </c>
      <c r="BC275" t="inlineStr">
        <is>
          <t>32285001686814</t>
        </is>
      </c>
      <c r="BD275" t="inlineStr">
        <is>
          <t>893344301</t>
        </is>
      </c>
    </row>
    <row r="276">
      <c r="A276" t="inlineStr">
        <is>
          <t>No</t>
        </is>
      </c>
      <c r="B276" t="inlineStr">
        <is>
          <t>QL403 .J72</t>
        </is>
      </c>
      <c r="C276" t="inlineStr">
        <is>
          <t>0                      QL 0403000J  72</t>
        </is>
      </c>
      <c r="D276" t="inlineStr">
        <is>
          <t>An introduction to conchology; or, Elements of the natural history of molluscous animals. By George Johnston.</t>
        </is>
      </c>
      <c r="F276" t="inlineStr">
        <is>
          <t>No</t>
        </is>
      </c>
      <c r="G276" t="inlineStr">
        <is>
          <t>1</t>
        </is>
      </c>
      <c r="H276" t="inlineStr">
        <is>
          <t>No</t>
        </is>
      </c>
      <c r="I276" t="inlineStr">
        <is>
          <t>No</t>
        </is>
      </c>
      <c r="J276" t="inlineStr">
        <is>
          <t>0</t>
        </is>
      </c>
      <c r="K276" t="inlineStr">
        <is>
          <t>Johnston, George, 1797-1855.</t>
        </is>
      </c>
      <c r="L276" t="inlineStr">
        <is>
          <t>London, J. Van Voorst, 1850.</t>
        </is>
      </c>
      <c r="M276" t="inlineStr">
        <is>
          <t>1850</t>
        </is>
      </c>
      <c r="O276" t="inlineStr">
        <is>
          <t>eng</t>
        </is>
      </c>
      <c r="P276" t="inlineStr">
        <is>
          <t xml:space="preserve">xx </t>
        </is>
      </c>
      <c r="R276" t="inlineStr">
        <is>
          <t xml:space="preserve">QL </t>
        </is>
      </c>
      <c r="S276" t="n">
        <v>1</v>
      </c>
      <c r="T276" t="n">
        <v>1</v>
      </c>
      <c r="U276" t="inlineStr">
        <is>
          <t>2001-02-18</t>
        </is>
      </c>
      <c r="V276" t="inlineStr">
        <is>
          <t>2001-02-18</t>
        </is>
      </c>
      <c r="W276" t="inlineStr">
        <is>
          <t>1997-07-23</t>
        </is>
      </c>
      <c r="X276" t="inlineStr">
        <is>
          <t>1997-07-23</t>
        </is>
      </c>
      <c r="Y276" t="n">
        <v>77</v>
      </c>
      <c r="Z276" t="n">
        <v>34</v>
      </c>
      <c r="AA276" t="n">
        <v>86</v>
      </c>
      <c r="AB276" t="n">
        <v>1</v>
      </c>
      <c r="AC276" t="n">
        <v>2</v>
      </c>
      <c r="AD276" t="n">
        <v>0</v>
      </c>
      <c r="AE276" t="n">
        <v>2</v>
      </c>
      <c r="AF276" t="n">
        <v>0</v>
      </c>
      <c r="AG276" t="n">
        <v>0</v>
      </c>
      <c r="AH276" t="n">
        <v>0</v>
      </c>
      <c r="AI276" t="n">
        <v>1</v>
      </c>
      <c r="AJ276" t="n">
        <v>0</v>
      </c>
      <c r="AK276" t="n">
        <v>0</v>
      </c>
      <c r="AL276" t="n">
        <v>0</v>
      </c>
      <c r="AM276" t="n">
        <v>1</v>
      </c>
      <c r="AN276" t="n">
        <v>0</v>
      </c>
      <c r="AO276" t="n">
        <v>0</v>
      </c>
      <c r="AP276" t="inlineStr">
        <is>
          <t>Yes</t>
        </is>
      </c>
      <c r="AQ276" t="inlineStr">
        <is>
          <t>No</t>
        </is>
      </c>
      <c r="AR276">
        <f>HYPERLINK("http://catalog.hathitrust.org/Record/001499525","HathiTrust Record")</f>
        <v/>
      </c>
      <c r="AS276">
        <f>HYPERLINK("https://creighton-primo.hosted.exlibrisgroup.com/primo-explore/search?tab=default_tab&amp;search_scope=EVERYTHING&amp;vid=01CRU&amp;lang=en_US&amp;offset=0&amp;query=any,contains,991003023189702656","Catalog Record")</f>
        <v/>
      </c>
      <c r="AT276">
        <f>HYPERLINK("http://www.worldcat.org/oclc/588055","WorldCat Record")</f>
        <v/>
      </c>
      <c r="AU276" t="inlineStr">
        <is>
          <t>4241261812:eng</t>
        </is>
      </c>
      <c r="AV276" t="inlineStr">
        <is>
          <t>588055</t>
        </is>
      </c>
      <c r="AW276" t="inlineStr">
        <is>
          <t>991003023189702656</t>
        </is>
      </c>
      <c r="AX276" t="inlineStr">
        <is>
          <t>991003023189702656</t>
        </is>
      </c>
      <c r="AY276" t="inlineStr">
        <is>
          <t>2270083050002656</t>
        </is>
      </c>
      <c r="AZ276" t="inlineStr">
        <is>
          <t>BOOK</t>
        </is>
      </c>
      <c r="BC276" t="inlineStr">
        <is>
          <t>32285002980315</t>
        </is>
      </c>
      <c r="BD276" t="inlineStr">
        <is>
          <t>893874336</t>
        </is>
      </c>
    </row>
    <row r="277">
      <c r="A277" t="inlineStr">
        <is>
          <t>No</t>
        </is>
      </c>
      <c r="B277" t="inlineStr">
        <is>
          <t>QL403 .M67 1967</t>
        </is>
      </c>
      <c r="C277" t="inlineStr">
        <is>
          <t>0                      QL 0403000M  67          1967</t>
        </is>
      </c>
      <c r="D277" t="inlineStr">
        <is>
          <t>Molluscs, [by] J. E. Morton.</t>
        </is>
      </c>
      <c r="F277" t="inlineStr">
        <is>
          <t>No</t>
        </is>
      </c>
      <c r="G277" t="inlineStr">
        <is>
          <t>1</t>
        </is>
      </c>
      <c r="H277" t="inlineStr">
        <is>
          <t>No</t>
        </is>
      </c>
      <c r="I277" t="inlineStr">
        <is>
          <t>No</t>
        </is>
      </c>
      <c r="J277" t="inlineStr">
        <is>
          <t>0</t>
        </is>
      </c>
      <c r="K277" t="inlineStr">
        <is>
          <t>Morton, John, 1923-2011.</t>
        </is>
      </c>
      <c r="L277" t="inlineStr">
        <is>
          <t>London, Hutchinson, 1967.</t>
        </is>
      </c>
      <c r="M277" t="inlineStr">
        <is>
          <t>1967</t>
        </is>
      </c>
      <c r="N277" t="inlineStr">
        <is>
          <t>4th (revised) ed.</t>
        </is>
      </c>
      <c r="O277" t="inlineStr">
        <is>
          <t>eng</t>
        </is>
      </c>
      <c r="P277" t="inlineStr">
        <is>
          <t>enk</t>
        </is>
      </c>
      <c r="Q277" t="inlineStr">
        <is>
          <t>Hutchinson university library. Biological sciences</t>
        </is>
      </c>
      <c r="R277" t="inlineStr">
        <is>
          <t xml:space="preserve">QL </t>
        </is>
      </c>
      <c r="S277" t="n">
        <v>5</v>
      </c>
      <c r="T277" t="n">
        <v>5</v>
      </c>
      <c r="U277" t="inlineStr">
        <is>
          <t>2009-02-24</t>
        </is>
      </c>
      <c r="V277" t="inlineStr">
        <is>
          <t>2009-02-24</t>
        </is>
      </c>
      <c r="W277" t="inlineStr">
        <is>
          <t>1997-07-23</t>
        </is>
      </c>
      <c r="X277" t="inlineStr">
        <is>
          <t>1997-07-23</t>
        </is>
      </c>
      <c r="Y277" t="n">
        <v>441</v>
      </c>
      <c r="Z277" t="n">
        <v>348</v>
      </c>
      <c r="AA277" t="n">
        <v>699</v>
      </c>
      <c r="AB277" t="n">
        <v>3</v>
      </c>
      <c r="AC277" t="n">
        <v>5</v>
      </c>
      <c r="AD277" t="n">
        <v>10</v>
      </c>
      <c r="AE277" t="n">
        <v>26</v>
      </c>
      <c r="AF277" t="n">
        <v>3</v>
      </c>
      <c r="AG277" t="n">
        <v>8</v>
      </c>
      <c r="AH277" t="n">
        <v>0</v>
      </c>
      <c r="AI277" t="n">
        <v>4</v>
      </c>
      <c r="AJ277" t="n">
        <v>6</v>
      </c>
      <c r="AK277" t="n">
        <v>14</v>
      </c>
      <c r="AL277" t="n">
        <v>2</v>
      </c>
      <c r="AM277" t="n">
        <v>4</v>
      </c>
      <c r="AN277" t="n">
        <v>0</v>
      </c>
      <c r="AO277" t="n">
        <v>0</v>
      </c>
      <c r="AP277" t="inlineStr">
        <is>
          <t>No</t>
        </is>
      </c>
      <c r="AQ277" t="inlineStr">
        <is>
          <t>Yes</t>
        </is>
      </c>
      <c r="AR277">
        <f>HYPERLINK("http://catalog.hathitrust.org/Record/001499529","HathiTrust Record")</f>
        <v/>
      </c>
      <c r="AS277">
        <f>HYPERLINK("https://creighton-primo.hosted.exlibrisgroup.com/primo-explore/search?tab=default_tab&amp;search_scope=EVERYTHING&amp;vid=01CRU&amp;lang=en_US&amp;offset=0&amp;query=any,contains,991003285269702656","Catalog Record")</f>
        <v/>
      </c>
      <c r="AT277">
        <f>HYPERLINK("http://www.worldcat.org/oclc/807136","WorldCat Record")</f>
        <v/>
      </c>
      <c r="AU277" t="inlineStr">
        <is>
          <t>1636652:eng</t>
        </is>
      </c>
      <c r="AV277" t="inlineStr">
        <is>
          <t>807136</t>
        </is>
      </c>
      <c r="AW277" t="inlineStr">
        <is>
          <t>991003285269702656</t>
        </is>
      </c>
      <c r="AX277" t="inlineStr">
        <is>
          <t>991003285269702656</t>
        </is>
      </c>
      <c r="AY277" t="inlineStr">
        <is>
          <t>2268750770002656</t>
        </is>
      </c>
      <c r="AZ277" t="inlineStr">
        <is>
          <t>BOOK</t>
        </is>
      </c>
      <c r="BC277" t="inlineStr">
        <is>
          <t>32285002980323</t>
        </is>
      </c>
      <c r="BD277" t="inlineStr">
        <is>
          <t>893240052</t>
        </is>
      </c>
    </row>
    <row r="278">
      <c r="A278" t="inlineStr">
        <is>
          <t>No</t>
        </is>
      </c>
      <c r="B278" t="inlineStr">
        <is>
          <t>QL405 .L5313 1978</t>
        </is>
      </c>
      <c r="C278" t="inlineStr">
        <is>
          <t>0                      QL 0405000L  5313        1978</t>
        </is>
      </c>
      <c r="D278" t="inlineStr">
        <is>
          <t>Field guide to seashells of the world / Gert Lindner ; translated and edited by Gwynne Vevers.</t>
        </is>
      </c>
      <c r="F278" t="inlineStr">
        <is>
          <t>No</t>
        </is>
      </c>
      <c r="G278" t="inlineStr">
        <is>
          <t>1</t>
        </is>
      </c>
      <c r="H278" t="inlineStr">
        <is>
          <t>No</t>
        </is>
      </c>
      <c r="I278" t="inlineStr">
        <is>
          <t>No</t>
        </is>
      </c>
      <c r="J278" t="inlineStr">
        <is>
          <t>0</t>
        </is>
      </c>
      <c r="K278" t="inlineStr">
        <is>
          <t>Lindner, Gert.</t>
        </is>
      </c>
      <c r="L278" t="inlineStr">
        <is>
          <t>New York : Van Nostrand Reinhold, 1978, c1977, 1979 printing.</t>
        </is>
      </c>
      <c r="M278" t="inlineStr">
        <is>
          <t>1978</t>
        </is>
      </c>
      <c r="O278" t="inlineStr">
        <is>
          <t>eng</t>
        </is>
      </c>
      <c r="P278" t="inlineStr">
        <is>
          <t>nyu</t>
        </is>
      </c>
      <c r="R278" t="inlineStr">
        <is>
          <t xml:space="preserve">QL </t>
        </is>
      </c>
      <c r="S278" t="n">
        <v>2</v>
      </c>
      <c r="T278" t="n">
        <v>2</v>
      </c>
      <c r="U278" t="inlineStr">
        <is>
          <t>1994-02-16</t>
        </is>
      </c>
      <c r="V278" t="inlineStr">
        <is>
          <t>1994-02-16</t>
        </is>
      </c>
      <c r="W278" t="inlineStr">
        <is>
          <t>1992-07-30</t>
        </is>
      </c>
      <c r="X278" t="inlineStr">
        <is>
          <t>1992-07-30</t>
        </is>
      </c>
      <c r="Y278" t="n">
        <v>426</v>
      </c>
      <c r="Z278" t="n">
        <v>397</v>
      </c>
      <c r="AA278" t="n">
        <v>433</v>
      </c>
      <c r="AB278" t="n">
        <v>2</v>
      </c>
      <c r="AC278" t="n">
        <v>4</v>
      </c>
      <c r="AD278" t="n">
        <v>6</v>
      </c>
      <c r="AE278" t="n">
        <v>6</v>
      </c>
      <c r="AF278" t="n">
        <v>3</v>
      </c>
      <c r="AG278" t="n">
        <v>3</v>
      </c>
      <c r="AH278" t="n">
        <v>2</v>
      </c>
      <c r="AI278" t="n">
        <v>2</v>
      </c>
      <c r="AJ278" t="n">
        <v>2</v>
      </c>
      <c r="AK278" t="n">
        <v>2</v>
      </c>
      <c r="AL278" t="n">
        <v>1</v>
      </c>
      <c r="AM278" t="n">
        <v>1</v>
      </c>
      <c r="AN278" t="n">
        <v>0</v>
      </c>
      <c r="AO278" t="n">
        <v>0</v>
      </c>
      <c r="AP278" t="inlineStr">
        <is>
          <t>No</t>
        </is>
      </c>
      <c r="AQ278" t="inlineStr">
        <is>
          <t>Yes</t>
        </is>
      </c>
      <c r="AR278">
        <f>HYPERLINK("http://catalog.hathitrust.org/Record/008335514","HathiTrust Record")</f>
        <v/>
      </c>
      <c r="AS278">
        <f>HYPERLINK("https://creighton-primo.hosted.exlibrisgroup.com/primo-explore/search?tab=default_tab&amp;search_scope=EVERYTHING&amp;vid=01CRU&amp;lang=en_US&amp;offset=0&amp;query=any,contains,991004425599702656","Catalog Record")</f>
        <v/>
      </c>
      <c r="AT278">
        <f>HYPERLINK("http://www.worldcat.org/oclc/3397185","WorldCat Record")</f>
        <v/>
      </c>
      <c r="AU278" t="inlineStr">
        <is>
          <t>4160588106:eng</t>
        </is>
      </c>
      <c r="AV278" t="inlineStr">
        <is>
          <t>3397185</t>
        </is>
      </c>
      <c r="AW278" t="inlineStr">
        <is>
          <t>991004425599702656</t>
        </is>
      </c>
      <c r="AX278" t="inlineStr">
        <is>
          <t>991004425599702656</t>
        </is>
      </c>
      <c r="AY278" t="inlineStr">
        <is>
          <t>2267073390002656</t>
        </is>
      </c>
      <c r="AZ278" t="inlineStr">
        <is>
          <t>BOOK</t>
        </is>
      </c>
      <c r="BB278" t="inlineStr">
        <is>
          <t>9780442248147</t>
        </is>
      </c>
      <c r="BC278" t="inlineStr">
        <is>
          <t>32285001240141</t>
        </is>
      </c>
      <c r="BD278" t="inlineStr">
        <is>
          <t>893888681</t>
        </is>
      </c>
    </row>
    <row r="279">
      <c r="A279" t="inlineStr">
        <is>
          <t>No</t>
        </is>
      </c>
      <c r="B279" t="inlineStr">
        <is>
          <t>QL41 .A724 1978</t>
        </is>
      </c>
      <c r="C279" t="inlineStr">
        <is>
          <t>0                      QL 0041000A  724         1978</t>
        </is>
      </c>
      <c r="D279" t="inlineStr">
        <is>
          <t>Aristotle's De motu animalium : text with translation, commentary, and interpretive essays / by Martha Craven Nussbaum.</t>
        </is>
      </c>
      <c r="F279" t="inlineStr">
        <is>
          <t>No</t>
        </is>
      </c>
      <c r="G279" t="inlineStr">
        <is>
          <t>1</t>
        </is>
      </c>
      <c r="H279" t="inlineStr">
        <is>
          <t>No</t>
        </is>
      </c>
      <c r="I279" t="inlineStr">
        <is>
          <t>No</t>
        </is>
      </c>
      <c r="J279" t="inlineStr">
        <is>
          <t>0</t>
        </is>
      </c>
      <c r="K279" t="inlineStr">
        <is>
          <t>Aristotle.</t>
        </is>
      </c>
      <c r="L279" t="inlineStr">
        <is>
          <t>Princeton, N.J. : Princeton University Press, 1978.</t>
        </is>
      </c>
      <c r="M279" t="inlineStr">
        <is>
          <t>1978</t>
        </is>
      </c>
      <c r="O279" t="inlineStr">
        <is>
          <t>eng</t>
        </is>
      </c>
      <c r="P279" t="inlineStr">
        <is>
          <t>nju</t>
        </is>
      </c>
      <c r="R279" t="inlineStr">
        <is>
          <t xml:space="preserve">QL </t>
        </is>
      </c>
      <c r="S279" t="n">
        <v>9</v>
      </c>
      <c r="T279" t="n">
        <v>9</v>
      </c>
      <c r="U279" t="inlineStr">
        <is>
          <t>2002-04-09</t>
        </is>
      </c>
      <c r="V279" t="inlineStr">
        <is>
          <t>2002-04-09</t>
        </is>
      </c>
      <c r="W279" t="inlineStr">
        <is>
          <t>1993-05-21</t>
        </is>
      </c>
      <c r="X279" t="inlineStr">
        <is>
          <t>1993-05-21</t>
        </is>
      </c>
      <c r="Y279" t="n">
        <v>544</v>
      </c>
      <c r="Z279" t="n">
        <v>412</v>
      </c>
      <c r="AA279" t="n">
        <v>602</v>
      </c>
      <c r="AB279" t="n">
        <v>4</v>
      </c>
      <c r="AC279" t="n">
        <v>4</v>
      </c>
      <c r="AD279" t="n">
        <v>30</v>
      </c>
      <c r="AE279" t="n">
        <v>35</v>
      </c>
      <c r="AF279" t="n">
        <v>11</v>
      </c>
      <c r="AG279" t="n">
        <v>15</v>
      </c>
      <c r="AH279" t="n">
        <v>9</v>
      </c>
      <c r="AI279" t="n">
        <v>11</v>
      </c>
      <c r="AJ279" t="n">
        <v>18</v>
      </c>
      <c r="AK279" t="n">
        <v>19</v>
      </c>
      <c r="AL279" t="n">
        <v>2</v>
      </c>
      <c r="AM279" t="n">
        <v>2</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HYPERLINK("https://creighton-primo.hosted.exlibrisgroup.com/primo-explore/search?tab=default_tab&amp;search_scope=EVERYTHING&amp;vid=01CRU&amp;lang=en_US&amp;offset=0&amp;query=any,contains,991005371979702656","Catalog Record")</f>
        <v/>
      </c>
      <c r="AT279">
        <f>HYPERLINK("http://www.worldcat.org/oclc/4005791","WorldCat Record")</f>
        <v/>
      </c>
      <c r="AU279" t="inlineStr">
        <is>
          <t>10628485177:eng</t>
        </is>
      </c>
      <c r="AV279" t="inlineStr">
        <is>
          <t>4005791</t>
        </is>
      </c>
      <c r="AW279" t="inlineStr">
        <is>
          <t>991005371979702656</t>
        </is>
      </c>
      <c r="AX279" t="inlineStr">
        <is>
          <t>991005371979702656</t>
        </is>
      </c>
      <c r="AY279" t="inlineStr">
        <is>
          <t>2264286880002656</t>
        </is>
      </c>
      <c r="AZ279" t="inlineStr">
        <is>
          <t>BOOK</t>
        </is>
      </c>
      <c r="BB279" t="inlineStr">
        <is>
          <t>9780691072241</t>
        </is>
      </c>
      <c r="BC279" t="inlineStr">
        <is>
          <t>32285001686053</t>
        </is>
      </c>
      <c r="BD279" t="inlineStr">
        <is>
          <t>893896334</t>
        </is>
      </c>
    </row>
    <row r="280">
      <c r="A280" t="inlineStr">
        <is>
          <t>No</t>
        </is>
      </c>
      <c r="B280" t="inlineStr">
        <is>
          <t>QL41 .A727513 2001</t>
        </is>
      </c>
      <c r="C280" t="inlineStr">
        <is>
          <t>0                      QL 0041000A  727513      2001</t>
        </is>
      </c>
      <c r="D280" t="inlineStr">
        <is>
          <t>On the parts of animals / Aristotle ; translated with a commentary by James G. Lennox.</t>
        </is>
      </c>
      <c r="F280" t="inlineStr">
        <is>
          <t>No</t>
        </is>
      </c>
      <c r="G280" t="inlineStr">
        <is>
          <t>1</t>
        </is>
      </c>
      <c r="H280" t="inlineStr">
        <is>
          <t>No</t>
        </is>
      </c>
      <c r="I280" t="inlineStr">
        <is>
          <t>No</t>
        </is>
      </c>
      <c r="J280" t="inlineStr">
        <is>
          <t>0</t>
        </is>
      </c>
      <c r="K280" t="inlineStr">
        <is>
          <t>Aristotle.</t>
        </is>
      </c>
      <c r="L280" t="inlineStr">
        <is>
          <t>Oxford [England] : Clarendon Press ; New York : Oxford University Press, 2001.</t>
        </is>
      </c>
      <c r="M280" t="inlineStr">
        <is>
          <t>2002</t>
        </is>
      </c>
      <c r="O280" t="inlineStr">
        <is>
          <t>eng</t>
        </is>
      </c>
      <c r="P280" t="inlineStr">
        <is>
          <t>enk</t>
        </is>
      </c>
      <c r="Q280" t="inlineStr">
        <is>
          <t>Clarendon Aristotle series</t>
        </is>
      </c>
      <c r="R280" t="inlineStr">
        <is>
          <t xml:space="preserve">QL </t>
        </is>
      </c>
      <c r="S280" t="n">
        <v>1</v>
      </c>
      <c r="T280" t="n">
        <v>1</v>
      </c>
      <c r="U280" t="inlineStr">
        <is>
          <t>2003-01-21</t>
        </is>
      </c>
      <c r="V280" t="inlineStr">
        <is>
          <t>2003-01-21</t>
        </is>
      </c>
      <c r="W280" t="inlineStr">
        <is>
          <t>2003-01-21</t>
        </is>
      </c>
      <c r="X280" t="inlineStr">
        <is>
          <t>2003-01-21</t>
        </is>
      </c>
      <c r="Y280" t="n">
        <v>250</v>
      </c>
      <c r="Z280" t="n">
        <v>191</v>
      </c>
      <c r="AA280" t="n">
        <v>1658</v>
      </c>
      <c r="AB280" t="n">
        <v>2</v>
      </c>
      <c r="AC280" t="n">
        <v>22</v>
      </c>
      <c r="AD280" t="n">
        <v>10</v>
      </c>
      <c r="AE280" t="n">
        <v>55</v>
      </c>
      <c r="AF280" t="n">
        <v>2</v>
      </c>
      <c r="AG280" t="n">
        <v>19</v>
      </c>
      <c r="AH280" t="n">
        <v>5</v>
      </c>
      <c r="AI280" t="n">
        <v>11</v>
      </c>
      <c r="AJ280" t="n">
        <v>5</v>
      </c>
      <c r="AK280" t="n">
        <v>18</v>
      </c>
      <c r="AL280" t="n">
        <v>1</v>
      </c>
      <c r="AM280" t="n">
        <v>15</v>
      </c>
      <c r="AN280" t="n">
        <v>0</v>
      </c>
      <c r="AO280" t="n">
        <v>1</v>
      </c>
      <c r="AP280" t="inlineStr">
        <is>
          <t>No</t>
        </is>
      </c>
      <c r="AQ280" t="inlineStr">
        <is>
          <t>No</t>
        </is>
      </c>
      <c r="AS280">
        <f>HYPERLINK("https://creighton-primo.hosted.exlibrisgroup.com/primo-explore/search?tab=default_tab&amp;search_scope=EVERYTHING&amp;vid=01CRU&amp;lang=en_US&amp;offset=0&amp;query=any,contains,991003945769702656","Catalog Record")</f>
        <v/>
      </c>
      <c r="AT280">
        <f>HYPERLINK("http://www.worldcat.org/oclc/48588337","WorldCat Record")</f>
        <v/>
      </c>
      <c r="AU280" t="inlineStr">
        <is>
          <t>4915785100:eng</t>
        </is>
      </c>
      <c r="AV280" t="inlineStr">
        <is>
          <t>48588337</t>
        </is>
      </c>
      <c r="AW280" t="inlineStr">
        <is>
          <t>991003945769702656</t>
        </is>
      </c>
      <c r="AX280" t="inlineStr">
        <is>
          <t>991003945769702656</t>
        </is>
      </c>
      <c r="AY280" t="inlineStr">
        <is>
          <t>2257749940002656</t>
        </is>
      </c>
      <c r="AZ280" t="inlineStr">
        <is>
          <t>BOOK</t>
        </is>
      </c>
      <c r="BB280" t="inlineStr">
        <is>
          <t>9780198751090</t>
        </is>
      </c>
      <c r="BC280" t="inlineStr">
        <is>
          <t>32285004694609</t>
        </is>
      </c>
      <c r="BD280" t="inlineStr">
        <is>
          <t>893228713</t>
        </is>
      </c>
    </row>
    <row r="281">
      <c r="A281" t="inlineStr">
        <is>
          <t>No</t>
        </is>
      </c>
      <c r="B281" t="inlineStr">
        <is>
          <t>QL41 .A7413 1991</t>
        </is>
      </c>
      <c r="C281" t="inlineStr">
        <is>
          <t>0                      QL 0041000A  7413        1991</t>
        </is>
      </c>
      <c r="D281" t="inlineStr">
        <is>
          <t>History of animals. Books VII-X / Aristotle ; edited and translated by D.M. Balme.</t>
        </is>
      </c>
      <c r="F281" t="inlineStr">
        <is>
          <t>No</t>
        </is>
      </c>
      <c r="G281" t="inlineStr">
        <is>
          <t>1</t>
        </is>
      </c>
      <c r="H281" t="inlineStr">
        <is>
          <t>No</t>
        </is>
      </c>
      <c r="I281" t="inlineStr">
        <is>
          <t>No</t>
        </is>
      </c>
      <c r="J281" t="inlineStr">
        <is>
          <t>0</t>
        </is>
      </c>
      <c r="K281" t="inlineStr">
        <is>
          <t>Aristotle.</t>
        </is>
      </c>
      <c r="L281" t="inlineStr">
        <is>
          <t>Cambridge, Mass. : Harvard University Press, 1991.</t>
        </is>
      </c>
      <c r="M281" t="inlineStr">
        <is>
          <t>1991</t>
        </is>
      </c>
      <c r="O281" t="inlineStr">
        <is>
          <t>eng</t>
        </is>
      </c>
      <c r="P281" t="inlineStr">
        <is>
          <t>mau</t>
        </is>
      </c>
      <c r="Q281" t="inlineStr">
        <is>
          <t>Loeb classical library ; 439</t>
        </is>
      </c>
      <c r="R281" t="inlineStr">
        <is>
          <t xml:space="preserve">QL </t>
        </is>
      </c>
      <c r="S281" t="n">
        <v>3</v>
      </c>
      <c r="T281" t="n">
        <v>3</v>
      </c>
      <c r="U281" t="inlineStr">
        <is>
          <t>1994-05-15</t>
        </is>
      </c>
      <c r="V281" t="inlineStr">
        <is>
          <t>1994-05-15</t>
        </is>
      </c>
      <c r="W281" t="inlineStr">
        <is>
          <t>1992-03-26</t>
        </is>
      </c>
      <c r="X281" t="inlineStr">
        <is>
          <t>1992-03-26</t>
        </is>
      </c>
      <c r="Y281" t="n">
        <v>413</v>
      </c>
      <c r="Z281" t="n">
        <v>318</v>
      </c>
      <c r="AA281" t="n">
        <v>320</v>
      </c>
      <c r="AB281" t="n">
        <v>3</v>
      </c>
      <c r="AC281" t="n">
        <v>3</v>
      </c>
      <c r="AD281" t="n">
        <v>20</v>
      </c>
      <c r="AE281" t="n">
        <v>20</v>
      </c>
      <c r="AF281" t="n">
        <v>8</v>
      </c>
      <c r="AG281" t="n">
        <v>8</v>
      </c>
      <c r="AH281" t="n">
        <v>8</v>
      </c>
      <c r="AI281" t="n">
        <v>8</v>
      </c>
      <c r="AJ281" t="n">
        <v>9</v>
      </c>
      <c r="AK281" t="n">
        <v>9</v>
      </c>
      <c r="AL281" t="n">
        <v>2</v>
      </c>
      <c r="AM281" t="n">
        <v>2</v>
      </c>
      <c r="AN281" t="n">
        <v>0</v>
      </c>
      <c r="AO281" t="n">
        <v>0</v>
      </c>
      <c r="AP281" t="inlineStr">
        <is>
          <t>No</t>
        </is>
      </c>
      <c r="AQ281" t="inlineStr">
        <is>
          <t>Yes</t>
        </is>
      </c>
      <c r="AR281">
        <f>HYPERLINK("http://catalog.hathitrust.org/Record/101936024","HathiTrust Record")</f>
        <v/>
      </c>
      <c r="AS281">
        <f>HYPERLINK("https://creighton-primo.hosted.exlibrisgroup.com/primo-explore/search?tab=default_tab&amp;search_scope=EVERYTHING&amp;vid=01CRU&amp;lang=en_US&amp;offset=0&amp;query=any,contains,991001903649702656","Catalog Record")</f>
        <v/>
      </c>
      <c r="AT281">
        <f>HYPERLINK("http://www.worldcat.org/oclc/24065350","WorldCat Record")</f>
        <v/>
      </c>
      <c r="AU281" t="inlineStr">
        <is>
          <t>10627744485:eng</t>
        </is>
      </c>
      <c r="AV281" t="inlineStr">
        <is>
          <t>24065350</t>
        </is>
      </c>
      <c r="AW281" t="inlineStr">
        <is>
          <t>991001903649702656</t>
        </is>
      </c>
      <c r="AX281" t="inlineStr">
        <is>
          <t>991001903649702656</t>
        </is>
      </c>
      <c r="AY281" t="inlineStr">
        <is>
          <t>2263978620002656</t>
        </is>
      </c>
      <c r="AZ281" t="inlineStr">
        <is>
          <t>BOOK</t>
        </is>
      </c>
      <c r="BB281" t="inlineStr">
        <is>
          <t>9780674994836</t>
        </is>
      </c>
      <c r="BC281" t="inlineStr">
        <is>
          <t>32285001002970</t>
        </is>
      </c>
      <c r="BD281" t="inlineStr">
        <is>
          <t>893408452</t>
        </is>
      </c>
    </row>
    <row r="282">
      <c r="A282" t="inlineStr">
        <is>
          <t>No</t>
        </is>
      </c>
      <c r="B282" t="inlineStr">
        <is>
          <t>QL41.A717 M67 1982</t>
        </is>
      </c>
      <c r="C282" t="inlineStr">
        <is>
          <t>0                      QL 0041000A  717                M  67          1982</t>
        </is>
      </c>
      <c r="D282" t="inlineStr">
        <is>
          <t>Aristotle On the generation of animals : a philosophical study / Johannes Morsink.</t>
        </is>
      </c>
      <c r="F282" t="inlineStr">
        <is>
          <t>No</t>
        </is>
      </c>
      <c r="G282" t="inlineStr">
        <is>
          <t>1</t>
        </is>
      </c>
      <c r="H282" t="inlineStr">
        <is>
          <t>No</t>
        </is>
      </c>
      <c r="I282" t="inlineStr">
        <is>
          <t>No</t>
        </is>
      </c>
      <c r="J282" t="inlineStr">
        <is>
          <t>0</t>
        </is>
      </c>
      <c r="K282" t="inlineStr">
        <is>
          <t>Morsink, Johannes.</t>
        </is>
      </c>
      <c r="L282" t="inlineStr">
        <is>
          <t>Washington, D.C. : University Press of America, c1982.</t>
        </is>
      </c>
      <c r="M282" t="inlineStr">
        <is>
          <t>1982</t>
        </is>
      </c>
      <c r="O282" t="inlineStr">
        <is>
          <t>eng</t>
        </is>
      </c>
      <c r="P282" t="inlineStr">
        <is>
          <t>dcu</t>
        </is>
      </c>
      <c r="R282" t="inlineStr">
        <is>
          <t xml:space="preserve">QL </t>
        </is>
      </c>
      <c r="S282" t="n">
        <v>2</v>
      </c>
      <c r="T282" t="n">
        <v>2</v>
      </c>
      <c r="U282" t="inlineStr">
        <is>
          <t>1993-09-05</t>
        </is>
      </c>
      <c r="V282" t="inlineStr">
        <is>
          <t>1993-09-05</t>
        </is>
      </c>
      <c r="W282" t="inlineStr">
        <is>
          <t>1993-05-21</t>
        </is>
      </c>
      <c r="X282" t="inlineStr">
        <is>
          <t>1993-05-21</t>
        </is>
      </c>
      <c r="Y282" t="n">
        <v>222</v>
      </c>
      <c r="Z282" t="n">
        <v>168</v>
      </c>
      <c r="AA282" t="n">
        <v>170</v>
      </c>
      <c r="AB282" t="n">
        <v>2</v>
      </c>
      <c r="AC282" t="n">
        <v>2</v>
      </c>
      <c r="AD282" t="n">
        <v>16</v>
      </c>
      <c r="AE282" t="n">
        <v>16</v>
      </c>
      <c r="AF282" t="n">
        <v>3</v>
      </c>
      <c r="AG282" t="n">
        <v>3</v>
      </c>
      <c r="AH282" t="n">
        <v>5</v>
      </c>
      <c r="AI282" t="n">
        <v>5</v>
      </c>
      <c r="AJ282" t="n">
        <v>13</v>
      </c>
      <c r="AK282" t="n">
        <v>13</v>
      </c>
      <c r="AL282" t="n">
        <v>1</v>
      </c>
      <c r="AM282" t="n">
        <v>1</v>
      </c>
      <c r="AN282" t="n">
        <v>0</v>
      </c>
      <c r="AO282" t="n">
        <v>0</v>
      </c>
      <c r="AP282" t="inlineStr">
        <is>
          <t>No</t>
        </is>
      </c>
      <c r="AQ282" t="inlineStr">
        <is>
          <t>Yes</t>
        </is>
      </c>
      <c r="AR282">
        <f>HYPERLINK("http://catalog.hathitrust.org/Record/000117535","HathiTrust Record")</f>
        <v/>
      </c>
      <c r="AS282">
        <f>HYPERLINK("https://creighton-primo.hosted.exlibrisgroup.com/primo-explore/search?tab=default_tab&amp;search_scope=EVERYTHING&amp;vid=01CRU&amp;lang=en_US&amp;offset=0&amp;query=any,contains,991000024269702656","Catalog Record")</f>
        <v/>
      </c>
      <c r="AT282">
        <f>HYPERLINK("http://www.worldcat.org/oclc/8587796","WorldCat Record")</f>
        <v/>
      </c>
      <c r="AU282" t="inlineStr">
        <is>
          <t>431201092:eng</t>
        </is>
      </c>
      <c r="AV282" t="inlineStr">
        <is>
          <t>8587796</t>
        </is>
      </c>
      <c r="AW282" t="inlineStr">
        <is>
          <t>991000024269702656</t>
        </is>
      </c>
      <c r="AX282" t="inlineStr">
        <is>
          <t>991000024269702656</t>
        </is>
      </c>
      <c r="AY282" t="inlineStr">
        <is>
          <t>2259566280002656</t>
        </is>
      </c>
      <c r="AZ282" t="inlineStr">
        <is>
          <t>BOOK</t>
        </is>
      </c>
      <c r="BB282" t="inlineStr">
        <is>
          <t>9780819126078</t>
        </is>
      </c>
      <c r="BC282" t="inlineStr">
        <is>
          <t>32285001686046</t>
        </is>
      </c>
      <c r="BD282" t="inlineStr">
        <is>
          <t>893777609</t>
        </is>
      </c>
    </row>
    <row r="283">
      <c r="A283" t="inlineStr">
        <is>
          <t>No</t>
        </is>
      </c>
      <c r="B283" t="inlineStr">
        <is>
          <t>QL430.2 .A5513</t>
        </is>
      </c>
      <c r="C283" t="inlineStr">
        <is>
          <t>0                      QL 0430200A  5513</t>
        </is>
      </c>
      <c r="D283" t="inlineStr">
        <is>
          <t>Cephalopods of the seas of the U.S.S.R. Golovonogie mollyuski morei SSSR [by] I.I. Akimushkin. Translated from Russian [by A. Mercado].</t>
        </is>
      </c>
      <c r="F283" t="inlineStr">
        <is>
          <t>No</t>
        </is>
      </c>
      <c r="G283" t="inlineStr">
        <is>
          <t>1</t>
        </is>
      </c>
      <c r="H283" t="inlineStr">
        <is>
          <t>No</t>
        </is>
      </c>
      <c r="I283" t="inlineStr">
        <is>
          <t>No</t>
        </is>
      </c>
      <c r="J283" t="inlineStr">
        <is>
          <t>0</t>
        </is>
      </c>
      <c r="K283" t="inlineStr">
        <is>
          <t>Akimushkin, Igorʹ.</t>
        </is>
      </c>
      <c r="L283" t="inlineStr">
        <is>
          <t>Jerusalem, Israel Program for Scientific Translations; [available from U.S. Dept. of Commerce, Clearinghouse for Federal Scientific and Technical Information, Springfield, Va.] 1965.</t>
        </is>
      </c>
      <c r="M283" t="inlineStr">
        <is>
          <t>1965</t>
        </is>
      </c>
      <c r="O283" t="inlineStr">
        <is>
          <t>eng</t>
        </is>
      </c>
      <c r="P283" t="inlineStr">
        <is>
          <t xml:space="preserve">is </t>
        </is>
      </c>
      <c r="R283" t="inlineStr">
        <is>
          <t xml:space="preserve">QL </t>
        </is>
      </c>
      <c r="S283" t="n">
        <v>10</v>
      </c>
      <c r="T283" t="n">
        <v>10</v>
      </c>
      <c r="U283" t="inlineStr">
        <is>
          <t>2009-02-21</t>
        </is>
      </c>
      <c r="V283" t="inlineStr">
        <is>
          <t>2009-02-21</t>
        </is>
      </c>
      <c r="W283" t="inlineStr">
        <is>
          <t>1995-02-28</t>
        </is>
      </c>
      <c r="X283" t="inlineStr">
        <is>
          <t>1995-02-28</t>
        </is>
      </c>
      <c r="Y283" t="n">
        <v>230</v>
      </c>
      <c r="Z283" t="n">
        <v>196</v>
      </c>
      <c r="AA283" t="n">
        <v>198</v>
      </c>
      <c r="AB283" t="n">
        <v>2</v>
      </c>
      <c r="AC283" t="n">
        <v>2</v>
      </c>
      <c r="AD283" t="n">
        <v>7</v>
      </c>
      <c r="AE283" t="n">
        <v>7</v>
      </c>
      <c r="AF283" t="n">
        <v>2</v>
      </c>
      <c r="AG283" t="n">
        <v>2</v>
      </c>
      <c r="AH283" t="n">
        <v>1</v>
      </c>
      <c r="AI283" t="n">
        <v>1</v>
      </c>
      <c r="AJ283" t="n">
        <v>4</v>
      </c>
      <c r="AK283" t="n">
        <v>4</v>
      </c>
      <c r="AL283" t="n">
        <v>1</v>
      </c>
      <c r="AM283" t="n">
        <v>1</v>
      </c>
      <c r="AN283" t="n">
        <v>0</v>
      </c>
      <c r="AO283" t="n">
        <v>0</v>
      </c>
      <c r="AP283" t="inlineStr">
        <is>
          <t>No</t>
        </is>
      </c>
      <c r="AQ283" t="inlineStr">
        <is>
          <t>Yes</t>
        </is>
      </c>
      <c r="AR283">
        <f>HYPERLINK("http://catalog.hathitrust.org/Record/001499679","HathiTrust Record")</f>
        <v/>
      </c>
      <c r="AS283">
        <f>HYPERLINK("https://creighton-primo.hosted.exlibrisgroup.com/primo-explore/search?tab=default_tab&amp;search_scope=EVERYTHING&amp;vid=01CRU&amp;lang=en_US&amp;offset=0&amp;query=any,contains,991002883389702656","Catalog Record")</f>
        <v/>
      </c>
      <c r="AT283">
        <f>HYPERLINK("http://www.worldcat.org/oclc/506978","WorldCat Record")</f>
        <v/>
      </c>
      <c r="AU283" t="inlineStr">
        <is>
          <t>428557508:eng</t>
        </is>
      </c>
      <c r="AV283" t="inlineStr">
        <is>
          <t>506978</t>
        </is>
      </c>
      <c r="AW283" t="inlineStr">
        <is>
          <t>991002883389702656</t>
        </is>
      </c>
      <c r="AX283" t="inlineStr">
        <is>
          <t>991002883389702656</t>
        </is>
      </c>
      <c r="AY283" t="inlineStr">
        <is>
          <t>2259637310002656</t>
        </is>
      </c>
      <c r="AZ283" t="inlineStr">
        <is>
          <t>BOOK</t>
        </is>
      </c>
      <c r="BC283" t="inlineStr">
        <is>
          <t>32285002010691</t>
        </is>
      </c>
      <c r="BD283" t="inlineStr">
        <is>
          <t>893793049</t>
        </is>
      </c>
    </row>
    <row r="284">
      <c r="A284" t="inlineStr">
        <is>
          <t>No</t>
        </is>
      </c>
      <c r="B284" t="inlineStr">
        <is>
          <t>QL430.2 .H37 1996</t>
        </is>
      </c>
      <c r="C284" t="inlineStr">
        <is>
          <t>0                      QL 0430200H  37          1996</t>
        </is>
      </c>
      <c r="D284" t="inlineStr">
        <is>
          <t>Cephalopod behaviour / Roger T. Hanlon, John B. Messenger.</t>
        </is>
      </c>
      <c r="F284" t="inlineStr">
        <is>
          <t>No</t>
        </is>
      </c>
      <c r="G284" t="inlineStr">
        <is>
          <t>1</t>
        </is>
      </c>
      <c r="H284" t="inlineStr">
        <is>
          <t>No</t>
        </is>
      </c>
      <c r="I284" t="inlineStr">
        <is>
          <t>No</t>
        </is>
      </c>
      <c r="J284" t="inlineStr">
        <is>
          <t>0</t>
        </is>
      </c>
      <c r="K284" t="inlineStr">
        <is>
          <t>Hanlon, Roger T.</t>
        </is>
      </c>
      <c r="L284" t="inlineStr">
        <is>
          <t>Cambridge ; New York : University of Cambridge, 1996.</t>
        </is>
      </c>
      <c r="M284" t="inlineStr">
        <is>
          <t>1996</t>
        </is>
      </c>
      <c r="O284" t="inlineStr">
        <is>
          <t>eng</t>
        </is>
      </c>
      <c r="P284" t="inlineStr">
        <is>
          <t>enk</t>
        </is>
      </c>
      <c r="R284" t="inlineStr">
        <is>
          <t xml:space="preserve">QL </t>
        </is>
      </c>
      <c r="S284" t="n">
        <v>16</v>
      </c>
      <c r="T284" t="n">
        <v>16</v>
      </c>
      <c r="U284" t="inlineStr">
        <is>
          <t>2009-03-02</t>
        </is>
      </c>
      <c r="V284" t="inlineStr">
        <is>
          <t>2009-03-02</t>
        </is>
      </c>
      <c r="W284" t="inlineStr">
        <is>
          <t>1996-09-11</t>
        </is>
      </c>
      <c r="X284" t="inlineStr">
        <is>
          <t>1996-09-11</t>
        </is>
      </c>
      <c r="Y284" t="n">
        <v>421</v>
      </c>
      <c r="Z284" t="n">
        <v>333</v>
      </c>
      <c r="AA284" t="n">
        <v>402</v>
      </c>
      <c r="AB284" t="n">
        <v>2</v>
      </c>
      <c r="AC284" t="n">
        <v>2</v>
      </c>
      <c r="AD284" t="n">
        <v>14</v>
      </c>
      <c r="AE284" t="n">
        <v>16</v>
      </c>
      <c r="AF284" t="n">
        <v>4</v>
      </c>
      <c r="AG284" t="n">
        <v>6</v>
      </c>
      <c r="AH284" t="n">
        <v>3</v>
      </c>
      <c r="AI284" t="n">
        <v>3</v>
      </c>
      <c r="AJ284" t="n">
        <v>8</v>
      </c>
      <c r="AK284" t="n">
        <v>10</v>
      </c>
      <c r="AL284" t="n">
        <v>1</v>
      </c>
      <c r="AM284" t="n">
        <v>1</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HYPERLINK("https://creighton-primo.hosted.exlibrisgroup.com/primo-explore/search?tab=default_tab&amp;search_scope=EVERYTHING&amp;vid=01CRU&amp;lang=en_US&amp;offset=0&amp;query=any,contains,991002469119702656","Catalog Record")</f>
        <v/>
      </c>
      <c r="AT284">
        <f>HYPERLINK("http://www.worldcat.org/oclc/32166973","WorldCat Record")</f>
        <v/>
      </c>
      <c r="AU284" t="inlineStr">
        <is>
          <t>27510480:eng</t>
        </is>
      </c>
      <c r="AV284" t="inlineStr">
        <is>
          <t>32166973</t>
        </is>
      </c>
      <c r="AW284" t="inlineStr">
        <is>
          <t>991002469119702656</t>
        </is>
      </c>
      <c r="AX284" t="inlineStr">
        <is>
          <t>991002469119702656</t>
        </is>
      </c>
      <c r="AY284" t="inlineStr">
        <is>
          <t>2266261520002656</t>
        </is>
      </c>
      <c r="AZ284" t="inlineStr">
        <is>
          <t>BOOK</t>
        </is>
      </c>
      <c r="BB284" t="inlineStr">
        <is>
          <t>9780521420839</t>
        </is>
      </c>
      <c r="BC284" t="inlineStr">
        <is>
          <t>32285002317161</t>
        </is>
      </c>
      <c r="BD284" t="inlineStr">
        <is>
          <t>893517323</t>
        </is>
      </c>
    </row>
    <row r="285">
      <c r="A285" t="inlineStr">
        <is>
          <t>No</t>
        </is>
      </c>
      <c r="B285" t="inlineStr">
        <is>
          <t>QL430.2 .W4</t>
        </is>
      </c>
      <c r="C285" t="inlineStr">
        <is>
          <t>0                      QL 0430200W  4</t>
        </is>
      </c>
      <c r="D285" t="inlineStr">
        <is>
          <t>Brain and behaviour in cephalopods.</t>
        </is>
      </c>
      <c r="F285" t="inlineStr">
        <is>
          <t>No</t>
        </is>
      </c>
      <c r="G285" t="inlineStr">
        <is>
          <t>1</t>
        </is>
      </c>
      <c r="H285" t="inlineStr">
        <is>
          <t>No</t>
        </is>
      </c>
      <c r="I285" t="inlineStr">
        <is>
          <t>No</t>
        </is>
      </c>
      <c r="J285" t="inlineStr">
        <is>
          <t>0</t>
        </is>
      </c>
      <c r="K285" t="inlineStr">
        <is>
          <t>Wells, Martin John.</t>
        </is>
      </c>
      <c r="L285" t="inlineStr">
        <is>
          <t>Stanford, Calif., Stanford University Press [1962]</t>
        </is>
      </c>
      <c r="M285" t="inlineStr">
        <is>
          <t>1962</t>
        </is>
      </c>
      <c r="O285" t="inlineStr">
        <is>
          <t>eng</t>
        </is>
      </c>
      <c r="P285" t="inlineStr">
        <is>
          <t>cau</t>
        </is>
      </c>
      <c r="Q285" t="inlineStr">
        <is>
          <t>University biology monographs</t>
        </is>
      </c>
      <c r="R285" t="inlineStr">
        <is>
          <t xml:space="preserve">QL </t>
        </is>
      </c>
      <c r="S285" t="n">
        <v>15</v>
      </c>
      <c r="T285" t="n">
        <v>15</v>
      </c>
      <c r="U285" t="inlineStr">
        <is>
          <t>2009-02-21</t>
        </is>
      </c>
      <c r="V285" t="inlineStr">
        <is>
          <t>2009-02-21</t>
        </is>
      </c>
      <c r="W285" t="inlineStr">
        <is>
          <t>1995-02-28</t>
        </is>
      </c>
      <c r="X285" t="inlineStr">
        <is>
          <t>1995-02-28</t>
        </is>
      </c>
      <c r="Y285" t="n">
        <v>437</v>
      </c>
      <c r="Z285" t="n">
        <v>365</v>
      </c>
      <c r="AA285" t="n">
        <v>377</v>
      </c>
      <c r="AB285" t="n">
        <v>3</v>
      </c>
      <c r="AC285" t="n">
        <v>3</v>
      </c>
      <c r="AD285" t="n">
        <v>18</v>
      </c>
      <c r="AE285" t="n">
        <v>19</v>
      </c>
      <c r="AF285" t="n">
        <v>5</v>
      </c>
      <c r="AG285" t="n">
        <v>5</v>
      </c>
      <c r="AH285" t="n">
        <v>3</v>
      </c>
      <c r="AI285" t="n">
        <v>4</v>
      </c>
      <c r="AJ285" t="n">
        <v>10</v>
      </c>
      <c r="AK285" t="n">
        <v>11</v>
      </c>
      <c r="AL285" t="n">
        <v>2</v>
      </c>
      <c r="AM285" t="n">
        <v>2</v>
      </c>
      <c r="AN285" t="n">
        <v>0</v>
      </c>
      <c r="AO285" t="n">
        <v>0</v>
      </c>
      <c r="AP285" t="inlineStr">
        <is>
          <t>No</t>
        </is>
      </c>
      <c r="AQ285" t="inlineStr">
        <is>
          <t>Yes</t>
        </is>
      </c>
      <c r="AR285">
        <f>HYPERLINK("http://catalog.hathitrust.org/Record/001499684","HathiTrust Record")</f>
        <v/>
      </c>
      <c r="AS285">
        <f>HYPERLINK("https://creighton-primo.hosted.exlibrisgroup.com/primo-explore/search?tab=default_tab&amp;search_scope=EVERYTHING&amp;vid=01CRU&amp;lang=en_US&amp;offset=0&amp;query=any,contains,991002995969702656","Catalog Record")</f>
        <v/>
      </c>
      <c r="AT285">
        <f>HYPERLINK("http://www.worldcat.org/oclc/564338","WorldCat Record")</f>
        <v/>
      </c>
      <c r="AU285" t="inlineStr">
        <is>
          <t>1647478:eng</t>
        </is>
      </c>
      <c r="AV285" t="inlineStr">
        <is>
          <t>564338</t>
        </is>
      </c>
      <c r="AW285" t="inlineStr">
        <is>
          <t>991002995969702656</t>
        </is>
      </c>
      <c r="AX285" t="inlineStr">
        <is>
          <t>991002995969702656</t>
        </is>
      </c>
      <c r="AY285" t="inlineStr">
        <is>
          <t>2256782560002656</t>
        </is>
      </c>
      <c r="AZ285" t="inlineStr">
        <is>
          <t>BOOK</t>
        </is>
      </c>
      <c r="BC285" t="inlineStr">
        <is>
          <t>32285002010683</t>
        </is>
      </c>
      <c r="BD285" t="inlineStr">
        <is>
          <t>893692265</t>
        </is>
      </c>
    </row>
    <row r="286">
      <c r="A286" t="inlineStr">
        <is>
          <t>No</t>
        </is>
      </c>
      <c r="B286" t="inlineStr">
        <is>
          <t>QL430.3.A73 E58 1998</t>
        </is>
      </c>
      <c r="C286" t="inlineStr">
        <is>
          <t>0                      QL 0430300A  73                 E  58          1998</t>
        </is>
      </c>
      <c r="D286" t="inlineStr">
        <is>
          <t>The search for the giant squid / Richard Ellis.</t>
        </is>
      </c>
      <c r="F286" t="inlineStr">
        <is>
          <t>No</t>
        </is>
      </c>
      <c r="G286" t="inlineStr">
        <is>
          <t>1</t>
        </is>
      </c>
      <c r="H286" t="inlineStr">
        <is>
          <t>No</t>
        </is>
      </c>
      <c r="I286" t="inlineStr">
        <is>
          <t>No</t>
        </is>
      </c>
      <c r="J286" t="inlineStr">
        <is>
          <t>0</t>
        </is>
      </c>
      <c r="K286" t="inlineStr">
        <is>
          <t>Ellis, Richard, 1938-</t>
        </is>
      </c>
      <c r="L286" t="inlineStr">
        <is>
          <t>New York, N.Y. : Lyons Press, c1998.</t>
        </is>
      </c>
      <c r="M286" t="inlineStr">
        <is>
          <t>1998</t>
        </is>
      </c>
      <c r="O286" t="inlineStr">
        <is>
          <t>eng</t>
        </is>
      </c>
      <c r="P286" t="inlineStr">
        <is>
          <t>nyu</t>
        </is>
      </c>
      <c r="R286" t="inlineStr">
        <is>
          <t xml:space="preserve">QL </t>
        </is>
      </c>
      <c r="S286" t="n">
        <v>10</v>
      </c>
      <c r="T286" t="n">
        <v>10</v>
      </c>
      <c r="U286" t="inlineStr">
        <is>
          <t>2008-04-30</t>
        </is>
      </c>
      <c r="V286" t="inlineStr">
        <is>
          <t>2008-04-30</t>
        </is>
      </c>
      <c r="W286" t="inlineStr">
        <is>
          <t>1999-07-27</t>
        </is>
      </c>
      <c r="X286" t="inlineStr">
        <is>
          <t>1999-07-27</t>
        </is>
      </c>
      <c r="Y286" t="n">
        <v>758</v>
      </c>
      <c r="Z286" t="n">
        <v>712</v>
      </c>
      <c r="AA286" t="n">
        <v>863</v>
      </c>
      <c r="AB286" t="n">
        <v>6</v>
      </c>
      <c r="AC286" t="n">
        <v>6</v>
      </c>
      <c r="AD286" t="n">
        <v>14</v>
      </c>
      <c r="AE286" t="n">
        <v>16</v>
      </c>
      <c r="AF286" t="n">
        <v>5</v>
      </c>
      <c r="AG286" t="n">
        <v>5</v>
      </c>
      <c r="AH286" t="n">
        <v>2</v>
      </c>
      <c r="AI286" t="n">
        <v>4</v>
      </c>
      <c r="AJ286" t="n">
        <v>6</v>
      </c>
      <c r="AK286" t="n">
        <v>7</v>
      </c>
      <c r="AL286" t="n">
        <v>4</v>
      </c>
      <c r="AM286" t="n">
        <v>4</v>
      </c>
      <c r="AN286" t="n">
        <v>0</v>
      </c>
      <c r="AO286" t="n">
        <v>0</v>
      </c>
      <c r="AP286" t="inlineStr">
        <is>
          <t>No</t>
        </is>
      </c>
      <c r="AQ286" t="inlineStr">
        <is>
          <t>Yes</t>
        </is>
      </c>
      <c r="AR286">
        <f>HYPERLINK("http://catalog.hathitrust.org/Record/008335849","HathiTrust Record")</f>
        <v/>
      </c>
      <c r="AS286">
        <f>HYPERLINK("https://creighton-primo.hosted.exlibrisgroup.com/primo-explore/search?tab=default_tab&amp;search_scope=EVERYTHING&amp;vid=01CRU&amp;lang=en_US&amp;offset=0&amp;query=any,contains,991002903919702656","Catalog Record")</f>
        <v/>
      </c>
      <c r="AT286">
        <f>HYPERLINK("http://www.worldcat.org/oclc/38295200","WorldCat Record")</f>
        <v/>
      </c>
      <c r="AU286" t="inlineStr">
        <is>
          <t>985179:eng</t>
        </is>
      </c>
      <c r="AV286" t="inlineStr">
        <is>
          <t>38295200</t>
        </is>
      </c>
      <c r="AW286" t="inlineStr">
        <is>
          <t>991002903919702656</t>
        </is>
      </c>
      <c r="AX286" t="inlineStr">
        <is>
          <t>991002903919702656</t>
        </is>
      </c>
      <c r="AY286" t="inlineStr">
        <is>
          <t>2263065230002656</t>
        </is>
      </c>
      <c r="AZ286" t="inlineStr">
        <is>
          <t>BOOK</t>
        </is>
      </c>
      <c r="BB286" t="inlineStr">
        <is>
          <t>9781558216891</t>
        </is>
      </c>
      <c r="BC286" t="inlineStr">
        <is>
          <t>32285003579256</t>
        </is>
      </c>
      <c r="BD286" t="inlineStr">
        <is>
          <t>893692145</t>
        </is>
      </c>
    </row>
    <row r="287">
      <c r="A287" t="inlineStr">
        <is>
          <t>No</t>
        </is>
      </c>
      <c r="B287" t="inlineStr">
        <is>
          <t>QL430.4 .R85</t>
        </is>
      </c>
      <c r="C287" t="inlineStr">
        <is>
          <t>0                      QL 0430400R  85</t>
        </is>
      </c>
      <c r="D287" t="inlineStr">
        <is>
          <t>Terrestrial slugs [by] N. W. Runham &amp; P. J. Hunter.</t>
        </is>
      </c>
      <c r="F287" t="inlineStr">
        <is>
          <t>No</t>
        </is>
      </c>
      <c r="G287" t="inlineStr">
        <is>
          <t>1</t>
        </is>
      </c>
      <c r="H287" t="inlineStr">
        <is>
          <t>No</t>
        </is>
      </c>
      <c r="I287" t="inlineStr">
        <is>
          <t>No</t>
        </is>
      </c>
      <c r="J287" t="inlineStr">
        <is>
          <t>0</t>
        </is>
      </c>
      <c r="K287" t="inlineStr">
        <is>
          <t>Runham, N. W. (Norman William)</t>
        </is>
      </c>
      <c r="L287" t="inlineStr">
        <is>
          <t>London, Hutchinson, 1970.</t>
        </is>
      </c>
      <c r="M287" t="inlineStr">
        <is>
          <t>1970</t>
        </is>
      </c>
      <c r="O287" t="inlineStr">
        <is>
          <t>eng</t>
        </is>
      </c>
      <c r="P287" t="inlineStr">
        <is>
          <t>enk</t>
        </is>
      </c>
      <c r="R287" t="inlineStr">
        <is>
          <t xml:space="preserve">QL </t>
        </is>
      </c>
      <c r="S287" t="n">
        <v>4</v>
      </c>
      <c r="T287" t="n">
        <v>4</v>
      </c>
      <c r="U287" t="inlineStr">
        <is>
          <t>2006-03-31</t>
        </is>
      </c>
      <c r="V287" t="inlineStr">
        <is>
          <t>2006-03-31</t>
        </is>
      </c>
      <c r="W287" t="inlineStr">
        <is>
          <t>1997-07-23</t>
        </is>
      </c>
      <c r="X287" t="inlineStr">
        <is>
          <t>1997-07-23</t>
        </is>
      </c>
      <c r="Y287" t="n">
        <v>300</v>
      </c>
      <c r="Z287" t="n">
        <v>181</v>
      </c>
      <c r="AA287" t="n">
        <v>181</v>
      </c>
      <c r="AB287" t="n">
        <v>2</v>
      </c>
      <c r="AC287" t="n">
        <v>2</v>
      </c>
      <c r="AD287" t="n">
        <v>9</v>
      </c>
      <c r="AE287" t="n">
        <v>9</v>
      </c>
      <c r="AF287" t="n">
        <v>4</v>
      </c>
      <c r="AG287" t="n">
        <v>4</v>
      </c>
      <c r="AH287" t="n">
        <v>1</v>
      </c>
      <c r="AI287" t="n">
        <v>1</v>
      </c>
      <c r="AJ287" t="n">
        <v>7</v>
      </c>
      <c r="AK287" t="n">
        <v>7</v>
      </c>
      <c r="AL287" t="n">
        <v>1</v>
      </c>
      <c r="AM287" t="n">
        <v>1</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HYPERLINK("https://creighton-primo.hosted.exlibrisgroup.com/primo-explore/search?tab=default_tab&amp;search_scope=EVERYTHING&amp;vid=01CRU&amp;lang=en_US&amp;offset=0&amp;query=any,contains,991000850479702656","Catalog Record")</f>
        <v/>
      </c>
      <c r="AT287">
        <f>HYPERLINK("http://www.worldcat.org/oclc/149019","WorldCat Record")</f>
        <v/>
      </c>
      <c r="AU287" t="inlineStr">
        <is>
          <t>1336403:eng</t>
        </is>
      </c>
      <c r="AV287" t="inlineStr">
        <is>
          <t>149019</t>
        </is>
      </c>
      <c r="AW287" t="inlineStr">
        <is>
          <t>991000850479702656</t>
        </is>
      </c>
      <c r="AX287" t="inlineStr">
        <is>
          <t>991000850479702656</t>
        </is>
      </c>
      <c r="AY287" t="inlineStr">
        <is>
          <t>2260502160002656</t>
        </is>
      </c>
      <c r="AZ287" t="inlineStr">
        <is>
          <t>BOOK</t>
        </is>
      </c>
      <c r="BB287" t="inlineStr">
        <is>
          <t>9780091056704</t>
        </is>
      </c>
      <c r="BC287" t="inlineStr">
        <is>
          <t>32285002980364</t>
        </is>
      </c>
      <c r="BD287" t="inlineStr">
        <is>
          <t>893714953</t>
        </is>
      </c>
    </row>
    <row r="288">
      <c r="A288" t="inlineStr">
        <is>
          <t>No</t>
        </is>
      </c>
      <c r="B288" t="inlineStr">
        <is>
          <t>QL431 .R3 1966</t>
        </is>
      </c>
      <c r="C288" t="inlineStr">
        <is>
          <t>0                      QL 0431000R  3           1966</t>
        </is>
      </c>
      <c r="D288" t="inlineStr">
        <is>
          <t>Morphogenesis; the analysis of molluscan development, by Chr. P. Raven.</t>
        </is>
      </c>
      <c r="F288" t="inlineStr">
        <is>
          <t>No</t>
        </is>
      </c>
      <c r="G288" t="inlineStr">
        <is>
          <t>1</t>
        </is>
      </c>
      <c r="H288" t="inlineStr">
        <is>
          <t>No</t>
        </is>
      </c>
      <c r="I288" t="inlineStr">
        <is>
          <t>No</t>
        </is>
      </c>
      <c r="J288" t="inlineStr">
        <is>
          <t>0</t>
        </is>
      </c>
      <c r="K288" t="inlineStr">
        <is>
          <t>Raven, Chr. P. (Christiaan Pieter), 1906-2001.</t>
        </is>
      </c>
      <c r="L288" t="inlineStr">
        <is>
          <t>Oxford, New York, Pergamon Press [1966]</t>
        </is>
      </c>
      <c r="M288" t="inlineStr">
        <is>
          <t>1966</t>
        </is>
      </c>
      <c r="N288" t="inlineStr">
        <is>
          <t>[2d ed.]</t>
        </is>
      </c>
      <c r="O288" t="inlineStr">
        <is>
          <t>eng</t>
        </is>
      </c>
      <c r="P288" t="inlineStr">
        <is>
          <t>enk</t>
        </is>
      </c>
      <c r="Q288" t="inlineStr">
        <is>
          <t>International series of monographs on pure and applied biology. Division, Zoology ; v. 2</t>
        </is>
      </c>
      <c r="R288" t="inlineStr">
        <is>
          <t xml:space="preserve">QL </t>
        </is>
      </c>
      <c r="S288" t="n">
        <v>2</v>
      </c>
      <c r="T288" t="n">
        <v>2</v>
      </c>
      <c r="U288" t="inlineStr">
        <is>
          <t>2002-02-26</t>
        </is>
      </c>
      <c r="V288" t="inlineStr">
        <is>
          <t>2002-02-26</t>
        </is>
      </c>
      <c r="W288" t="inlineStr">
        <is>
          <t>1997-07-23</t>
        </is>
      </c>
      <c r="X288" t="inlineStr">
        <is>
          <t>1997-07-23</t>
        </is>
      </c>
      <c r="Y288" t="n">
        <v>302</v>
      </c>
      <c r="Z288" t="n">
        <v>243</v>
      </c>
      <c r="AA288" t="n">
        <v>470</v>
      </c>
      <c r="AB288" t="n">
        <v>3</v>
      </c>
      <c r="AC288" t="n">
        <v>3</v>
      </c>
      <c r="AD288" t="n">
        <v>7</v>
      </c>
      <c r="AE288" t="n">
        <v>21</v>
      </c>
      <c r="AF288" t="n">
        <v>3</v>
      </c>
      <c r="AG288" t="n">
        <v>9</v>
      </c>
      <c r="AH288" t="n">
        <v>1</v>
      </c>
      <c r="AI288" t="n">
        <v>5</v>
      </c>
      <c r="AJ288" t="n">
        <v>3</v>
      </c>
      <c r="AK288" t="n">
        <v>9</v>
      </c>
      <c r="AL288" t="n">
        <v>2</v>
      </c>
      <c r="AM288" t="n">
        <v>2</v>
      </c>
      <c r="AN288" t="n">
        <v>0</v>
      </c>
      <c r="AO288" t="n">
        <v>0</v>
      </c>
      <c r="AP288" t="inlineStr">
        <is>
          <t>No</t>
        </is>
      </c>
      <c r="AQ288" t="inlineStr">
        <is>
          <t>Yes</t>
        </is>
      </c>
      <c r="AR288">
        <f>HYPERLINK("http://catalog.hathitrust.org/Record/001499763","HathiTrust Record")</f>
        <v/>
      </c>
      <c r="AS288">
        <f>HYPERLINK("https://creighton-primo.hosted.exlibrisgroup.com/primo-explore/search?tab=default_tab&amp;search_scope=EVERYTHING&amp;vid=01CRU&amp;lang=en_US&amp;offset=0&amp;query=any,contains,991001157569702656","Catalog Record")</f>
        <v/>
      </c>
      <c r="AT288">
        <f>HYPERLINK("http://www.worldcat.org/oclc/185996","WorldCat Record")</f>
        <v/>
      </c>
      <c r="AU288" t="inlineStr">
        <is>
          <t>5724917:eng</t>
        </is>
      </c>
      <c r="AV288" t="inlineStr">
        <is>
          <t>185996</t>
        </is>
      </c>
      <c r="AW288" t="inlineStr">
        <is>
          <t>991001157569702656</t>
        </is>
      </c>
      <c r="AX288" t="inlineStr">
        <is>
          <t>991001157569702656</t>
        </is>
      </c>
      <c r="AY288" t="inlineStr">
        <is>
          <t>2268973370002656</t>
        </is>
      </c>
      <c r="AZ288" t="inlineStr">
        <is>
          <t>BOOK</t>
        </is>
      </c>
      <c r="BC288" t="inlineStr">
        <is>
          <t>32285002980380</t>
        </is>
      </c>
      <c r="BD288" t="inlineStr">
        <is>
          <t>893334110</t>
        </is>
      </c>
    </row>
    <row r="289">
      <c r="A289" t="inlineStr">
        <is>
          <t>No</t>
        </is>
      </c>
      <c r="B289" t="inlineStr">
        <is>
          <t>QL431 .W58</t>
        </is>
      </c>
      <c r="C289" t="inlineStr">
        <is>
          <t>0                      QL 0431000W  58</t>
        </is>
      </c>
      <c r="D289" t="inlineStr">
        <is>
          <t>Physiology of Mollusca. Edited by Karl M. Wilbur [and] C.M. Yonge.</t>
        </is>
      </c>
      <c r="E289" t="inlineStr">
        <is>
          <t>V.1</t>
        </is>
      </c>
      <c r="F289" t="inlineStr">
        <is>
          <t>Yes</t>
        </is>
      </c>
      <c r="G289" t="inlineStr">
        <is>
          <t>1</t>
        </is>
      </c>
      <c r="H289" t="inlineStr">
        <is>
          <t>No</t>
        </is>
      </c>
      <c r="I289" t="inlineStr">
        <is>
          <t>No</t>
        </is>
      </c>
      <c r="J289" t="inlineStr">
        <is>
          <t>0</t>
        </is>
      </c>
      <c r="K289" t="inlineStr">
        <is>
          <t>Wilbur, Karl M. editor.</t>
        </is>
      </c>
      <c r="L289" t="inlineStr">
        <is>
          <t>New York, Academic Press, 1964-66.</t>
        </is>
      </c>
      <c r="M289" t="inlineStr">
        <is>
          <t>1964</t>
        </is>
      </c>
      <c r="O289" t="inlineStr">
        <is>
          <t>eng</t>
        </is>
      </c>
      <c r="P289" t="inlineStr">
        <is>
          <t>nyu</t>
        </is>
      </c>
      <c r="R289" t="inlineStr">
        <is>
          <t xml:space="preserve">QL </t>
        </is>
      </c>
      <c r="S289" t="n">
        <v>6</v>
      </c>
      <c r="T289" t="n">
        <v>12</v>
      </c>
      <c r="U289" t="inlineStr">
        <is>
          <t>2006-02-17</t>
        </is>
      </c>
      <c r="V289" t="inlineStr">
        <is>
          <t>2006-02-17</t>
        </is>
      </c>
      <c r="W289" t="inlineStr">
        <is>
          <t>1997-07-23</t>
        </is>
      </c>
      <c r="X289" t="inlineStr">
        <is>
          <t>1997-07-23</t>
        </is>
      </c>
      <c r="Y289" t="n">
        <v>764</v>
      </c>
      <c r="Z289" t="n">
        <v>601</v>
      </c>
      <c r="AA289" t="n">
        <v>620</v>
      </c>
      <c r="AB289" t="n">
        <v>5</v>
      </c>
      <c r="AC289" t="n">
        <v>5</v>
      </c>
      <c r="AD289" t="n">
        <v>24</v>
      </c>
      <c r="AE289" t="n">
        <v>26</v>
      </c>
      <c r="AF289" t="n">
        <v>12</v>
      </c>
      <c r="AG289" t="n">
        <v>13</v>
      </c>
      <c r="AH289" t="n">
        <v>4</v>
      </c>
      <c r="AI289" t="n">
        <v>5</v>
      </c>
      <c r="AJ289" t="n">
        <v>11</v>
      </c>
      <c r="AK289" t="n">
        <v>11</v>
      </c>
      <c r="AL289" t="n">
        <v>4</v>
      </c>
      <c r="AM289" t="n">
        <v>4</v>
      </c>
      <c r="AN289" t="n">
        <v>0</v>
      </c>
      <c r="AO289" t="n">
        <v>0</v>
      </c>
      <c r="AP289" t="inlineStr">
        <is>
          <t>No</t>
        </is>
      </c>
      <c r="AQ289" t="inlineStr">
        <is>
          <t>Yes</t>
        </is>
      </c>
      <c r="AR289">
        <f>HYPERLINK("http://catalog.hathitrust.org/Record/001499768","HathiTrust Record")</f>
        <v/>
      </c>
      <c r="AS289">
        <f>HYPERLINK("https://creighton-primo.hosted.exlibrisgroup.com/primo-explore/search?tab=default_tab&amp;search_scope=EVERYTHING&amp;vid=01CRU&amp;lang=en_US&amp;offset=0&amp;query=any,contains,991001379719702656","Catalog Record")</f>
        <v/>
      </c>
      <c r="AT289">
        <f>HYPERLINK("http://www.worldcat.org/oclc/225922","WorldCat Record")</f>
        <v/>
      </c>
      <c r="AU289" t="inlineStr">
        <is>
          <t>8907742030:eng</t>
        </is>
      </c>
      <c r="AV289" t="inlineStr">
        <is>
          <t>225922</t>
        </is>
      </c>
      <c r="AW289" t="inlineStr">
        <is>
          <t>991001379719702656</t>
        </is>
      </c>
      <c r="AX289" t="inlineStr">
        <is>
          <t>991001379719702656</t>
        </is>
      </c>
      <c r="AY289" t="inlineStr">
        <is>
          <t>2263088190002656</t>
        </is>
      </c>
      <c r="AZ289" t="inlineStr">
        <is>
          <t>BOOK</t>
        </is>
      </c>
      <c r="BC289" t="inlineStr">
        <is>
          <t>32285002980398</t>
        </is>
      </c>
      <c r="BD289" t="inlineStr">
        <is>
          <t>893420277</t>
        </is>
      </c>
    </row>
    <row r="290">
      <c r="A290" t="inlineStr">
        <is>
          <t>No</t>
        </is>
      </c>
      <c r="B290" t="inlineStr">
        <is>
          <t>QL431 .W58</t>
        </is>
      </c>
      <c r="C290" t="inlineStr">
        <is>
          <t>0                      QL 0431000W  58</t>
        </is>
      </c>
      <c r="D290" t="inlineStr">
        <is>
          <t>Physiology of Mollusca. Edited by Karl M. Wilbur [and] C.M. Yonge.</t>
        </is>
      </c>
      <c r="E290" t="inlineStr">
        <is>
          <t>V.2</t>
        </is>
      </c>
      <c r="F290" t="inlineStr">
        <is>
          <t>Yes</t>
        </is>
      </c>
      <c r="G290" t="inlineStr">
        <is>
          <t>1</t>
        </is>
      </c>
      <c r="H290" t="inlineStr">
        <is>
          <t>No</t>
        </is>
      </c>
      <c r="I290" t="inlineStr">
        <is>
          <t>No</t>
        </is>
      </c>
      <c r="J290" t="inlineStr">
        <is>
          <t>0</t>
        </is>
      </c>
      <c r="K290" t="inlineStr">
        <is>
          <t>Wilbur, Karl M. editor.</t>
        </is>
      </c>
      <c r="L290" t="inlineStr">
        <is>
          <t>New York, Academic Press, 1964-66.</t>
        </is>
      </c>
      <c r="M290" t="inlineStr">
        <is>
          <t>1964</t>
        </is>
      </c>
      <c r="O290" t="inlineStr">
        <is>
          <t>eng</t>
        </is>
      </c>
      <c r="P290" t="inlineStr">
        <is>
          <t>nyu</t>
        </is>
      </c>
      <c r="R290" t="inlineStr">
        <is>
          <t xml:space="preserve">QL </t>
        </is>
      </c>
      <c r="S290" t="n">
        <v>6</v>
      </c>
      <c r="T290" t="n">
        <v>12</v>
      </c>
      <c r="U290" t="inlineStr">
        <is>
          <t>2005-10-04</t>
        </is>
      </c>
      <c r="V290" t="inlineStr">
        <is>
          <t>2006-02-17</t>
        </is>
      </c>
      <c r="W290" t="inlineStr">
        <is>
          <t>1997-07-23</t>
        </is>
      </c>
      <c r="X290" t="inlineStr">
        <is>
          <t>1997-07-23</t>
        </is>
      </c>
      <c r="Y290" t="n">
        <v>764</v>
      </c>
      <c r="Z290" t="n">
        <v>601</v>
      </c>
      <c r="AA290" t="n">
        <v>620</v>
      </c>
      <c r="AB290" t="n">
        <v>5</v>
      </c>
      <c r="AC290" t="n">
        <v>5</v>
      </c>
      <c r="AD290" t="n">
        <v>24</v>
      </c>
      <c r="AE290" t="n">
        <v>26</v>
      </c>
      <c r="AF290" t="n">
        <v>12</v>
      </c>
      <c r="AG290" t="n">
        <v>13</v>
      </c>
      <c r="AH290" t="n">
        <v>4</v>
      </c>
      <c r="AI290" t="n">
        <v>5</v>
      </c>
      <c r="AJ290" t="n">
        <v>11</v>
      </c>
      <c r="AK290" t="n">
        <v>11</v>
      </c>
      <c r="AL290" t="n">
        <v>4</v>
      </c>
      <c r="AM290" t="n">
        <v>4</v>
      </c>
      <c r="AN290" t="n">
        <v>0</v>
      </c>
      <c r="AO290" t="n">
        <v>0</v>
      </c>
      <c r="AP290" t="inlineStr">
        <is>
          <t>No</t>
        </is>
      </c>
      <c r="AQ290" t="inlineStr">
        <is>
          <t>Yes</t>
        </is>
      </c>
      <c r="AR290">
        <f>HYPERLINK("http://catalog.hathitrust.org/Record/001499768","HathiTrust Record")</f>
        <v/>
      </c>
      <c r="AS290">
        <f>HYPERLINK("https://creighton-primo.hosted.exlibrisgroup.com/primo-explore/search?tab=default_tab&amp;search_scope=EVERYTHING&amp;vid=01CRU&amp;lang=en_US&amp;offset=0&amp;query=any,contains,991001379719702656","Catalog Record")</f>
        <v/>
      </c>
      <c r="AT290">
        <f>HYPERLINK("http://www.worldcat.org/oclc/225922","WorldCat Record")</f>
        <v/>
      </c>
      <c r="AU290" t="inlineStr">
        <is>
          <t>8907742030:eng</t>
        </is>
      </c>
      <c r="AV290" t="inlineStr">
        <is>
          <t>225922</t>
        </is>
      </c>
      <c r="AW290" t="inlineStr">
        <is>
          <t>991001379719702656</t>
        </is>
      </c>
      <c r="AX290" t="inlineStr">
        <is>
          <t>991001379719702656</t>
        </is>
      </c>
      <c r="AY290" t="inlineStr">
        <is>
          <t>2263088190002656</t>
        </is>
      </c>
      <c r="AZ290" t="inlineStr">
        <is>
          <t>BOOK</t>
        </is>
      </c>
      <c r="BC290" t="inlineStr">
        <is>
          <t>32285002980406</t>
        </is>
      </c>
      <c r="BD290" t="inlineStr">
        <is>
          <t>893439095</t>
        </is>
      </c>
    </row>
    <row r="291">
      <c r="A291" t="inlineStr">
        <is>
          <t>No</t>
        </is>
      </c>
      <c r="B291" t="inlineStr">
        <is>
          <t>QL434 .C34 1965</t>
        </is>
      </c>
      <c r="C291" t="inlineStr">
        <is>
          <t>0                      QL 0434000C  34          1965</t>
        </is>
      </c>
      <c r="D291" t="inlineStr">
        <is>
          <t>The behaviour of arthropods / by J. D. Carthy.</t>
        </is>
      </c>
      <c r="F291" t="inlineStr">
        <is>
          <t>No</t>
        </is>
      </c>
      <c r="G291" t="inlineStr">
        <is>
          <t>1</t>
        </is>
      </c>
      <c r="H291" t="inlineStr">
        <is>
          <t>No</t>
        </is>
      </c>
      <c r="I291" t="inlineStr">
        <is>
          <t>No</t>
        </is>
      </c>
      <c r="J291" t="inlineStr">
        <is>
          <t>0</t>
        </is>
      </c>
      <c r="K291" t="inlineStr">
        <is>
          <t>Carthy, J. D. (John Dennis), 1923-1972.</t>
        </is>
      </c>
      <c r="L291" t="inlineStr">
        <is>
          <t>San Francisco : W. H. Freeman, [1965]</t>
        </is>
      </c>
      <c r="M291" t="inlineStr">
        <is>
          <t>1965</t>
        </is>
      </c>
      <c r="O291" t="inlineStr">
        <is>
          <t>eng</t>
        </is>
      </c>
      <c r="P291" t="inlineStr">
        <is>
          <t>cau</t>
        </is>
      </c>
      <c r="Q291" t="inlineStr">
        <is>
          <t>University reviews in biology</t>
        </is>
      </c>
      <c r="R291" t="inlineStr">
        <is>
          <t xml:space="preserve">QL </t>
        </is>
      </c>
      <c r="S291" t="n">
        <v>6</v>
      </c>
      <c r="T291" t="n">
        <v>6</v>
      </c>
      <c r="U291" t="inlineStr">
        <is>
          <t>2008-01-31</t>
        </is>
      </c>
      <c r="V291" t="inlineStr">
        <is>
          <t>2008-01-31</t>
        </is>
      </c>
      <c r="W291" t="inlineStr">
        <is>
          <t>1994-02-24</t>
        </is>
      </c>
      <c r="X291" t="inlineStr">
        <is>
          <t>1994-02-24</t>
        </is>
      </c>
      <c r="Y291" t="n">
        <v>559</v>
      </c>
      <c r="Z291" t="n">
        <v>508</v>
      </c>
      <c r="AA291" t="n">
        <v>634</v>
      </c>
      <c r="AB291" t="n">
        <v>5</v>
      </c>
      <c r="AC291" t="n">
        <v>6</v>
      </c>
      <c r="AD291" t="n">
        <v>20</v>
      </c>
      <c r="AE291" t="n">
        <v>23</v>
      </c>
      <c r="AF291" t="n">
        <v>7</v>
      </c>
      <c r="AG291" t="n">
        <v>7</v>
      </c>
      <c r="AH291" t="n">
        <v>4</v>
      </c>
      <c r="AI291" t="n">
        <v>5</v>
      </c>
      <c r="AJ291" t="n">
        <v>10</v>
      </c>
      <c r="AK291" t="n">
        <v>11</v>
      </c>
      <c r="AL291" t="n">
        <v>4</v>
      </c>
      <c r="AM291" t="n">
        <v>5</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HYPERLINK("https://creighton-primo.hosted.exlibrisgroup.com/primo-explore/search?tab=default_tab&amp;search_scope=EVERYTHING&amp;vid=01CRU&amp;lang=en_US&amp;offset=0&amp;query=any,contains,991002985059702656","Catalog Record")</f>
        <v/>
      </c>
      <c r="AT291">
        <f>HYPERLINK("http://www.worldcat.org/oclc/557139","WorldCat Record")</f>
        <v/>
      </c>
      <c r="AU291" t="inlineStr">
        <is>
          <t>478023371:eng</t>
        </is>
      </c>
      <c r="AV291" t="inlineStr">
        <is>
          <t>557139</t>
        </is>
      </c>
      <c r="AW291" t="inlineStr">
        <is>
          <t>991002985059702656</t>
        </is>
      </c>
      <c r="AX291" t="inlineStr">
        <is>
          <t>991002985059702656</t>
        </is>
      </c>
      <c r="AY291" t="inlineStr">
        <is>
          <t>2261268230002656</t>
        </is>
      </c>
      <c r="AZ291" t="inlineStr">
        <is>
          <t>BOOK</t>
        </is>
      </c>
      <c r="BC291" t="inlineStr">
        <is>
          <t>32285001850089</t>
        </is>
      </c>
      <c r="BD291" t="inlineStr">
        <is>
          <t>893592045</t>
        </is>
      </c>
    </row>
    <row r="292">
      <c r="A292" t="inlineStr">
        <is>
          <t>No</t>
        </is>
      </c>
      <c r="B292" t="inlineStr">
        <is>
          <t>QL434 .C54 1973b</t>
        </is>
      </c>
      <c r="C292" t="inlineStr">
        <is>
          <t>0                      QL 0434000C  54          1973b</t>
        </is>
      </c>
      <c r="D292" t="inlineStr">
        <is>
          <t>The biology of the Arthropoda / [by] Kenneth U. Clarke.</t>
        </is>
      </c>
      <c r="F292" t="inlineStr">
        <is>
          <t>No</t>
        </is>
      </c>
      <c r="G292" t="inlineStr">
        <is>
          <t>1</t>
        </is>
      </c>
      <c r="H292" t="inlineStr">
        <is>
          <t>No</t>
        </is>
      </c>
      <c r="I292" t="inlineStr">
        <is>
          <t>No</t>
        </is>
      </c>
      <c r="J292" t="inlineStr">
        <is>
          <t>0</t>
        </is>
      </c>
      <c r="K292" t="inlineStr">
        <is>
          <t>Clarke, Kenneth U. (Kenneth Upex)</t>
        </is>
      </c>
      <c r="L292" t="inlineStr">
        <is>
          <t>New York : American Elsevier Pub. Co., [1973]</t>
        </is>
      </c>
      <c r="M292" t="inlineStr">
        <is>
          <t>1973</t>
        </is>
      </c>
      <c r="O292" t="inlineStr">
        <is>
          <t>eng</t>
        </is>
      </c>
      <c r="P292" t="inlineStr">
        <is>
          <t>nyu</t>
        </is>
      </c>
      <c r="Q292" t="inlineStr">
        <is>
          <t>Contemporary biology</t>
        </is>
      </c>
      <c r="R292" t="inlineStr">
        <is>
          <t xml:space="preserve">QL </t>
        </is>
      </c>
      <c r="S292" t="n">
        <v>3</v>
      </c>
      <c r="T292" t="n">
        <v>3</v>
      </c>
      <c r="U292" t="inlineStr">
        <is>
          <t>1995-02-15</t>
        </is>
      </c>
      <c r="V292" t="inlineStr">
        <is>
          <t>1995-02-15</t>
        </is>
      </c>
      <c r="W292" t="inlineStr">
        <is>
          <t>1994-06-01</t>
        </is>
      </c>
      <c r="X292" t="inlineStr">
        <is>
          <t>1994-06-01</t>
        </is>
      </c>
      <c r="Y292" t="n">
        <v>485</v>
      </c>
      <c r="Z292" t="n">
        <v>467</v>
      </c>
      <c r="AA292" t="n">
        <v>582</v>
      </c>
      <c r="AB292" t="n">
        <v>6</v>
      </c>
      <c r="AC292" t="n">
        <v>7</v>
      </c>
      <c r="AD292" t="n">
        <v>26</v>
      </c>
      <c r="AE292" t="n">
        <v>29</v>
      </c>
      <c r="AF292" t="n">
        <v>10</v>
      </c>
      <c r="AG292" t="n">
        <v>11</v>
      </c>
      <c r="AH292" t="n">
        <v>4</v>
      </c>
      <c r="AI292" t="n">
        <v>5</v>
      </c>
      <c r="AJ292" t="n">
        <v>12</v>
      </c>
      <c r="AK292" t="n">
        <v>13</v>
      </c>
      <c r="AL292" t="n">
        <v>5</v>
      </c>
      <c r="AM292" t="n">
        <v>6</v>
      </c>
      <c r="AN292" t="n">
        <v>0</v>
      </c>
      <c r="AO292" t="n">
        <v>0</v>
      </c>
      <c r="AP292" t="inlineStr">
        <is>
          <t>No</t>
        </is>
      </c>
      <c r="AQ292" t="inlineStr">
        <is>
          <t>Yes</t>
        </is>
      </c>
      <c r="AR292">
        <f>HYPERLINK("http://catalog.hathitrust.org/Record/001499775","HathiTrust Record")</f>
        <v/>
      </c>
      <c r="AS292">
        <f>HYPERLINK("https://creighton-primo.hosted.exlibrisgroup.com/primo-explore/search?tab=default_tab&amp;search_scope=EVERYTHING&amp;vid=01CRU&amp;lang=en_US&amp;offset=0&amp;query=any,contains,991003274149702656","Catalog Record")</f>
        <v/>
      </c>
      <c r="AT292">
        <f>HYPERLINK("http://www.worldcat.org/oclc/798929","WorldCat Record")</f>
        <v/>
      </c>
      <c r="AU292" t="inlineStr">
        <is>
          <t>1779226:eng</t>
        </is>
      </c>
      <c r="AV292" t="inlineStr">
        <is>
          <t>798929</t>
        </is>
      </c>
      <c r="AW292" t="inlineStr">
        <is>
          <t>991003274149702656</t>
        </is>
      </c>
      <c r="AX292" t="inlineStr">
        <is>
          <t>991003274149702656</t>
        </is>
      </c>
      <c r="AY292" t="inlineStr">
        <is>
          <t>2261330290002656</t>
        </is>
      </c>
      <c r="AZ292" t="inlineStr">
        <is>
          <t>BOOK</t>
        </is>
      </c>
      <c r="BB292" t="inlineStr">
        <is>
          <t>9780444195593</t>
        </is>
      </c>
      <c r="BC292" t="inlineStr">
        <is>
          <t>32285001913697</t>
        </is>
      </c>
      <c r="BD292" t="inlineStr">
        <is>
          <t>893531038</t>
        </is>
      </c>
    </row>
    <row r="293">
      <c r="A293" t="inlineStr">
        <is>
          <t>No</t>
        </is>
      </c>
      <c r="B293" t="inlineStr">
        <is>
          <t>QL434 .M36</t>
        </is>
      </c>
      <c r="C293" t="inlineStr">
        <is>
          <t>0                      QL 0434000M  36</t>
        </is>
      </c>
      <c r="D293" t="inlineStr">
        <is>
          <t>The arthropoda : habits, functional morphology, and evolution / S. M. Manton.</t>
        </is>
      </c>
      <c r="F293" t="inlineStr">
        <is>
          <t>No</t>
        </is>
      </c>
      <c r="G293" t="inlineStr">
        <is>
          <t>1</t>
        </is>
      </c>
      <c r="H293" t="inlineStr">
        <is>
          <t>No</t>
        </is>
      </c>
      <c r="I293" t="inlineStr">
        <is>
          <t>No</t>
        </is>
      </c>
      <c r="J293" t="inlineStr">
        <is>
          <t>0</t>
        </is>
      </c>
      <c r="K293" t="inlineStr">
        <is>
          <t>Manton, S. M. (Sidnie Milana), 1902-1979.</t>
        </is>
      </c>
      <c r="L293" t="inlineStr">
        <is>
          <t>Oxford [Eng.] : Clarendon Press, 1977.</t>
        </is>
      </c>
      <c r="M293" t="inlineStr">
        <is>
          <t>1977</t>
        </is>
      </c>
      <c r="O293" t="inlineStr">
        <is>
          <t>eng</t>
        </is>
      </c>
      <c r="P293" t="inlineStr">
        <is>
          <t>enk</t>
        </is>
      </c>
      <c r="R293" t="inlineStr">
        <is>
          <t xml:space="preserve">QL </t>
        </is>
      </c>
      <c r="S293" t="n">
        <v>8</v>
      </c>
      <c r="T293" t="n">
        <v>8</v>
      </c>
      <c r="U293" t="inlineStr">
        <is>
          <t>2008-01-31</t>
        </is>
      </c>
      <c r="V293" t="inlineStr">
        <is>
          <t>2008-01-31</t>
        </is>
      </c>
      <c r="W293" t="inlineStr">
        <is>
          <t>1993-05-26</t>
        </is>
      </c>
      <c r="X293" t="inlineStr">
        <is>
          <t>1993-05-26</t>
        </is>
      </c>
      <c r="Y293" t="n">
        <v>598</v>
      </c>
      <c r="Z293" t="n">
        <v>424</v>
      </c>
      <c r="AA293" t="n">
        <v>425</v>
      </c>
      <c r="AB293" t="n">
        <v>6</v>
      </c>
      <c r="AC293" t="n">
        <v>6</v>
      </c>
      <c r="AD293" t="n">
        <v>25</v>
      </c>
      <c r="AE293" t="n">
        <v>25</v>
      </c>
      <c r="AF293" t="n">
        <v>8</v>
      </c>
      <c r="AG293" t="n">
        <v>8</v>
      </c>
      <c r="AH293" t="n">
        <v>7</v>
      </c>
      <c r="AI293" t="n">
        <v>7</v>
      </c>
      <c r="AJ293" t="n">
        <v>12</v>
      </c>
      <c r="AK293" t="n">
        <v>12</v>
      </c>
      <c r="AL293" t="n">
        <v>5</v>
      </c>
      <c r="AM293" t="n">
        <v>5</v>
      </c>
      <c r="AN293" t="n">
        <v>0</v>
      </c>
      <c r="AO293" t="n">
        <v>0</v>
      </c>
      <c r="AP293" t="inlineStr">
        <is>
          <t>No</t>
        </is>
      </c>
      <c r="AQ293" t="inlineStr">
        <is>
          <t>Yes</t>
        </is>
      </c>
      <c r="AR293">
        <f>HYPERLINK("http://catalog.hathitrust.org/Record/000735197","HathiTrust Record")</f>
        <v/>
      </c>
      <c r="AS293">
        <f>HYPERLINK("https://creighton-primo.hosted.exlibrisgroup.com/primo-explore/search?tab=default_tab&amp;search_scope=EVERYTHING&amp;vid=01CRU&amp;lang=en_US&amp;offset=0&amp;query=any,contains,991004277359702656","Catalog Record")</f>
        <v/>
      </c>
      <c r="AT293">
        <f>HYPERLINK("http://www.worldcat.org/oclc/2896202","WorldCat Record")</f>
        <v/>
      </c>
      <c r="AU293" t="inlineStr">
        <is>
          <t>899617712:eng</t>
        </is>
      </c>
      <c r="AV293" t="inlineStr">
        <is>
          <t>2896202</t>
        </is>
      </c>
      <c r="AW293" t="inlineStr">
        <is>
          <t>991004277359702656</t>
        </is>
      </c>
      <c r="AX293" t="inlineStr">
        <is>
          <t>991004277359702656</t>
        </is>
      </c>
      <c r="AY293" t="inlineStr">
        <is>
          <t>2256320090002656</t>
        </is>
      </c>
      <c r="AZ293" t="inlineStr">
        <is>
          <t>BOOK</t>
        </is>
      </c>
      <c r="BB293" t="inlineStr">
        <is>
          <t>9780198573913</t>
        </is>
      </c>
      <c r="BC293" t="inlineStr">
        <is>
          <t>32285001686830</t>
        </is>
      </c>
      <c r="BD293" t="inlineStr">
        <is>
          <t>893519455</t>
        </is>
      </c>
    </row>
    <row r="294">
      <c r="A294" t="inlineStr">
        <is>
          <t>No</t>
        </is>
      </c>
      <c r="B294" t="inlineStr">
        <is>
          <t>QL434.35 .A77 1979</t>
        </is>
      </c>
      <c r="C294" t="inlineStr">
        <is>
          <t>0                      QL 0434350A  77          1979</t>
        </is>
      </c>
      <c r="D294" t="inlineStr">
        <is>
          <t>Arthropod phylogeny / edited by A. P. Gupta.</t>
        </is>
      </c>
      <c r="F294" t="inlineStr">
        <is>
          <t>No</t>
        </is>
      </c>
      <c r="G294" t="inlineStr">
        <is>
          <t>1</t>
        </is>
      </c>
      <c r="H294" t="inlineStr">
        <is>
          <t>No</t>
        </is>
      </c>
      <c r="I294" t="inlineStr">
        <is>
          <t>No</t>
        </is>
      </c>
      <c r="J294" t="inlineStr">
        <is>
          <t>0</t>
        </is>
      </c>
      <c r="L294" t="inlineStr">
        <is>
          <t>New York : Van Nostrand Reinhold, c1979.</t>
        </is>
      </c>
      <c r="M294" t="inlineStr">
        <is>
          <t>1979</t>
        </is>
      </c>
      <c r="O294" t="inlineStr">
        <is>
          <t>eng</t>
        </is>
      </c>
      <c r="P294" t="inlineStr">
        <is>
          <t>nyu</t>
        </is>
      </c>
      <c r="R294" t="inlineStr">
        <is>
          <t xml:space="preserve">QL </t>
        </is>
      </c>
      <c r="S294" t="n">
        <v>8</v>
      </c>
      <c r="T294" t="n">
        <v>8</v>
      </c>
      <c r="U294" t="inlineStr">
        <is>
          <t>1996-02-22</t>
        </is>
      </c>
      <c r="V294" t="inlineStr">
        <is>
          <t>1996-02-22</t>
        </is>
      </c>
      <c r="W294" t="inlineStr">
        <is>
          <t>1993-05-26</t>
        </is>
      </c>
      <c r="X294" t="inlineStr">
        <is>
          <t>1993-05-26</t>
        </is>
      </c>
      <c r="Y294" t="n">
        <v>482</v>
      </c>
      <c r="Z294" t="n">
        <v>371</v>
      </c>
      <c r="AA294" t="n">
        <v>381</v>
      </c>
      <c r="AB294" t="n">
        <v>5</v>
      </c>
      <c r="AC294" t="n">
        <v>5</v>
      </c>
      <c r="AD294" t="n">
        <v>15</v>
      </c>
      <c r="AE294" t="n">
        <v>15</v>
      </c>
      <c r="AF294" t="n">
        <v>4</v>
      </c>
      <c r="AG294" t="n">
        <v>4</v>
      </c>
      <c r="AH294" t="n">
        <v>4</v>
      </c>
      <c r="AI294" t="n">
        <v>4</v>
      </c>
      <c r="AJ294" t="n">
        <v>9</v>
      </c>
      <c r="AK294" t="n">
        <v>9</v>
      </c>
      <c r="AL294" t="n">
        <v>4</v>
      </c>
      <c r="AM294" t="n">
        <v>4</v>
      </c>
      <c r="AN294" t="n">
        <v>0</v>
      </c>
      <c r="AO294" t="n">
        <v>0</v>
      </c>
      <c r="AP294" t="inlineStr">
        <is>
          <t>No</t>
        </is>
      </c>
      <c r="AQ294" t="inlineStr">
        <is>
          <t>Yes</t>
        </is>
      </c>
      <c r="AR294">
        <f>HYPERLINK("http://catalog.hathitrust.org/Record/000177792","HathiTrust Record")</f>
        <v/>
      </c>
      <c r="AS294">
        <f>HYPERLINK("https://creighton-primo.hosted.exlibrisgroup.com/primo-explore/search?tab=default_tab&amp;search_scope=EVERYTHING&amp;vid=01CRU&amp;lang=en_US&amp;offset=0&amp;query=any,contains,991004572689702656","Catalog Record")</f>
        <v/>
      </c>
      <c r="AT294">
        <f>HYPERLINK("http://www.worldcat.org/oclc/4036530","WorldCat Record")</f>
        <v/>
      </c>
      <c r="AU294" t="inlineStr">
        <is>
          <t>14272012:eng</t>
        </is>
      </c>
      <c r="AV294" t="inlineStr">
        <is>
          <t>4036530</t>
        </is>
      </c>
      <c r="AW294" t="inlineStr">
        <is>
          <t>991004572689702656</t>
        </is>
      </c>
      <c r="AX294" t="inlineStr">
        <is>
          <t>991004572689702656</t>
        </is>
      </c>
      <c r="AY294" t="inlineStr">
        <is>
          <t>2269536400002656</t>
        </is>
      </c>
      <c r="AZ294" t="inlineStr">
        <is>
          <t>BOOK</t>
        </is>
      </c>
      <c r="BB294" t="inlineStr">
        <is>
          <t>9780442229733</t>
        </is>
      </c>
      <c r="BC294" t="inlineStr">
        <is>
          <t>32285001686848</t>
        </is>
      </c>
      <c r="BD294" t="inlineStr">
        <is>
          <t>893532547</t>
        </is>
      </c>
    </row>
    <row r="295">
      <c r="A295" t="inlineStr">
        <is>
          <t>No</t>
        </is>
      </c>
      <c r="B295" t="inlineStr">
        <is>
          <t>QL434.72 .L63</t>
        </is>
      </c>
      <c r="C295" t="inlineStr">
        <is>
          <t>0                      QL 0434720L  63</t>
        </is>
      </c>
      <c r="D295" t="inlineStr">
        <is>
          <t>Locomotion and energetics in arthropods / edited by Clyde F. Herreid II and Charles R. Fourtner.</t>
        </is>
      </c>
      <c r="F295" t="inlineStr">
        <is>
          <t>No</t>
        </is>
      </c>
      <c r="G295" t="inlineStr">
        <is>
          <t>1</t>
        </is>
      </c>
      <c r="H295" t="inlineStr">
        <is>
          <t>No</t>
        </is>
      </c>
      <c r="I295" t="inlineStr">
        <is>
          <t>No</t>
        </is>
      </c>
      <c r="J295" t="inlineStr">
        <is>
          <t>0</t>
        </is>
      </c>
      <c r="L295" t="inlineStr">
        <is>
          <t>New York : Plenum Press, c1981.</t>
        </is>
      </c>
      <c r="M295" t="inlineStr">
        <is>
          <t>1981</t>
        </is>
      </c>
      <c r="O295" t="inlineStr">
        <is>
          <t>eng</t>
        </is>
      </c>
      <c r="P295" t="inlineStr">
        <is>
          <t>nyu</t>
        </is>
      </c>
      <c r="R295" t="inlineStr">
        <is>
          <t xml:space="preserve">QL </t>
        </is>
      </c>
      <c r="S295" t="n">
        <v>5</v>
      </c>
      <c r="T295" t="n">
        <v>5</v>
      </c>
      <c r="U295" t="inlineStr">
        <is>
          <t>2008-01-31</t>
        </is>
      </c>
      <c r="V295" t="inlineStr">
        <is>
          <t>2008-01-31</t>
        </is>
      </c>
      <c r="W295" t="inlineStr">
        <is>
          <t>1993-05-26</t>
        </is>
      </c>
      <c r="X295" t="inlineStr">
        <is>
          <t>1993-05-26</t>
        </is>
      </c>
      <c r="Y295" t="n">
        <v>311</v>
      </c>
      <c r="Z295" t="n">
        <v>228</v>
      </c>
      <c r="AA295" t="n">
        <v>250</v>
      </c>
      <c r="AB295" t="n">
        <v>2</v>
      </c>
      <c r="AC295" t="n">
        <v>2</v>
      </c>
      <c r="AD295" t="n">
        <v>6</v>
      </c>
      <c r="AE295" t="n">
        <v>7</v>
      </c>
      <c r="AF295" t="n">
        <v>0</v>
      </c>
      <c r="AG295" t="n">
        <v>1</v>
      </c>
      <c r="AH295" t="n">
        <v>4</v>
      </c>
      <c r="AI295" t="n">
        <v>4</v>
      </c>
      <c r="AJ295" t="n">
        <v>4</v>
      </c>
      <c r="AK295" t="n">
        <v>5</v>
      </c>
      <c r="AL295" t="n">
        <v>1</v>
      </c>
      <c r="AM295" t="n">
        <v>1</v>
      </c>
      <c r="AN295" t="n">
        <v>0</v>
      </c>
      <c r="AO295" t="n">
        <v>0</v>
      </c>
      <c r="AP295" t="inlineStr">
        <is>
          <t>No</t>
        </is>
      </c>
      <c r="AQ295" t="inlineStr">
        <is>
          <t>Yes</t>
        </is>
      </c>
      <c r="AR295">
        <f>HYPERLINK("http://catalog.hathitrust.org/Record/000151260","HathiTrust Record")</f>
        <v/>
      </c>
      <c r="AS295">
        <f>HYPERLINK("https://creighton-primo.hosted.exlibrisgroup.com/primo-explore/search?tab=default_tab&amp;search_scope=EVERYTHING&amp;vid=01CRU&amp;lang=en_US&amp;offset=0&amp;query=any,contains,991005151779702656","Catalog Record")</f>
        <v/>
      </c>
      <c r="AT295">
        <f>HYPERLINK("http://www.worldcat.org/oclc/7733216","WorldCat Record")</f>
        <v/>
      </c>
      <c r="AU295" t="inlineStr">
        <is>
          <t>353787857:eng</t>
        </is>
      </c>
      <c r="AV295" t="inlineStr">
        <is>
          <t>7733216</t>
        </is>
      </c>
      <c r="AW295" t="inlineStr">
        <is>
          <t>991005151779702656</t>
        </is>
      </c>
      <c r="AX295" t="inlineStr">
        <is>
          <t>991005151779702656</t>
        </is>
      </c>
      <c r="AY295" t="inlineStr">
        <is>
          <t>2256956880002656</t>
        </is>
      </c>
      <c r="AZ295" t="inlineStr">
        <is>
          <t>BOOK</t>
        </is>
      </c>
      <c r="BB295" t="inlineStr">
        <is>
          <t>9780306408304</t>
        </is>
      </c>
      <c r="BC295" t="inlineStr">
        <is>
          <t>32285001686855</t>
        </is>
      </c>
      <c r="BD295" t="inlineStr">
        <is>
          <t>893263637</t>
        </is>
      </c>
    </row>
    <row r="296">
      <c r="A296" t="inlineStr">
        <is>
          <t>No</t>
        </is>
      </c>
      <c r="B296" t="inlineStr">
        <is>
          <t>QL434.8 .H37 1978</t>
        </is>
      </c>
      <c r="C296" t="inlineStr">
        <is>
          <t>0                      QL 0434800H  37          1978</t>
        </is>
      </c>
      <c r="D296" t="inlineStr">
        <is>
          <t>The dynamics of arthropod predator-prey systems / Michael P. Hassell.</t>
        </is>
      </c>
      <c r="F296" t="inlineStr">
        <is>
          <t>No</t>
        </is>
      </c>
      <c r="G296" t="inlineStr">
        <is>
          <t>1</t>
        </is>
      </c>
      <c r="H296" t="inlineStr">
        <is>
          <t>No</t>
        </is>
      </c>
      <c r="I296" t="inlineStr">
        <is>
          <t>No</t>
        </is>
      </c>
      <c r="J296" t="inlineStr">
        <is>
          <t>0</t>
        </is>
      </c>
      <c r="K296" t="inlineStr">
        <is>
          <t>Hassell, Michael P. (Michael Patrick)</t>
        </is>
      </c>
      <c r="L296" t="inlineStr">
        <is>
          <t>Princeton, N.J. : Princeton University Press, c1978.</t>
        </is>
      </c>
      <c r="M296" t="inlineStr">
        <is>
          <t>1978</t>
        </is>
      </c>
      <c r="O296" t="inlineStr">
        <is>
          <t>eng</t>
        </is>
      </c>
      <c r="P296" t="inlineStr">
        <is>
          <t>nju</t>
        </is>
      </c>
      <c r="Q296" t="inlineStr">
        <is>
          <t>Monographs in population biology ; 13</t>
        </is>
      </c>
      <c r="R296" t="inlineStr">
        <is>
          <t xml:space="preserve">QL </t>
        </is>
      </c>
      <c r="S296" t="n">
        <v>8</v>
      </c>
      <c r="T296" t="n">
        <v>8</v>
      </c>
      <c r="U296" t="inlineStr">
        <is>
          <t>2008-09-29</t>
        </is>
      </c>
      <c r="V296" t="inlineStr">
        <is>
          <t>2008-09-29</t>
        </is>
      </c>
      <c r="W296" t="inlineStr">
        <is>
          <t>1993-05-26</t>
        </is>
      </c>
      <c r="X296" t="inlineStr">
        <is>
          <t>1993-05-26</t>
        </is>
      </c>
      <c r="Y296" t="n">
        <v>536</v>
      </c>
      <c r="Z296" t="n">
        <v>376</v>
      </c>
      <c r="AA296" t="n">
        <v>547</v>
      </c>
      <c r="AB296" t="n">
        <v>4</v>
      </c>
      <c r="AC296" t="n">
        <v>5</v>
      </c>
      <c r="AD296" t="n">
        <v>15</v>
      </c>
      <c r="AE296" t="n">
        <v>26</v>
      </c>
      <c r="AF296" t="n">
        <v>3</v>
      </c>
      <c r="AG296" t="n">
        <v>10</v>
      </c>
      <c r="AH296" t="n">
        <v>4</v>
      </c>
      <c r="AI296" t="n">
        <v>6</v>
      </c>
      <c r="AJ296" t="n">
        <v>7</v>
      </c>
      <c r="AK296" t="n">
        <v>12</v>
      </c>
      <c r="AL296" t="n">
        <v>3</v>
      </c>
      <c r="AM296" t="n">
        <v>4</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HYPERLINK("https://creighton-primo.hosted.exlibrisgroup.com/primo-explore/search?tab=default_tab&amp;search_scope=EVERYTHING&amp;vid=01CRU&amp;lang=en_US&amp;offset=0&amp;query=any,contains,991004528529702656","Catalog Record")</f>
        <v/>
      </c>
      <c r="AT296">
        <f>HYPERLINK("http://www.worldcat.org/oclc/3844383","WorldCat Record")</f>
        <v/>
      </c>
      <c r="AU296" t="inlineStr">
        <is>
          <t>442405:eng</t>
        </is>
      </c>
      <c r="AV296" t="inlineStr">
        <is>
          <t>3844383</t>
        </is>
      </c>
      <c r="AW296" t="inlineStr">
        <is>
          <t>991004528529702656</t>
        </is>
      </c>
      <c r="AX296" t="inlineStr">
        <is>
          <t>991004528529702656</t>
        </is>
      </c>
      <c r="AY296" t="inlineStr">
        <is>
          <t>2264684640002656</t>
        </is>
      </c>
      <c r="AZ296" t="inlineStr">
        <is>
          <t>BOOK</t>
        </is>
      </c>
      <c r="BB296" t="inlineStr">
        <is>
          <t>9780691082080</t>
        </is>
      </c>
      <c r="BC296" t="inlineStr">
        <is>
          <t>32285001686863</t>
        </is>
      </c>
      <c r="BD296" t="inlineStr">
        <is>
          <t>893712724</t>
        </is>
      </c>
    </row>
    <row r="297">
      <c r="A297" t="inlineStr">
        <is>
          <t>No</t>
        </is>
      </c>
      <c r="B297" t="inlineStr">
        <is>
          <t>QL435 .B48 1982, v.7</t>
        </is>
      </c>
      <c r="C297" t="inlineStr">
        <is>
          <t>0                      QL 0435000B  48          1982                                        v.7</t>
        </is>
      </c>
      <c r="D297" t="inlineStr">
        <is>
          <t>Behavior and ecology / edited by F. John Vernberg, Winona B. Vernberg.</t>
        </is>
      </c>
      <c r="E297" t="inlineStr">
        <is>
          <t>V. 7</t>
        </is>
      </c>
      <c r="F297" t="inlineStr">
        <is>
          <t>No</t>
        </is>
      </c>
      <c r="G297" t="inlineStr">
        <is>
          <t>1</t>
        </is>
      </c>
      <c r="H297" t="inlineStr">
        <is>
          <t>No</t>
        </is>
      </c>
      <c r="I297" t="inlineStr">
        <is>
          <t>No</t>
        </is>
      </c>
      <c r="J297" t="inlineStr">
        <is>
          <t>0</t>
        </is>
      </c>
      <c r="L297" t="inlineStr">
        <is>
          <t>New York : Academic Press, 1983.</t>
        </is>
      </c>
      <c r="M297" t="inlineStr">
        <is>
          <t>1983</t>
        </is>
      </c>
      <c r="O297" t="inlineStr">
        <is>
          <t>eng</t>
        </is>
      </c>
      <c r="P297" t="inlineStr">
        <is>
          <t>nyu</t>
        </is>
      </c>
      <c r="Q297" t="inlineStr">
        <is>
          <t>The Biology of crustacea ; v. 7</t>
        </is>
      </c>
      <c r="R297" t="inlineStr">
        <is>
          <t xml:space="preserve">QL </t>
        </is>
      </c>
      <c r="S297" t="n">
        <v>7</v>
      </c>
      <c r="T297" t="n">
        <v>7</v>
      </c>
      <c r="U297" t="inlineStr">
        <is>
          <t>2010-08-16</t>
        </is>
      </c>
      <c r="V297" t="inlineStr">
        <is>
          <t>2010-08-16</t>
        </is>
      </c>
      <c r="W297" t="inlineStr">
        <is>
          <t>1997-09-22</t>
        </is>
      </c>
      <c r="X297" t="inlineStr">
        <is>
          <t>1997-09-22</t>
        </is>
      </c>
      <c r="Y297" t="n">
        <v>176</v>
      </c>
      <c r="Z297" t="n">
        <v>119</v>
      </c>
      <c r="AA297" t="n">
        <v>140</v>
      </c>
      <c r="AB297" t="n">
        <v>1</v>
      </c>
      <c r="AC297" t="n">
        <v>2</v>
      </c>
      <c r="AD297" t="n">
        <v>2</v>
      </c>
      <c r="AE297" t="n">
        <v>4</v>
      </c>
      <c r="AF297" t="n">
        <v>1</v>
      </c>
      <c r="AG297" t="n">
        <v>2</v>
      </c>
      <c r="AH297" t="n">
        <v>0</v>
      </c>
      <c r="AI297" t="n">
        <v>1</v>
      </c>
      <c r="AJ297" t="n">
        <v>1</v>
      </c>
      <c r="AK297" t="n">
        <v>1</v>
      </c>
      <c r="AL297" t="n">
        <v>0</v>
      </c>
      <c r="AM297" t="n">
        <v>1</v>
      </c>
      <c r="AN297" t="n">
        <v>0</v>
      </c>
      <c r="AO297" t="n">
        <v>0</v>
      </c>
      <c r="AP297" t="inlineStr">
        <is>
          <t>No</t>
        </is>
      </c>
      <c r="AQ297" t="inlineStr">
        <is>
          <t>Yes</t>
        </is>
      </c>
      <c r="AR297">
        <f>HYPERLINK("http://catalog.hathitrust.org/Record/008335957","HathiTrust Record")</f>
        <v/>
      </c>
      <c r="AS297">
        <f>HYPERLINK("https://creighton-primo.hosted.exlibrisgroup.com/primo-explore/search?tab=default_tab&amp;search_scope=EVERYTHING&amp;vid=01CRU&amp;lang=en_US&amp;offset=0&amp;query=any,contains,991000085809702656","Catalog Record")</f>
        <v/>
      </c>
      <c r="AT297">
        <f>HYPERLINK("http://www.worldcat.org/oclc/8865383","WorldCat Record")</f>
        <v/>
      </c>
      <c r="AU297" t="inlineStr">
        <is>
          <t>3799015853:eng</t>
        </is>
      </c>
      <c r="AV297" t="inlineStr">
        <is>
          <t>8865383</t>
        </is>
      </c>
      <c r="AW297" t="inlineStr">
        <is>
          <t>991000085809702656</t>
        </is>
      </c>
      <c r="AX297" t="inlineStr">
        <is>
          <t>991000085809702656</t>
        </is>
      </c>
      <c r="AY297" t="inlineStr">
        <is>
          <t>2263273630002656</t>
        </is>
      </c>
      <c r="AZ297" t="inlineStr">
        <is>
          <t>BOOK</t>
        </is>
      </c>
      <c r="BB297" t="inlineStr">
        <is>
          <t>9780121064075</t>
        </is>
      </c>
      <c r="BC297" t="inlineStr">
        <is>
          <t>32285003174587</t>
        </is>
      </c>
      <c r="BD297" t="inlineStr">
        <is>
          <t>893620157</t>
        </is>
      </c>
    </row>
    <row r="298">
      <c r="A298" t="inlineStr">
        <is>
          <t>No</t>
        </is>
      </c>
      <c r="B298" t="inlineStr">
        <is>
          <t>QL441.1 .S28</t>
        </is>
      </c>
      <c r="C298" t="inlineStr">
        <is>
          <t>0                      QL 0441100S  28</t>
        </is>
      </c>
      <c r="D298" t="inlineStr">
        <is>
          <t>An account of the Crustacea of the United States. With an introd. by L. B. Holthuis.</t>
        </is>
      </c>
      <c r="F298" t="inlineStr">
        <is>
          <t>No</t>
        </is>
      </c>
      <c r="G298" t="inlineStr">
        <is>
          <t>1</t>
        </is>
      </c>
      <c r="H298" t="inlineStr">
        <is>
          <t>No</t>
        </is>
      </c>
      <c r="I298" t="inlineStr">
        <is>
          <t>No</t>
        </is>
      </c>
      <c r="J298" t="inlineStr">
        <is>
          <t>0</t>
        </is>
      </c>
      <c r="K298" t="inlineStr">
        <is>
          <t>Say, Thomas, 1787-1834.</t>
        </is>
      </c>
      <c r="L298" t="inlineStr">
        <is>
          <t>Lehre, Cramer; Codicote/Herts., Wheldon &amp; Wesley; New York/N.Y., Stechert-Hafner, 1969.</t>
        </is>
      </c>
      <c r="M298" t="inlineStr">
        <is>
          <t>1969</t>
        </is>
      </c>
      <c r="N298" t="inlineStr">
        <is>
          <t>Repr.</t>
        </is>
      </c>
      <c r="O298" t="inlineStr">
        <is>
          <t>eng</t>
        </is>
      </c>
      <c r="P298" t="inlineStr">
        <is>
          <t xml:space="preserve">gw </t>
        </is>
      </c>
      <c r="Q298" t="inlineStr">
        <is>
          <t>Historiae naturalis classica ; t. 73</t>
        </is>
      </c>
      <c r="R298" t="inlineStr">
        <is>
          <t xml:space="preserve">QL </t>
        </is>
      </c>
      <c r="S298" t="n">
        <v>1</v>
      </c>
      <c r="T298" t="n">
        <v>1</v>
      </c>
      <c r="U298" t="inlineStr">
        <is>
          <t>2009-02-25</t>
        </is>
      </c>
      <c r="V298" t="inlineStr">
        <is>
          <t>2009-02-25</t>
        </is>
      </c>
      <c r="W298" t="inlineStr">
        <is>
          <t>1997-07-23</t>
        </is>
      </c>
      <c r="X298" t="inlineStr">
        <is>
          <t>1997-07-23</t>
        </is>
      </c>
      <c r="Y298" t="n">
        <v>92</v>
      </c>
      <c r="Z298" t="n">
        <v>80</v>
      </c>
      <c r="AA298" t="n">
        <v>81</v>
      </c>
      <c r="AB298" t="n">
        <v>1</v>
      </c>
      <c r="AC298" t="n">
        <v>1</v>
      </c>
      <c r="AD298" t="n">
        <v>1</v>
      </c>
      <c r="AE298" t="n">
        <v>1</v>
      </c>
      <c r="AF298" t="n">
        <v>0</v>
      </c>
      <c r="AG298" t="n">
        <v>0</v>
      </c>
      <c r="AH298" t="n">
        <v>1</v>
      </c>
      <c r="AI298" t="n">
        <v>1</v>
      </c>
      <c r="AJ298" t="n">
        <v>1</v>
      </c>
      <c r="AK298" t="n">
        <v>1</v>
      </c>
      <c r="AL298" t="n">
        <v>0</v>
      </c>
      <c r="AM298" t="n">
        <v>0</v>
      </c>
      <c r="AN298" t="n">
        <v>0</v>
      </c>
      <c r="AO298" t="n">
        <v>0</v>
      </c>
      <c r="AP298" t="inlineStr">
        <is>
          <t>No</t>
        </is>
      </c>
      <c r="AQ298" t="inlineStr">
        <is>
          <t>Yes</t>
        </is>
      </c>
      <c r="AR298">
        <f>HYPERLINK("http://catalog.hathitrust.org/Record/008335994","HathiTrust Record")</f>
        <v/>
      </c>
      <c r="AS298">
        <f>HYPERLINK("https://creighton-primo.hosted.exlibrisgroup.com/primo-explore/search?tab=default_tab&amp;search_scope=EVERYTHING&amp;vid=01CRU&amp;lang=en_US&amp;offset=0&amp;query=any,contains,991000599189702656","Catalog Record")</f>
        <v/>
      </c>
      <c r="AT298">
        <f>HYPERLINK("http://www.worldcat.org/oclc/98030","WorldCat Record")</f>
        <v/>
      </c>
      <c r="AU298" t="inlineStr">
        <is>
          <t>10200868906:eng</t>
        </is>
      </c>
      <c r="AV298" t="inlineStr">
        <is>
          <t>98030</t>
        </is>
      </c>
      <c r="AW298" t="inlineStr">
        <is>
          <t>991000599189702656</t>
        </is>
      </c>
      <c r="AX298" t="inlineStr">
        <is>
          <t>991000599189702656</t>
        </is>
      </c>
      <c r="AY298" t="inlineStr">
        <is>
          <t>2272153000002656</t>
        </is>
      </c>
      <c r="AZ298" t="inlineStr">
        <is>
          <t>BOOK</t>
        </is>
      </c>
      <c r="BC298" t="inlineStr">
        <is>
          <t>32285002980422</t>
        </is>
      </c>
      <c r="BD298" t="inlineStr">
        <is>
          <t>893528191</t>
        </is>
      </c>
    </row>
    <row r="299">
      <c r="A299" t="inlineStr">
        <is>
          <t>No</t>
        </is>
      </c>
      <c r="B299" t="inlineStr">
        <is>
          <t>QL444.B815 N37 1988</t>
        </is>
      </c>
      <c r="C299" t="inlineStr">
        <is>
          <t>0                      QL 0444000B  815                N  37          1988</t>
        </is>
      </c>
      <c r="D299" t="inlineStr">
        <is>
          <t>Cell and molecular biology of artemia development / edited by Alden H. Warner, Thomas H. MacRae, and Joseph C. Bagshaw.</t>
        </is>
      </c>
      <c r="F299" t="inlineStr">
        <is>
          <t>No</t>
        </is>
      </c>
      <c r="G299" t="inlineStr">
        <is>
          <t>1</t>
        </is>
      </c>
      <c r="H299" t="inlineStr">
        <is>
          <t>No</t>
        </is>
      </c>
      <c r="I299" t="inlineStr">
        <is>
          <t>No</t>
        </is>
      </c>
      <c r="J299" t="inlineStr">
        <is>
          <t>0</t>
        </is>
      </c>
      <c r="K299" t="inlineStr">
        <is>
          <t>NATO Advanced Research Workshop on Cell and Molecular Biology of Artemia Development (1988 : Montréal, Québec)</t>
        </is>
      </c>
      <c r="L299" t="inlineStr">
        <is>
          <t>New York : Plenum Press, c1989.</t>
        </is>
      </c>
      <c r="M299" t="inlineStr">
        <is>
          <t>1989</t>
        </is>
      </c>
      <c r="O299" t="inlineStr">
        <is>
          <t>eng</t>
        </is>
      </c>
      <c r="P299" t="inlineStr">
        <is>
          <t>nyu</t>
        </is>
      </c>
      <c r="Q299" t="inlineStr">
        <is>
          <t>NATO ASI series. Series A, Life sciences ; vol. 174</t>
        </is>
      </c>
      <c r="R299" t="inlineStr">
        <is>
          <t xml:space="preserve">QL </t>
        </is>
      </c>
      <c r="S299" t="n">
        <v>2</v>
      </c>
      <c r="T299" t="n">
        <v>2</v>
      </c>
      <c r="U299" t="inlineStr">
        <is>
          <t>1994-10-07</t>
        </is>
      </c>
      <c r="V299" t="inlineStr">
        <is>
          <t>1994-10-07</t>
        </is>
      </c>
      <c r="W299" t="inlineStr">
        <is>
          <t>1990-01-14</t>
        </is>
      </c>
      <c r="X299" t="inlineStr">
        <is>
          <t>1990-01-14</t>
        </is>
      </c>
      <c r="Y299" t="n">
        <v>150</v>
      </c>
      <c r="Z299" t="n">
        <v>115</v>
      </c>
      <c r="AA299" t="n">
        <v>132</v>
      </c>
      <c r="AB299" t="n">
        <v>1</v>
      </c>
      <c r="AC299" t="n">
        <v>1</v>
      </c>
      <c r="AD299" t="n">
        <v>5</v>
      </c>
      <c r="AE299" t="n">
        <v>6</v>
      </c>
      <c r="AF299" t="n">
        <v>1</v>
      </c>
      <c r="AG299" t="n">
        <v>2</v>
      </c>
      <c r="AH299" t="n">
        <v>1</v>
      </c>
      <c r="AI299" t="n">
        <v>1</v>
      </c>
      <c r="AJ299" t="n">
        <v>3</v>
      </c>
      <c r="AK299" t="n">
        <v>4</v>
      </c>
      <c r="AL299" t="n">
        <v>0</v>
      </c>
      <c r="AM299" t="n">
        <v>0</v>
      </c>
      <c r="AN299" t="n">
        <v>0</v>
      </c>
      <c r="AO299" t="n">
        <v>0</v>
      </c>
      <c r="AP299" t="inlineStr">
        <is>
          <t>No</t>
        </is>
      </c>
      <c r="AQ299" t="inlineStr">
        <is>
          <t>Yes</t>
        </is>
      </c>
      <c r="AR299">
        <f>HYPERLINK("http://catalog.hathitrust.org/Record/008335965","HathiTrust Record")</f>
        <v/>
      </c>
      <c r="AS299">
        <f>HYPERLINK("https://creighton-primo.hosted.exlibrisgroup.com/primo-explore/search?tab=default_tab&amp;search_scope=EVERYTHING&amp;vid=01CRU&amp;lang=en_US&amp;offset=0&amp;query=any,contains,991001525909702656","Catalog Record")</f>
        <v/>
      </c>
      <c r="AT299">
        <f>HYPERLINK("http://www.worldcat.org/oclc/20012655","WorldCat Record")</f>
        <v/>
      </c>
      <c r="AU299" t="inlineStr">
        <is>
          <t>365323309:eng</t>
        </is>
      </c>
      <c r="AV299" t="inlineStr">
        <is>
          <t>20012655</t>
        </is>
      </c>
      <c r="AW299" t="inlineStr">
        <is>
          <t>991001525909702656</t>
        </is>
      </c>
      <c r="AX299" t="inlineStr">
        <is>
          <t>991001525909702656</t>
        </is>
      </c>
      <c r="AY299" t="inlineStr">
        <is>
          <t>2260859120002656</t>
        </is>
      </c>
      <c r="AZ299" t="inlineStr">
        <is>
          <t>BOOK</t>
        </is>
      </c>
      <c r="BB299" t="inlineStr">
        <is>
          <t>9780306432484</t>
        </is>
      </c>
      <c r="BC299" t="inlineStr">
        <is>
          <t>32285000027564</t>
        </is>
      </c>
      <c r="BD299" t="inlineStr">
        <is>
          <t>893772645</t>
        </is>
      </c>
    </row>
    <row r="300">
      <c r="A300" t="inlineStr">
        <is>
          <t>No</t>
        </is>
      </c>
      <c r="B300" t="inlineStr">
        <is>
          <t>QL444.I8 B52 1973</t>
        </is>
      </c>
      <c r="C300" t="inlineStr">
        <is>
          <t>0                      QL 0444000I  8                  B  52          1973</t>
        </is>
      </c>
      <c r="D300" t="inlineStr">
        <is>
          <t>Deep water Isopods (Crustacea. Isopoda) of the north-western part of the Pacific Ocean. Translated from Russian.</t>
        </is>
      </c>
      <c r="F300" t="inlineStr">
        <is>
          <t>No</t>
        </is>
      </c>
      <c r="G300" t="inlineStr">
        <is>
          <t>1</t>
        </is>
      </c>
      <c r="H300" t="inlineStr">
        <is>
          <t>No</t>
        </is>
      </c>
      <c r="I300" t="inlineStr">
        <is>
          <t>No</t>
        </is>
      </c>
      <c r="J300" t="inlineStr">
        <is>
          <t>0</t>
        </is>
      </c>
      <c r="K300" t="inlineStr">
        <is>
          <t>Birshteĭn, I͡A. A. (I͡Akov Avadʹevich), 1911-1970.</t>
        </is>
      </c>
      <c r="L300" t="inlineStr">
        <is>
          <t>New Delhi, Indian National Scientific Documentation Centre. 1973.</t>
        </is>
      </c>
      <c r="M300" t="inlineStr">
        <is>
          <t>1973</t>
        </is>
      </c>
      <c r="O300" t="inlineStr">
        <is>
          <t>eng</t>
        </is>
      </c>
      <c r="P300" t="inlineStr">
        <is>
          <t xml:space="preserve">xx </t>
        </is>
      </c>
      <c r="R300" t="inlineStr">
        <is>
          <t xml:space="preserve">QL </t>
        </is>
      </c>
      <c r="S300" t="n">
        <v>2</v>
      </c>
      <c r="T300" t="n">
        <v>2</v>
      </c>
      <c r="U300" t="inlineStr">
        <is>
          <t>2010-03-03</t>
        </is>
      </c>
      <c r="V300" t="inlineStr">
        <is>
          <t>2010-03-03</t>
        </is>
      </c>
      <c r="W300" t="inlineStr">
        <is>
          <t>1997-07-23</t>
        </is>
      </c>
      <c r="X300" t="inlineStr">
        <is>
          <t>1997-07-23</t>
        </is>
      </c>
      <c r="Y300" t="n">
        <v>121</v>
      </c>
      <c r="Z300" t="n">
        <v>118</v>
      </c>
      <c r="AA300" t="n">
        <v>139</v>
      </c>
      <c r="AB300" t="n">
        <v>3</v>
      </c>
      <c r="AC300" t="n">
        <v>3</v>
      </c>
      <c r="AD300" t="n">
        <v>4</v>
      </c>
      <c r="AE300" t="n">
        <v>5</v>
      </c>
      <c r="AF300" t="n">
        <v>1</v>
      </c>
      <c r="AG300" t="n">
        <v>2</v>
      </c>
      <c r="AH300" t="n">
        <v>0</v>
      </c>
      <c r="AI300" t="n">
        <v>0</v>
      </c>
      <c r="AJ300" t="n">
        <v>2</v>
      </c>
      <c r="AK300" t="n">
        <v>2</v>
      </c>
      <c r="AL300" t="n">
        <v>2</v>
      </c>
      <c r="AM300" t="n">
        <v>2</v>
      </c>
      <c r="AN300" t="n">
        <v>0</v>
      </c>
      <c r="AO300" t="n">
        <v>0</v>
      </c>
      <c r="AP300" t="inlineStr">
        <is>
          <t>No</t>
        </is>
      </c>
      <c r="AQ300" t="inlineStr">
        <is>
          <t>Yes</t>
        </is>
      </c>
      <c r="AR300">
        <f>HYPERLINK("http://catalog.hathitrust.org/Record/000034290","HathiTrust Record")</f>
        <v/>
      </c>
      <c r="AS300">
        <f>HYPERLINK("https://creighton-primo.hosted.exlibrisgroup.com/primo-explore/search?tab=default_tab&amp;search_scope=EVERYTHING&amp;vid=01CRU&amp;lang=en_US&amp;offset=0&amp;query=any,contains,991003507559702656","Catalog Record")</f>
        <v/>
      </c>
      <c r="AT300">
        <f>HYPERLINK("http://www.worldcat.org/oclc/1318593","WorldCat Record")</f>
        <v/>
      </c>
      <c r="AU300" t="inlineStr">
        <is>
          <t>2194975:eng</t>
        </is>
      </c>
      <c r="AV300" t="inlineStr">
        <is>
          <t>1318593</t>
        </is>
      </c>
      <c r="AW300" t="inlineStr">
        <is>
          <t>991003507559702656</t>
        </is>
      </c>
      <c r="AX300" t="inlineStr">
        <is>
          <t>991003507559702656</t>
        </is>
      </c>
      <c r="AY300" t="inlineStr">
        <is>
          <t>2258924270002656</t>
        </is>
      </c>
      <c r="AZ300" t="inlineStr">
        <is>
          <t>BOOK</t>
        </is>
      </c>
      <c r="BC300" t="inlineStr">
        <is>
          <t>32285002980455</t>
        </is>
      </c>
      <c r="BD300" t="inlineStr">
        <is>
          <t>893348751</t>
        </is>
      </c>
    </row>
    <row r="301">
      <c r="A301" t="inlineStr">
        <is>
          <t>No</t>
        </is>
      </c>
      <c r="B301" t="inlineStr">
        <is>
          <t>QL444.M33 W54 1984</t>
        </is>
      </c>
      <c r="C301" t="inlineStr">
        <is>
          <t>0                      QL 0444000M  33                 W  54          1984</t>
        </is>
      </c>
      <c r="D301" t="inlineStr">
        <is>
          <t>Shrimps, lobsters, and crabs of the Atlantic Coast of the Eastern United States, Maine to Florida / Austin B. Williams.</t>
        </is>
      </c>
      <c r="F301" t="inlineStr">
        <is>
          <t>No</t>
        </is>
      </c>
      <c r="G301" t="inlineStr">
        <is>
          <t>1</t>
        </is>
      </c>
      <c r="H301" t="inlineStr">
        <is>
          <t>No</t>
        </is>
      </c>
      <c r="I301" t="inlineStr">
        <is>
          <t>No</t>
        </is>
      </c>
      <c r="J301" t="inlineStr">
        <is>
          <t>0</t>
        </is>
      </c>
      <c r="K301" t="inlineStr">
        <is>
          <t>Williams, Austin B.</t>
        </is>
      </c>
      <c r="L301" t="inlineStr">
        <is>
          <t>Washington, D.C. : Smithsonian Institution Press, 1984.</t>
        </is>
      </c>
      <c r="M301" t="inlineStr">
        <is>
          <t>1984</t>
        </is>
      </c>
      <c r="O301" t="inlineStr">
        <is>
          <t>eng</t>
        </is>
      </c>
      <c r="P301" t="inlineStr">
        <is>
          <t>dcu</t>
        </is>
      </c>
      <c r="R301" t="inlineStr">
        <is>
          <t xml:space="preserve">QL </t>
        </is>
      </c>
      <c r="S301" t="n">
        <v>4</v>
      </c>
      <c r="T301" t="n">
        <v>4</v>
      </c>
      <c r="U301" t="inlineStr">
        <is>
          <t>2009-02-25</t>
        </is>
      </c>
      <c r="V301" t="inlineStr">
        <is>
          <t>2009-02-25</t>
        </is>
      </c>
      <c r="W301" t="inlineStr">
        <is>
          <t>1991-11-19</t>
        </is>
      </c>
      <c r="X301" t="inlineStr">
        <is>
          <t>1991-11-19</t>
        </is>
      </c>
      <c r="Y301" t="n">
        <v>454</v>
      </c>
      <c r="Z301" t="n">
        <v>413</v>
      </c>
      <c r="AA301" t="n">
        <v>415</v>
      </c>
      <c r="AB301" t="n">
        <v>3</v>
      </c>
      <c r="AC301" t="n">
        <v>3</v>
      </c>
      <c r="AD301" t="n">
        <v>10</v>
      </c>
      <c r="AE301" t="n">
        <v>10</v>
      </c>
      <c r="AF301" t="n">
        <v>4</v>
      </c>
      <c r="AG301" t="n">
        <v>4</v>
      </c>
      <c r="AH301" t="n">
        <v>2</v>
      </c>
      <c r="AI301" t="n">
        <v>2</v>
      </c>
      <c r="AJ301" t="n">
        <v>5</v>
      </c>
      <c r="AK301" t="n">
        <v>5</v>
      </c>
      <c r="AL301" t="n">
        <v>2</v>
      </c>
      <c r="AM301" t="n">
        <v>2</v>
      </c>
      <c r="AN301" t="n">
        <v>0</v>
      </c>
      <c r="AO301" t="n">
        <v>0</v>
      </c>
      <c r="AP301" t="inlineStr">
        <is>
          <t>No</t>
        </is>
      </c>
      <c r="AQ301" t="inlineStr">
        <is>
          <t>Yes</t>
        </is>
      </c>
      <c r="AR301">
        <f>HYPERLINK("http://catalog.hathitrust.org/Record/000287437","HathiTrust Record")</f>
        <v/>
      </c>
      <c r="AS301">
        <f>HYPERLINK("https://creighton-primo.hosted.exlibrisgroup.com/primo-explore/search?tab=default_tab&amp;search_scope=EVERYTHING&amp;vid=01CRU&amp;lang=en_US&amp;offset=0&amp;query=any,contains,991000205939702656","Catalog Record")</f>
        <v/>
      </c>
      <c r="AT301">
        <f>HYPERLINK("http://www.worldcat.org/oclc/9489284","WorldCat Record")</f>
        <v/>
      </c>
      <c r="AU301" t="inlineStr">
        <is>
          <t>5622877461:eng</t>
        </is>
      </c>
      <c r="AV301" t="inlineStr">
        <is>
          <t>9489284</t>
        </is>
      </c>
      <c r="AW301" t="inlineStr">
        <is>
          <t>991000205939702656</t>
        </is>
      </c>
      <c r="AX301" t="inlineStr">
        <is>
          <t>991000205939702656</t>
        </is>
      </c>
      <c r="AY301" t="inlineStr">
        <is>
          <t>2256366150002656</t>
        </is>
      </c>
      <c r="AZ301" t="inlineStr">
        <is>
          <t>BOOK</t>
        </is>
      </c>
      <c r="BC301" t="inlineStr">
        <is>
          <t>32285000824556</t>
        </is>
      </c>
      <c r="BD301" t="inlineStr">
        <is>
          <t>893701927</t>
        </is>
      </c>
    </row>
    <row r="302">
      <c r="A302" t="inlineStr">
        <is>
          <t>No</t>
        </is>
      </c>
      <c r="B302" t="inlineStr">
        <is>
          <t>QL445 .C3</t>
        </is>
      </c>
      <c r="C302" t="inlineStr">
        <is>
          <t>0                      QL 0445000C  3</t>
        </is>
      </c>
      <c r="D302" t="inlineStr">
        <is>
          <t>Endocrine control in crustaceans, by David B. Carlisle and Francis Knowles.</t>
        </is>
      </c>
      <c r="F302" t="inlineStr">
        <is>
          <t>No</t>
        </is>
      </c>
      <c r="G302" t="inlineStr">
        <is>
          <t>1</t>
        </is>
      </c>
      <c r="H302" t="inlineStr">
        <is>
          <t>No</t>
        </is>
      </c>
      <c r="I302" t="inlineStr">
        <is>
          <t>No</t>
        </is>
      </c>
      <c r="J302" t="inlineStr">
        <is>
          <t>0</t>
        </is>
      </c>
      <c r="K302" t="inlineStr">
        <is>
          <t>Carlisle, David B.</t>
        </is>
      </c>
      <c r="L302" t="inlineStr">
        <is>
          <t>Cambridge [Eng.] University Press, 1959.</t>
        </is>
      </c>
      <c r="M302" t="inlineStr">
        <is>
          <t>1959</t>
        </is>
      </c>
      <c r="O302" t="inlineStr">
        <is>
          <t>eng</t>
        </is>
      </c>
      <c r="P302" t="inlineStr">
        <is>
          <t>enk</t>
        </is>
      </c>
      <c r="Q302" t="inlineStr">
        <is>
          <t>Cambridge monographs in experimental biology ; no. 10</t>
        </is>
      </c>
      <c r="R302" t="inlineStr">
        <is>
          <t xml:space="preserve">QL </t>
        </is>
      </c>
      <c r="S302" t="n">
        <v>1</v>
      </c>
      <c r="T302" t="n">
        <v>1</v>
      </c>
      <c r="U302" t="inlineStr">
        <is>
          <t>2010-03-03</t>
        </is>
      </c>
      <c r="V302" t="inlineStr">
        <is>
          <t>2010-03-03</t>
        </is>
      </c>
      <c r="W302" t="inlineStr">
        <is>
          <t>1997-07-23</t>
        </is>
      </c>
      <c r="X302" t="inlineStr">
        <is>
          <t>1997-07-23</t>
        </is>
      </c>
      <c r="Y302" t="n">
        <v>445</v>
      </c>
      <c r="Z302" t="n">
        <v>325</v>
      </c>
      <c r="AA302" t="n">
        <v>328</v>
      </c>
      <c r="AB302" t="n">
        <v>3</v>
      </c>
      <c r="AC302" t="n">
        <v>3</v>
      </c>
      <c r="AD302" t="n">
        <v>14</v>
      </c>
      <c r="AE302" t="n">
        <v>14</v>
      </c>
      <c r="AF302" t="n">
        <v>5</v>
      </c>
      <c r="AG302" t="n">
        <v>5</v>
      </c>
      <c r="AH302" t="n">
        <v>3</v>
      </c>
      <c r="AI302" t="n">
        <v>3</v>
      </c>
      <c r="AJ302" t="n">
        <v>8</v>
      </c>
      <c r="AK302" t="n">
        <v>8</v>
      </c>
      <c r="AL302" t="n">
        <v>2</v>
      </c>
      <c r="AM302" t="n">
        <v>2</v>
      </c>
      <c r="AN302" t="n">
        <v>0</v>
      </c>
      <c r="AO302" t="n">
        <v>0</v>
      </c>
      <c r="AP302" t="inlineStr">
        <is>
          <t>No</t>
        </is>
      </c>
      <c r="AQ302" t="inlineStr">
        <is>
          <t>Yes</t>
        </is>
      </c>
      <c r="AR302">
        <f>HYPERLINK("http://catalog.hathitrust.org/Record/001638599","HathiTrust Record")</f>
        <v/>
      </c>
      <c r="AS302">
        <f>HYPERLINK("https://creighton-primo.hosted.exlibrisgroup.com/primo-explore/search?tab=default_tab&amp;search_scope=EVERYTHING&amp;vid=01CRU&amp;lang=en_US&amp;offset=0&amp;query=any,contains,991002987529702656","Catalog Record")</f>
        <v/>
      </c>
      <c r="AT302">
        <f>HYPERLINK("http://www.worldcat.org/oclc/558420","WorldCat Record")</f>
        <v/>
      </c>
      <c r="AU302" t="inlineStr">
        <is>
          <t>1625916:eng</t>
        </is>
      </c>
      <c r="AV302" t="inlineStr">
        <is>
          <t>558420</t>
        </is>
      </c>
      <c r="AW302" t="inlineStr">
        <is>
          <t>991002987529702656</t>
        </is>
      </c>
      <c r="AX302" t="inlineStr">
        <is>
          <t>991002987529702656</t>
        </is>
      </c>
      <c r="AY302" t="inlineStr">
        <is>
          <t>2258249500002656</t>
        </is>
      </c>
      <c r="AZ302" t="inlineStr">
        <is>
          <t>BOOK</t>
        </is>
      </c>
      <c r="BC302" t="inlineStr">
        <is>
          <t>32285002980463</t>
        </is>
      </c>
      <c r="BD302" t="inlineStr">
        <is>
          <t>893616860</t>
        </is>
      </c>
    </row>
    <row r="303">
      <c r="A303" t="inlineStr">
        <is>
          <t>No</t>
        </is>
      </c>
      <c r="B303" t="inlineStr">
        <is>
          <t>QL445 .L6 1968</t>
        </is>
      </c>
      <c r="C303" t="inlineStr">
        <is>
          <t>0                      QL 0445000L  6           1968</t>
        </is>
      </c>
      <c r="D303" t="inlineStr">
        <is>
          <t>Aspects of the physiology of Crustacea / [by] A. P. M. Lockwood.</t>
        </is>
      </c>
      <c r="F303" t="inlineStr">
        <is>
          <t>No</t>
        </is>
      </c>
      <c r="G303" t="inlineStr">
        <is>
          <t>1</t>
        </is>
      </c>
      <c r="H303" t="inlineStr">
        <is>
          <t>No</t>
        </is>
      </c>
      <c r="I303" t="inlineStr">
        <is>
          <t>No</t>
        </is>
      </c>
      <c r="J303" t="inlineStr">
        <is>
          <t>0</t>
        </is>
      </c>
      <c r="K303" t="inlineStr">
        <is>
          <t>Lockwood, A. P. M. (Antony Peter Murray), 1931-</t>
        </is>
      </c>
      <c r="L303" t="inlineStr">
        <is>
          <t>Edinburgh ; London : Oliver &amp; Boyd, 1968.</t>
        </is>
      </c>
      <c r="M303" t="inlineStr">
        <is>
          <t>1968</t>
        </is>
      </c>
      <c r="O303" t="inlineStr">
        <is>
          <t>eng</t>
        </is>
      </c>
      <c r="P303" t="inlineStr">
        <is>
          <t>stk</t>
        </is>
      </c>
      <c r="Q303" t="inlineStr">
        <is>
          <t>University reviews in biology, 8</t>
        </is>
      </c>
      <c r="R303" t="inlineStr">
        <is>
          <t xml:space="preserve">QL </t>
        </is>
      </c>
      <c r="S303" t="n">
        <v>4</v>
      </c>
      <c r="T303" t="n">
        <v>4</v>
      </c>
      <c r="U303" t="inlineStr">
        <is>
          <t>2010-03-03</t>
        </is>
      </c>
      <c r="V303" t="inlineStr">
        <is>
          <t>2010-03-03</t>
        </is>
      </c>
      <c r="W303" t="inlineStr">
        <is>
          <t>1993-01-23</t>
        </is>
      </c>
      <c r="X303" t="inlineStr">
        <is>
          <t>1993-01-23</t>
        </is>
      </c>
      <c r="Y303" t="n">
        <v>147</v>
      </c>
      <c r="Z303" t="n">
        <v>33</v>
      </c>
      <c r="AA303" t="n">
        <v>508</v>
      </c>
      <c r="AB303" t="n">
        <v>1</v>
      </c>
      <c r="AC303" t="n">
        <v>4</v>
      </c>
      <c r="AD303" t="n">
        <v>0</v>
      </c>
      <c r="AE303" t="n">
        <v>19</v>
      </c>
      <c r="AF303" t="n">
        <v>0</v>
      </c>
      <c r="AG303" t="n">
        <v>5</v>
      </c>
      <c r="AH303" t="n">
        <v>0</v>
      </c>
      <c r="AI303" t="n">
        <v>4</v>
      </c>
      <c r="AJ303" t="n">
        <v>0</v>
      </c>
      <c r="AK303" t="n">
        <v>12</v>
      </c>
      <c r="AL303" t="n">
        <v>0</v>
      </c>
      <c r="AM303" t="n">
        <v>3</v>
      </c>
      <c r="AN303" t="n">
        <v>0</v>
      </c>
      <c r="AO303" t="n">
        <v>0</v>
      </c>
      <c r="AP303" t="inlineStr">
        <is>
          <t>No</t>
        </is>
      </c>
      <c r="AQ303" t="inlineStr">
        <is>
          <t>Yes</t>
        </is>
      </c>
      <c r="AR303">
        <f>HYPERLINK("http://catalog.hathitrust.org/Record/009170726","HathiTrust Record")</f>
        <v/>
      </c>
      <c r="AS303">
        <f>HYPERLINK("https://creighton-primo.hosted.exlibrisgroup.com/primo-explore/search?tab=default_tab&amp;search_scope=EVERYTHING&amp;vid=01CRU&amp;lang=en_US&amp;offset=0&amp;query=any,contains,991002823099702656","Catalog Record")</f>
        <v/>
      </c>
      <c r="AT303">
        <f>HYPERLINK("http://www.worldcat.org/oclc/468584","WorldCat Record")</f>
        <v/>
      </c>
      <c r="AU303" t="inlineStr">
        <is>
          <t>1344104:eng</t>
        </is>
      </c>
      <c r="AV303" t="inlineStr">
        <is>
          <t>468584</t>
        </is>
      </c>
      <c r="AW303" t="inlineStr">
        <is>
          <t>991002823099702656</t>
        </is>
      </c>
      <c r="AX303" t="inlineStr">
        <is>
          <t>991002823099702656</t>
        </is>
      </c>
      <c r="AY303" t="inlineStr">
        <is>
          <t>2262996560002656</t>
        </is>
      </c>
      <c r="AZ303" t="inlineStr">
        <is>
          <t>BOOK</t>
        </is>
      </c>
      <c r="BC303" t="inlineStr">
        <is>
          <t>32285001476752</t>
        </is>
      </c>
      <c r="BD303" t="inlineStr">
        <is>
          <t>893780266</t>
        </is>
      </c>
    </row>
    <row r="304">
      <c r="A304" t="inlineStr">
        <is>
          <t>No</t>
        </is>
      </c>
      <c r="B304" t="inlineStr">
        <is>
          <t>QL447.5 .K56 1994</t>
        </is>
      </c>
      <c r="C304" t="inlineStr">
        <is>
          <t>0                      QL 0447500K  56          1994</t>
        </is>
      </c>
      <c r="D304" t="inlineStr">
        <is>
          <t>The biology of tardigrades / by Ian M. Kinchin.</t>
        </is>
      </c>
      <c r="F304" t="inlineStr">
        <is>
          <t>No</t>
        </is>
      </c>
      <c r="G304" t="inlineStr">
        <is>
          <t>1</t>
        </is>
      </c>
      <c r="H304" t="inlineStr">
        <is>
          <t>No</t>
        </is>
      </c>
      <c r="I304" t="inlineStr">
        <is>
          <t>No</t>
        </is>
      </c>
      <c r="J304" t="inlineStr">
        <is>
          <t>0</t>
        </is>
      </c>
      <c r="K304" t="inlineStr">
        <is>
          <t>Kinchin, Ian M.</t>
        </is>
      </c>
      <c r="L304" t="inlineStr">
        <is>
          <t>London : Portland Press, c1994.</t>
        </is>
      </c>
      <c r="M304" t="inlineStr">
        <is>
          <t>1994</t>
        </is>
      </c>
      <c r="O304" t="inlineStr">
        <is>
          <t>eng</t>
        </is>
      </c>
      <c r="P304" t="inlineStr">
        <is>
          <t>enk</t>
        </is>
      </c>
      <c r="R304" t="inlineStr">
        <is>
          <t xml:space="preserve">QL </t>
        </is>
      </c>
      <c r="S304" t="n">
        <v>2</v>
      </c>
      <c r="T304" t="n">
        <v>2</v>
      </c>
      <c r="U304" t="inlineStr">
        <is>
          <t>2003-02-09</t>
        </is>
      </c>
      <c r="V304" t="inlineStr">
        <is>
          <t>2003-02-09</t>
        </is>
      </c>
      <c r="W304" t="inlineStr">
        <is>
          <t>1995-04-24</t>
        </is>
      </c>
      <c r="X304" t="inlineStr">
        <is>
          <t>1995-04-24</t>
        </is>
      </c>
      <c r="Y304" t="n">
        <v>222</v>
      </c>
      <c r="Z304" t="n">
        <v>180</v>
      </c>
      <c r="AA304" t="n">
        <v>216</v>
      </c>
      <c r="AB304" t="n">
        <v>3</v>
      </c>
      <c r="AC304" t="n">
        <v>3</v>
      </c>
      <c r="AD304" t="n">
        <v>9</v>
      </c>
      <c r="AE304" t="n">
        <v>10</v>
      </c>
      <c r="AF304" t="n">
        <v>3</v>
      </c>
      <c r="AG304" t="n">
        <v>3</v>
      </c>
      <c r="AH304" t="n">
        <v>1</v>
      </c>
      <c r="AI304" t="n">
        <v>2</v>
      </c>
      <c r="AJ304" t="n">
        <v>4</v>
      </c>
      <c r="AK304" t="n">
        <v>4</v>
      </c>
      <c r="AL304" t="n">
        <v>2</v>
      </c>
      <c r="AM304" t="n">
        <v>2</v>
      </c>
      <c r="AN304" t="n">
        <v>0</v>
      </c>
      <c r="AO304" t="n">
        <v>0</v>
      </c>
      <c r="AP304" t="inlineStr">
        <is>
          <t>No</t>
        </is>
      </c>
      <c r="AQ304" t="inlineStr">
        <is>
          <t>Yes</t>
        </is>
      </c>
      <c r="AR304">
        <f>HYPERLINK("http://catalog.hathitrust.org/Record/003038019","HathiTrust Record")</f>
        <v/>
      </c>
      <c r="AS304">
        <f>HYPERLINK("https://creighton-primo.hosted.exlibrisgroup.com/primo-explore/search?tab=default_tab&amp;search_scope=EVERYTHING&amp;vid=01CRU&amp;lang=en_US&amp;offset=0&amp;query=any,contains,991002398329702656","Catalog Record")</f>
        <v/>
      </c>
      <c r="AT304">
        <f>HYPERLINK("http://www.worldcat.org/oclc/258889944","WorldCat Record")</f>
        <v/>
      </c>
      <c r="AU304" t="inlineStr">
        <is>
          <t>20644094:eng</t>
        </is>
      </c>
      <c r="AV304" t="inlineStr">
        <is>
          <t>258889944</t>
        </is>
      </c>
      <c r="AW304" t="inlineStr">
        <is>
          <t>991002398329702656</t>
        </is>
      </c>
      <c r="AX304" t="inlineStr">
        <is>
          <t>991002398329702656</t>
        </is>
      </c>
      <c r="AY304" t="inlineStr">
        <is>
          <t>2272083580002656</t>
        </is>
      </c>
      <c r="AZ304" t="inlineStr">
        <is>
          <t>BOOK</t>
        </is>
      </c>
      <c r="BB304" t="inlineStr">
        <is>
          <t>9781855780439</t>
        </is>
      </c>
      <c r="BC304" t="inlineStr">
        <is>
          <t>32285002035722</t>
        </is>
      </c>
      <c r="BD304" t="inlineStr">
        <is>
          <t>893529930</t>
        </is>
      </c>
    </row>
    <row r="305">
      <c r="A305" t="inlineStr">
        <is>
          <t>No</t>
        </is>
      </c>
      <c r="B305" t="inlineStr">
        <is>
          <t>QL447.7 .P48</t>
        </is>
      </c>
      <c r="C305" t="inlineStr">
        <is>
          <t>0                      QL 0447700P  48</t>
        </is>
      </c>
      <c r="D305" t="inlineStr">
        <is>
          <t>Physiology and biology of horseshoe crabs / editors, Joseph Bonaventura, Celia Bonaventura, Shirley Tesh.</t>
        </is>
      </c>
      <c r="F305" t="inlineStr">
        <is>
          <t>No</t>
        </is>
      </c>
      <c r="G305" t="inlineStr">
        <is>
          <t>1</t>
        </is>
      </c>
      <c r="H305" t="inlineStr">
        <is>
          <t>No</t>
        </is>
      </c>
      <c r="I305" t="inlineStr">
        <is>
          <t>No</t>
        </is>
      </c>
      <c r="J305" t="inlineStr">
        <is>
          <t>0</t>
        </is>
      </c>
      <c r="L305" t="inlineStr">
        <is>
          <t>New York : A.R. Liss, [1982]</t>
        </is>
      </c>
      <c r="M305" t="inlineStr">
        <is>
          <t>1982</t>
        </is>
      </c>
      <c r="O305" t="inlineStr">
        <is>
          <t>eng</t>
        </is>
      </c>
      <c r="P305" t="inlineStr">
        <is>
          <t>nyu</t>
        </is>
      </c>
      <c r="Q305" t="inlineStr">
        <is>
          <t>Progress in clinical and biological research ; v. 81</t>
        </is>
      </c>
      <c r="R305" t="inlineStr">
        <is>
          <t xml:space="preserve">QL </t>
        </is>
      </c>
      <c r="S305" t="n">
        <v>5</v>
      </c>
      <c r="T305" t="n">
        <v>5</v>
      </c>
      <c r="U305" t="inlineStr">
        <is>
          <t>2006-02-26</t>
        </is>
      </c>
      <c r="V305" t="inlineStr">
        <is>
          <t>2006-02-26</t>
        </is>
      </c>
      <c r="W305" t="inlineStr">
        <is>
          <t>1993-05-26</t>
        </is>
      </c>
      <c r="X305" t="inlineStr">
        <is>
          <t>1993-05-26</t>
        </is>
      </c>
      <c r="Y305" t="n">
        <v>225</v>
      </c>
      <c r="Z305" t="n">
        <v>188</v>
      </c>
      <c r="AA305" t="n">
        <v>190</v>
      </c>
      <c r="AB305" t="n">
        <v>3</v>
      </c>
      <c r="AC305" t="n">
        <v>3</v>
      </c>
      <c r="AD305" t="n">
        <v>7</v>
      </c>
      <c r="AE305" t="n">
        <v>7</v>
      </c>
      <c r="AF305" t="n">
        <v>1</v>
      </c>
      <c r="AG305" t="n">
        <v>1</v>
      </c>
      <c r="AH305" t="n">
        <v>1</v>
      </c>
      <c r="AI305" t="n">
        <v>1</v>
      </c>
      <c r="AJ305" t="n">
        <v>5</v>
      </c>
      <c r="AK305" t="n">
        <v>5</v>
      </c>
      <c r="AL305" t="n">
        <v>2</v>
      </c>
      <c r="AM305" t="n">
        <v>2</v>
      </c>
      <c r="AN305" t="n">
        <v>0</v>
      </c>
      <c r="AO305" t="n">
        <v>0</v>
      </c>
      <c r="AP305" t="inlineStr">
        <is>
          <t>No</t>
        </is>
      </c>
      <c r="AQ305" t="inlineStr">
        <is>
          <t>Yes</t>
        </is>
      </c>
      <c r="AR305">
        <f>HYPERLINK("http://catalog.hathitrust.org/Record/000104779","HathiTrust Record")</f>
        <v/>
      </c>
      <c r="AS305">
        <f>HYPERLINK("https://creighton-primo.hosted.exlibrisgroup.com/primo-explore/search?tab=default_tab&amp;search_scope=EVERYTHING&amp;vid=01CRU&amp;lang=en_US&amp;offset=0&amp;query=any,contains,991005220499702656","Catalog Record")</f>
        <v/>
      </c>
      <c r="AT305">
        <f>HYPERLINK("http://www.worldcat.org/oclc/8221841","WorldCat Record")</f>
        <v/>
      </c>
      <c r="AU305" t="inlineStr">
        <is>
          <t>795269203:eng</t>
        </is>
      </c>
      <c r="AV305" t="inlineStr">
        <is>
          <t>8221841</t>
        </is>
      </c>
      <c r="AW305" t="inlineStr">
        <is>
          <t>991005220499702656</t>
        </is>
      </c>
      <c r="AX305" t="inlineStr">
        <is>
          <t>991005220499702656</t>
        </is>
      </c>
      <c r="AY305" t="inlineStr">
        <is>
          <t>2266709520002656</t>
        </is>
      </c>
      <c r="AZ305" t="inlineStr">
        <is>
          <t>BOOK</t>
        </is>
      </c>
      <c r="BB305" t="inlineStr">
        <is>
          <t>9780845100813</t>
        </is>
      </c>
      <c r="BC305" t="inlineStr">
        <is>
          <t>32285001686897</t>
        </is>
      </c>
      <c r="BD305" t="inlineStr">
        <is>
          <t>893801950</t>
        </is>
      </c>
    </row>
    <row r="306">
      <c r="A306" t="inlineStr">
        <is>
          <t>No</t>
        </is>
      </c>
      <c r="B306" t="inlineStr">
        <is>
          <t>QL449.5 .L48 1981</t>
        </is>
      </c>
      <c r="C306" t="inlineStr">
        <is>
          <t>0                      QL 0449500L  48          1981</t>
        </is>
      </c>
      <c r="D306" t="inlineStr">
        <is>
          <t>The biology of centipedes / J.G.E. Lewis.</t>
        </is>
      </c>
      <c r="F306" t="inlineStr">
        <is>
          <t>No</t>
        </is>
      </c>
      <c r="G306" t="inlineStr">
        <is>
          <t>1</t>
        </is>
      </c>
      <c r="H306" t="inlineStr">
        <is>
          <t>No</t>
        </is>
      </c>
      <c r="I306" t="inlineStr">
        <is>
          <t>No</t>
        </is>
      </c>
      <c r="J306" t="inlineStr">
        <is>
          <t>0</t>
        </is>
      </c>
      <c r="K306" t="inlineStr">
        <is>
          <t>Lewis, J. G. E. (John Gordon Elkan)</t>
        </is>
      </c>
      <c r="L306" t="inlineStr">
        <is>
          <t>Cambridge [Eng.] ; New York : Cambridge University Press, 1981.</t>
        </is>
      </c>
      <c r="M306" t="inlineStr">
        <is>
          <t>1981</t>
        </is>
      </c>
      <c r="O306" t="inlineStr">
        <is>
          <t>eng</t>
        </is>
      </c>
      <c r="P306" t="inlineStr">
        <is>
          <t>enk</t>
        </is>
      </c>
      <c r="R306" t="inlineStr">
        <is>
          <t xml:space="preserve">QL </t>
        </is>
      </c>
      <c r="S306" t="n">
        <v>3</v>
      </c>
      <c r="T306" t="n">
        <v>3</v>
      </c>
      <c r="U306" t="inlineStr">
        <is>
          <t>2005-02-23</t>
        </is>
      </c>
      <c r="V306" t="inlineStr">
        <is>
          <t>2005-02-23</t>
        </is>
      </c>
      <c r="W306" t="inlineStr">
        <is>
          <t>1993-05-26</t>
        </is>
      </c>
      <c r="X306" t="inlineStr">
        <is>
          <t>1993-05-26</t>
        </is>
      </c>
      <c r="Y306" t="n">
        <v>427</v>
      </c>
      <c r="Z306" t="n">
        <v>323</v>
      </c>
      <c r="AA306" t="n">
        <v>337</v>
      </c>
      <c r="AB306" t="n">
        <v>3</v>
      </c>
      <c r="AC306" t="n">
        <v>3</v>
      </c>
      <c r="AD306" t="n">
        <v>10</v>
      </c>
      <c r="AE306" t="n">
        <v>10</v>
      </c>
      <c r="AF306" t="n">
        <v>4</v>
      </c>
      <c r="AG306" t="n">
        <v>4</v>
      </c>
      <c r="AH306" t="n">
        <v>3</v>
      </c>
      <c r="AI306" t="n">
        <v>3</v>
      </c>
      <c r="AJ306" t="n">
        <v>4</v>
      </c>
      <c r="AK306" t="n">
        <v>4</v>
      </c>
      <c r="AL306" t="n">
        <v>2</v>
      </c>
      <c r="AM306" t="n">
        <v>2</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HYPERLINK("https://creighton-primo.hosted.exlibrisgroup.com/primo-explore/search?tab=default_tab&amp;search_scope=EVERYTHING&amp;vid=01CRU&amp;lang=en_US&amp;offset=0&amp;query=any,contains,991005011279702656","Catalog Record")</f>
        <v/>
      </c>
      <c r="AT306">
        <f>HYPERLINK("http://www.worldcat.org/oclc/6602857","WorldCat Record")</f>
        <v/>
      </c>
      <c r="AU306" t="inlineStr">
        <is>
          <t>20415149:eng</t>
        </is>
      </c>
      <c r="AV306" t="inlineStr">
        <is>
          <t>6602857</t>
        </is>
      </c>
      <c r="AW306" t="inlineStr">
        <is>
          <t>991005011279702656</t>
        </is>
      </c>
      <c r="AX306" t="inlineStr">
        <is>
          <t>991005011279702656</t>
        </is>
      </c>
      <c r="AY306" t="inlineStr">
        <is>
          <t>2255667570002656</t>
        </is>
      </c>
      <c r="AZ306" t="inlineStr">
        <is>
          <t>BOOK</t>
        </is>
      </c>
      <c r="BB306" t="inlineStr">
        <is>
          <t>9780521234139</t>
        </is>
      </c>
      <c r="BC306" t="inlineStr">
        <is>
          <t>32285001686905</t>
        </is>
      </c>
      <c r="BD306" t="inlineStr">
        <is>
          <t>893418263</t>
        </is>
      </c>
    </row>
    <row r="307">
      <c r="A307" t="inlineStr">
        <is>
          <t>No</t>
        </is>
      </c>
      <c r="B307" t="inlineStr">
        <is>
          <t>QL457.1 .C7</t>
        </is>
      </c>
      <c r="C307" t="inlineStr">
        <is>
          <t>0                      QL 0457100C  7</t>
        </is>
      </c>
      <c r="D307" t="inlineStr">
        <is>
          <t>The spider book; a manual for the study of the spiders and their near relatives, the scorpions, pseudoscorpions, whip-scorpions, harvestmen, and other members of the class Arachnida, found in America north of Mexico, with analytical keys for their classification and popular accounts of their habits; by John Henry Comstock ...</t>
        </is>
      </c>
      <c r="F307" t="inlineStr">
        <is>
          <t>No</t>
        </is>
      </c>
      <c r="G307" t="inlineStr">
        <is>
          <t>1</t>
        </is>
      </c>
      <c r="H307" t="inlineStr">
        <is>
          <t>No</t>
        </is>
      </c>
      <c r="I307" t="inlineStr">
        <is>
          <t>No</t>
        </is>
      </c>
      <c r="J307" t="inlineStr">
        <is>
          <t>0</t>
        </is>
      </c>
      <c r="K307" t="inlineStr">
        <is>
          <t>Comstock, John Henry, 1849-1931.</t>
        </is>
      </c>
      <c r="L307" t="inlineStr">
        <is>
          <t>Garden City, New York, Doubleday, Page &amp; Company, 1912.</t>
        </is>
      </c>
      <c r="M307" t="inlineStr">
        <is>
          <t>1912</t>
        </is>
      </c>
      <c r="O307" t="inlineStr">
        <is>
          <t>eng</t>
        </is>
      </c>
      <c r="P307" t="inlineStr">
        <is>
          <t>nyu</t>
        </is>
      </c>
      <c r="R307" t="inlineStr">
        <is>
          <t xml:space="preserve">QL </t>
        </is>
      </c>
      <c r="S307" t="n">
        <v>6</v>
      </c>
      <c r="T307" t="n">
        <v>6</v>
      </c>
      <c r="U307" t="inlineStr">
        <is>
          <t>2005-02-18</t>
        </is>
      </c>
      <c r="V307" t="inlineStr">
        <is>
          <t>2005-02-18</t>
        </is>
      </c>
      <c r="W307" t="inlineStr">
        <is>
          <t>1997-07-23</t>
        </is>
      </c>
      <c r="X307" t="inlineStr">
        <is>
          <t>1997-07-23</t>
        </is>
      </c>
      <c r="Y307" t="n">
        <v>352</v>
      </c>
      <c r="Z307" t="n">
        <v>320</v>
      </c>
      <c r="AA307" t="n">
        <v>1098</v>
      </c>
      <c r="AB307" t="n">
        <v>2</v>
      </c>
      <c r="AC307" t="n">
        <v>9</v>
      </c>
      <c r="AD307" t="n">
        <v>12</v>
      </c>
      <c r="AE307" t="n">
        <v>43</v>
      </c>
      <c r="AF307" t="n">
        <v>4</v>
      </c>
      <c r="AG307" t="n">
        <v>19</v>
      </c>
      <c r="AH307" t="n">
        <v>4</v>
      </c>
      <c r="AI307" t="n">
        <v>9</v>
      </c>
      <c r="AJ307" t="n">
        <v>6</v>
      </c>
      <c r="AK307" t="n">
        <v>19</v>
      </c>
      <c r="AL307" t="n">
        <v>1</v>
      </c>
      <c r="AM307" t="n">
        <v>7</v>
      </c>
      <c r="AN307" t="n">
        <v>0</v>
      </c>
      <c r="AO307" t="n">
        <v>0</v>
      </c>
      <c r="AP307" t="inlineStr">
        <is>
          <t>Yes</t>
        </is>
      </c>
      <c r="AQ307" t="inlineStr">
        <is>
          <t>No</t>
        </is>
      </c>
      <c r="AR307">
        <f>HYPERLINK("http://catalog.hathitrust.org/Record/001499878","HathiTrust Record")</f>
        <v/>
      </c>
      <c r="AS307">
        <f>HYPERLINK("https://creighton-primo.hosted.exlibrisgroup.com/primo-explore/search?tab=default_tab&amp;search_scope=EVERYTHING&amp;vid=01CRU&amp;lang=en_US&amp;offset=0&amp;query=any,contains,991003722839702656","Catalog Record")</f>
        <v/>
      </c>
      <c r="AT307">
        <f>HYPERLINK("http://www.worldcat.org/oclc/1367211","WorldCat Record")</f>
        <v/>
      </c>
      <c r="AU307" t="inlineStr">
        <is>
          <t>2491961:eng</t>
        </is>
      </c>
      <c r="AV307" t="inlineStr">
        <is>
          <t>1367211</t>
        </is>
      </c>
      <c r="AW307" t="inlineStr">
        <is>
          <t>991003722839702656</t>
        </is>
      </c>
      <c r="AX307" t="inlineStr">
        <is>
          <t>991003722839702656</t>
        </is>
      </c>
      <c r="AY307" t="inlineStr">
        <is>
          <t>2256819080002656</t>
        </is>
      </c>
      <c r="AZ307" t="inlineStr">
        <is>
          <t>BOOK</t>
        </is>
      </c>
      <c r="BC307" t="inlineStr">
        <is>
          <t>32285002980497</t>
        </is>
      </c>
      <c r="BD307" t="inlineStr">
        <is>
          <t>893505918</t>
        </is>
      </c>
    </row>
    <row r="308">
      <c r="A308" t="inlineStr">
        <is>
          <t>No</t>
        </is>
      </c>
      <c r="B308" t="inlineStr">
        <is>
          <t>QL458.2.I9 P65</t>
        </is>
      </c>
      <c r="C308" t="inlineStr">
        <is>
          <t>0                      QL 0458200I  9                  P  65</t>
        </is>
      </c>
      <c r="D308" t="inlineStr">
        <is>
          <t>A translation of Fauna of U.S.S.R., Archnida, vol. 4, no. 2 [new series no. 41] Ixodid ticks (Ixodidae) [by] B.I. Pomerantsev. Trans. by Alena Elbl. Ed. by George Anastos.</t>
        </is>
      </c>
      <c r="F308" t="inlineStr">
        <is>
          <t>No</t>
        </is>
      </c>
      <c r="G308" t="inlineStr">
        <is>
          <t>1</t>
        </is>
      </c>
      <c r="H308" t="inlineStr">
        <is>
          <t>No</t>
        </is>
      </c>
      <c r="I308" t="inlineStr">
        <is>
          <t>No</t>
        </is>
      </c>
      <c r="J308" t="inlineStr">
        <is>
          <t>0</t>
        </is>
      </c>
      <c r="K308" t="inlineStr">
        <is>
          <t>Pomerantsev, B. I.</t>
        </is>
      </c>
      <c r="L308" t="inlineStr">
        <is>
          <t>Washington, D.C., American Institute of Biological Sciences [1959]</t>
        </is>
      </c>
      <c r="M308" t="inlineStr">
        <is>
          <t>1959</t>
        </is>
      </c>
      <c r="O308" t="inlineStr">
        <is>
          <t>eng</t>
        </is>
      </c>
      <c r="P308" t="inlineStr">
        <is>
          <t>dcu</t>
        </is>
      </c>
      <c r="R308" t="inlineStr">
        <is>
          <t xml:space="preserve">QL </t>
        </is>
      </c>
      <c r="S308" t="n">
        <v>3</v>
      </c>
      <c r="T308" t="n">
        <v>3</v>
      </c>
      <c r="U308" t="inlineStr">
        <is>
          <t>2005-02-26</t>
        </is>
      </c>
      <c r="V308" t="inlineStr">
        <is>
          <t>2005-02-26</t>
        </is>
      </c>
      <c r="W308" t="inlineStr">
        <is>
          <t>1997-07-23</t>
        </is>
      </c>
      <c r="X308" t="inlineStr">
        <is>
          <t>1997-07-23</t>
        </is>
      </c>
      <c r="Y308" t="n">
        <v>5</v>
      </c>
      <c r="Z308" t="n">
        <v>5</v>
      </c>
      <c r="AA308" t="n">
        <v>5</v>
      </c>
      <c r="AB308" t="n">
        <v>1</v>
      </c>
      <c r="AC308" t="n">
        <v>1</v>
      </c>
      <c r="AD308" t="n">
        <v>0</v>
      </c>
      <c r="AE308" t="n">
        <v>0</v>
      </c>
      <c r="AF308" t="n">
        <v>0</v>
      </c>
      <c r="AG308" t="n">
        <v>0</v>
      </c>
      <c r="AH308" t="n">
        <v>0</v>
      </c>
      <c r="AI308" t="n">
        <v>0</v>
      </c>
      <c r="AJ308" t="n">
        <v>0</v>
      </c>
      <c r="AK308" t="n">
        <v>0</v>
      </c>
      <c r="AL308" t="n">
        <v>0</v>
      </c>
      <c r="AM308" t="n">
        <v>0</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HYPERLINK("https://creighton-primo.hosted.exlibrisgroup.com/primo-explore/search?tab=default_tab&amp;search_scope=EVERYTHING&amp;vid=01CRU&amp;lang=en_US&amp;offset=0&amp;query=any,contains,991002544279702656","Catalog Record")</f>
        <v/>
      </c>
      <c r="AT308">
        <f>HYPERLINK("http://www.worldcat.org/oclc/33060996","WorldCat Record")</f>
        <v/>
      </c>
      <c r="AU308" t="inlineStr">
        <is>
          <t>37400559:eng</t>
        </is>
      </c>
      <c r="AV308" t="inlineStr">
        <is>
          <t>33060996</t>
        </is>
      </c>
      <c r="AW308" t="inlineStr">
        <is>
          <t>991002544279702656</t>
        </is>
      </c>
      <c r="AX308" t="inlineStr">
        <is>
          <t>991002544279702656</t>
        </is>
      </c>
      <c r="AY308" t="inlineStr">
        <is>
          <t>2256367330002656</t>
        </is>
      </c>
      <c r="AZ308" t="inlineStr">
        <is>
          <t>BOOK</t>
        </is>
      </c>
      <c r="BC308" t="inlineStr">
        <is>
          <t>32285002980521</t>
        </is>
      </c>
      <c r="BD308" t="inlineStr">
        <is>
          <t>893245303</t>
        </is>
      </c>
    </row>
    <row r="309">
      <c r="A309" t="inlineStr">
        <is>
          <t>No</t>
        </is>
      </c>
      <c r="B309" t="inlineStr">
        <is>
          <t>QL458.4 .G47 1979</t>
        </is>
      </c>
      <c r="C309" t="inlineStr">
        <is>
          <t>0                      QL 0458400G  47          1979</t>
        </is>
      </c>
      <c r="D309" t="inlineStr">
        <is>
          <t>American spiders / Willis J. Gertsch.</t>
        </is>
      </c>
      <c r="F309" t="inlineStr">
        <is>
          <t>No</t>
        </is>
      </c>
      <c r="G309" t="inlineStr">
        <is>
          <t>1</t>
        </is>
      </c>
      <c r="H309" t="inlineStr">
        <is>
          <t>No</t>
        </is>
      </c>
      <c r="I309" t="inlineStr">
        <is>
          <t>No</t>
        </is>
      </c>
      <c r="J309" t="inlineStr">
        <is>
          <t>0</t>
        </is>
      </c>
      <c r="K309" t="inlineStr">
        <is>
          <t>Gertsch, Willis John, 1906-</t>
        </is>
      </c>
      <c r="L309" t="inlineStr">
        <is>
          <t>New York : Van Nostrand Reinhold Co., c1979.</t>
        </is>
      </c>
      <c r="M309" t="inlineStr">
        <is>
          <t>1979</t>
        </is>
      </c>
      <c r="N309" t="inlineStr">
        <is>
          <t>2d ed.</t>
        </is>
      </c>
      <c r="O309" t="inlineStr">
        <is>
          <t>eng</t>
        </is>
      </c>
      <c r="P309" t="inlineStr">
        <is>
          <t>nyu</t>
        </is>
      </c>
      <c r="R309" t="inlineStr">
        <is>
          <t xml:space="preserve">QL </t>
        </is>
      </c>
      <c r="S309" t="n">
        <v>20</v>
      </c>
      <c r="T309" t="n">
        <v>20</v>
      </c>
      <c r="U309" t="inlineStr">
        <is>
          <t>2009-03-02</t>
        </is>
      </c>
      <c r="V309" t="inlineStr">
        <is>
          <t>2009-03-02</t>
        </is>
      </c>
      <c r="W309" t="inlineStr">
        <is>
          <t>1990-07-03</t>
        </is>
      </c>
      <c r="X309" t="inlineStr">
        <is>
          <t>1990-07-03</t>
        </is>
      </c>
      <c r="Y309" t="n">
        <v>902</v>
      </c>
      <c r="Z309" t="n">
        <v>827</v>
      </c>
      <c r="AA309" t="n">
        <v>1251</v>
      </c>
      <c r="AB309" t="n">
        <v>8</v>
      </c>
      <c r="AC309" t="n">
        <v>10</v>
      </c>
      <c r="AD309" t="n">
        <v>21</v>
      </c>
      <c r="AE309" t="n">
        <v>33</v>
      </c>
      <c r="AF309" t="n">
        <v>6</v>
      </c>
      <c r="AG309" t="n">
        <v>13</v>
      </c>
      <c r="AH309" t="n">
        <v>3</v>
      </c>
      <c r="AI309" t="n">
        <v>5</v>
      </c>
      <c r="AJ309" t="n">
        <v>11</v>
      </c>
      <c r="AK309" t="n">
        <v>17</v>
      </c>
      <c r="AL309" t="n">
        <v>6</v>
      </c>
      <c r="AM309" t="n">
        <v>7</v>
      </c>
      <c r="AN309" t="n">
        <v>0</v>
      </c>
      <c r="AO309" t="n">
        <v>0</v>
      </c>
      <c r="AP309" t="inlineStr">
        <is>
          <t>No</t>
        </is>
      </c>
      <c r="AQ309" t="inlineStr">
        <is>
          <t>Yes</t>
        </is>
      </c>
      <c r="AR309">
        <f>HYPERLINK("http://catalog.hathitrust.org/Record/000041153","HathiTrust Record")</f>
        <v/>
      </c>
      <c r="AS309">
        <f>HYPERLINK("https://creighton-primo.hosted.exlibrisgroup.com/primo-explore/search?tab=default_tab&amp;search_scope=EVERYTHING&amp;vid=01CRU&amp;lang=en_US&amp;offset=0&amp;query=any,contains,991004527879702656","Catalog Record")</f>
        <v/>
      </c>
      <c r="AT309">
        <f>HYPERLINK("http://www.worldcat.org/oclc/3844201","WorldCat Record")</f>
        <v/>
      </c>
      <c r="AU309" t="inlineStr">
        <is>
          <t>481656:eng</t>
        </is>
      </c>
      <c r="AV309" t="inlineStr">
        <is>
          <t>3844201</t>
        </is>
      </c>
      <c r="AW309" t="inlineStr">
        <is>
          <t>991004527879702656</t>
        </is>
      </c>
      <c r="AX309" t="inlineStr">
        <is>
          <t>991004527879702656</t>
        </is>
      </c>
      <c r="AY309" t="inlineStr">
        <is>
          <t>2264778860002656</t>
        </is>
      </c>
      <c r="AZ309" t="inlineStr">
        <is>
          <t>BOOK</t>
        </is>
      </c>
      <c r="BB309" t="inlineStr">
        <is>
          <t>9780442226497</t>
        </is>
      </c>
      <c r="BC309" t="inlineStr">
        <is>
          <t>32285000225150</t>
        </is>
      </c>
      <c r="BD309" t="inlineStr">
        <is>
          <t>893624820</t>
        </is>
      </c>
    </row>
    <row r="310">
      <c r="A310" t="inlineStr">
        <is>
          <t>No</t>
        </is>
      </c>
      <c r="B310" t="inlineStr">
        <is>
          <t>QL458.4 .M678 2007</t>
        </is>
      </c>
      <c r="C310" t="inlineStr">
        <is>
          <t>0                      QL 0458400M  678         2007</t>
        </is>
      </c>
      <c r="D310" t="inlineStr">
        <is>
          <t>Predator upon a flower : life history and fitness in a crab spider / Douglass H. Morse.</t>
        </is>
      </c>
      <c r="F310" t="inlineStr">
        <is>
          <t>No</t>
        </is>
      </c>
      <c r="G310" t="inlineStr">
        <is>
          <t>1</t>
        </is>
      </c>
      <c r="H310" t="inlineStr">
        <is>
          <t>No</t>
        </is>
      </c>
      <c r="I310" t="inlineStr">
        <is>
          <t>No</t>
        </is>
      </c>
      <c r="J310" t="inlineStr">
        <is>
          <t>0</t>
        </is>
      </c>
      <c r="K310" t="inlineStr">
        <is>
          <t>Morse, Douglass H., 1938-</t>
        </is>
      </c>
      <c r="L310" t="inlineStr">
        <is>
          <t>Cambridge, Mass. : Harvard University Press, 2007.</t>
        </is>
      </c>
      <c r="M310" t="inlineStr">
        <is>
          <t>2007</t>
        </is>
      </c>
      <c r="O310" t="inlineStr">
        <is>
          <t>eng</t>
        </is>
      </c>
      <c r="P310" t="inlineStr">
        <is>
          <t>mau</t>
        </is>
      </c>
      <c r="R310" t="inlineStr">
        <is>
          <t xml:space="preserve">QL </t>
        </is>
      </c>
      <c r="S310" t="n">
        <v>2</v>
      </c>
      <c r="T310" t="n">
        <v>2</v>
      </c>
      <c r="U310" t="inlineStr">
        <is>
          <t>2009-02-22</t>
        </is>
      </c>
      <c r="V310" t="inlineStr">
        <is>
          <t>2009-02-22</t>
        </is>
      </c>
      <c r="W310" t="inlineStr">
        <is>
          <t>2008-03-11</t>
        </is>
      </c>
      <c r="X310" t="inlineStr">
        <is>
          <t>2008-03-11</t>
        </is>
      </c>
      <c r="Y310" t="n">
        <v>264</v>
      </c>
      <c r="Z310" t="n">
        <v>216</v>
      </c>
      <c r="AA310" t="n">
        <v>221</v>
      </c>
      <c r="AB310" t="n">
        <v>2</v>
      </c>
      <c r="AC310" t="n">
        <v>2</v>
      </c>
      <c r="AD310" t="n">
        <v>9</v>
      </c>
      <c r="AE310" t="n">
        <v>9</v>
      </c>
      <c r="AF310" t="n">
        <v>3</v>
      </c>
      <c r="AG310" t="n">
        <v>3</v>
      </c>
      <c r="AH310" t="n">
        <v>2</v>
      </c>
      <c r="AI310" t="n">
        <v>2</v>
      </c>
      <c r="AJ310" t="n">
        <v>5</v>
      </c>
      <c r="AK310" t="n">
        <v>5</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HYPERLINK("https://creighton-primo.hosted.exlibrisgroup.com/primo-explore/search?tab=default_tab&amp;search_scope=EVERYTHING&amp;vid=01CRU&amp;lang=en_US&amp;offset=0&amp;query=any,contains,991005183539702656","Catalog Record")</f>
        <v/>
      </c>
      <c r="AT310">
        <f>HYPERLINK("http://www.worldcat.org/oclc/80181392","WorldCat Record")</f>
        <v/>
      </c>
      <c r="AU310" t="inlineStr">
        <is>
          <t>368437203:eng</t>
        </is>
      </c>
      <c r="AV310" t="inlineStr">
        <is>
          <t>80181392</t>
        </is>
      </c>
      <c r="AW310" t="inlineStr">
        <is>
          <t>991005183539702656</t>
        </is>
      </c>
      <c r="AX310" t="inlineStr">
        <is>
          <t>991005183539702656</t>
        </is>
      </c>
      <c r="AY310" t="inlineStr">
        <is>
          <t>2257216170002656</t>
        </is>
      </c>
      <c r="AZ310" t="inlineStr">
        <is>
          <t>BOOK</t>
        </is>
      </c>
      <c r="BB310" t="inlineStr">
        <is>
          <t>9780674024809</t>
        </is>
      </c>
      <c r="BC310" t="inlineStr">
        <is>
          <t>32285005396899</t>
        </is>
      </c>
      <c r="BD310" t="inlineStr">
        <is>
          <t>893248502</t>
        </is>
      </c>
    </row>
    <row r="311">
      <c r="A311" t="inlineStr">
        <is>
          <t>No</t>
        </is>
      </c>
      <c r="B311" t="inlineStr">
        <is>
          <t>QL458.5 .H37 2007</t>
        </is>
      </c>
      <c r="C311" t="inlineStr">
        <is>
          <t>0                      QL 0458500H  37          2007</t>
        </is>
      </c>
      <c r="D311" t="inlineStr">
        <is>
          <t>Harvestmen : the biology of Opiliones / edited by Ricardo Pinto-da-Rocha, Glauco Machado, Gonzalo Giribet.</t>
        </is>
      </c>
      <c r="F311" t="inlineStr">
        <is>
          <t>No</t>
        </is>
      </c>
      <c r="G311" t="inlineStr">
        <is>
          <t>1</t>
        </is>
      </c>
      <c r="H311" t="inlineStr">
        <is>
          <t>No</t>
        </is>
      </c>
      <c r="I311" t="inlineStr">
        <is>
          <t>No</t>
        </is>
      </c>
      <c r="J311" t="inlineStr">
        <is>
          <t>0</t>
        </is>
      </c>
      <c r="L311" t="inlineStr">
        <is>
          <t>Cambridge, Mass. : Harvard University Press, c2007.</t>
        </is>
      </c>
      <c r="M311" t="inlineStr">
        <is>
          <t>2007</t>
        </is>
      </c>
      <c r="O311" t="inlineStr">
        <is>
          <t>eng</t>
        </is>
      </c>
      <c r="P311" t="inlineStr">
        <is>
          <t>mau</t>
        </is>
      </c>
      <c r="R311" t="inlineStr">
        <is>
          <t xml:space="preserve">QL </t>
        </is>
      </c>
      <c r="S311" t="n">
        <v>1</v>
      </c>
      <c r="T311" t="n">
        <v>1</v>
      </c>
      <c r="U311" t="inlineStr">
        <is>
          <t>2007-10-30</t>
        </is>
      </c>
      <c r="V311" t="inlineStr">
        <is>
          <t>2007-10-30</t>
        </is>
      </c>
      <c r="W311" t="inlineStr">
        <is>
          <t>2007-10-30</t>
        </is>
      </c>
      <c r="X311" t="inlineStr">
        <is>
          <t>2007-10-30</t>
        </is>
      </c>
      <c r="Y311" t="n">
        <v>252</v>
      </c>
      <c r="Z311" t="n">
        <v>204</v>
      </c>
      <c r="AA311" t="n">
        <v>205</v>
      </c>
      <c r="AB311" t="n">
        <v>2</v>
      </c>
      <c r="AC311" t="n">
        <v>2</v>
      </c>
      <c r="AD311" t="n">
        <v>8</v>
      </c>
      <c r="AE311" t="n">
        <v>8</v>
      </c>
      <c r="AF311" t="n">
        <v>3</v>
      </c>
      <c r="AG311" t="n">
        <v>3</v>
      </c>
      <c r="AH311" t="n">
        <v>2</v>
      </c>
      <c r="AI311" t="n">
        <v>2</v>
      </c>
      <c r="AJ311" t="n">
        <v>4</v>
      </c>
      <c r="AK311" t="n">
        <v>4</v>
      </c>
      <c r="AL311" t="n">
        <v>1</v>
      </c>
      <c r="AM311" t="n">
        <v>1</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HYPERLINK("https://creighton-primo.hosted.exlibrisgroup.com/primo-explore/search?tab=default_tab&amp;search_scope=EVERYTHING&amp;vid=01CRU&amp;lang=en_US&amp;offset=0&amp;query=any,contains,991005131519702656","Catalog Record")</f>
        <v/>
      </c>
      <c r="AT311">
        <f>HYPERLINK("http://www.worldcat.org/oclc/70063057","WorldCat Record")</f>
        <v/>
      </c>
      <c r="AU311" t="inlineStr">
        <is>
          <t>890830761:eng</t>
        </is>
      </c>
      <c r="AV311" t="inlineStr">
        <is>
          <t>70063057</t>
        </is>
      </c>
      <c r="AW311" t="inlineStr">
        <is>
          <t>991005131519702656</t>
        </is>
      </c>
      <c r="AX311" t="inlineStr">
        <is>
          <t>991005131519702656</t>
        </is>
      </c>
      <c r="AY311" t="inlineStr">
        <is>
          <t>2264363130002656</t>
        </is>
      </c>
      <c r="AZ311" t="inlineStr">
        <is>
          <t>BOOK</t>
        </is>
      </c>
      <c r="BB311" t="inlineStr">
        <is>
          <t>9780674023437</t>
        </is>
      </c>
      <c r="BC311" t="inlineStr">
        <is>
          <t>32285005362685</t>
        </is>
      </c>
      <c r="BD311" t="inlineStr">
        <is>
          <t>893520482</t>
        </is>
      </c>
    </row>
    <row r="312">
      <c r="A312" t="inlineStr">
        <is>
          <t>No</t>
        </is>
      </c>
      <c r="B312" t="inlineStr">
        <is>
          <t>QL458.A2 H6</t>
        </is>
      </c>
      <c r="C312" t="inlineStr">
        <is>
          <t>0                      QL 0458000A  2                  H  6</t>
        </is>
      </c>
      <c r="D312" t="inlineStr">
        <is>
          <t>Bibliography of ticks and tickborne diseases from Homer (about 800 B.C.) to 31 December 1969 / by Harry Hoogstraal. With the editorial assistance of Anna L. Gahin and Alice Djigounian, and the NAMRU-3 Medical Zoology Department Bibliographic Staff.</t>
        </is>
      </c>
      <c r="E312" t="inlineStr">
        <is>
          <t>V.1</t>
        </is>
      </c>
      <c r="F312" t="inlineStr">
        <is>
          <t>No</t>
        </is>
      </c>
      <c r="G312" t="inlineStr">
        <is>
          <t>1</t>
        </is>
      </c>
      <c r="H312" t="inlineStr">
        <is>
          <t>No</t>
        </is>
      </c>
      <c r="I312" t="inlineStr">
        <is>
          <t>No</t>
        </is>
      </c>
      <c r="J312" t="inlineStr">
        <is>
          <t>0</t>
        </is>
      </c>
      <c r="K312" t="inlineStr">
        <is>
          <t>Hoogstraal, Harry, 1917-1986.</t>
        </is>
      </c>
      <c r="L312" t="inlineStr">
        <is>
          <t>Cairo, Egypt : U.A.R., U.S. Naval Medical Research Unit No. 3, 1970-</t>
        </is>
      </c>
      <c r="M312" t="inlineStr">
        <is>
          <t>1970</t>
        </is>
      </c>
      <c r="O312" t="inlineStr">
        <is>
          <t>eng</t>
        </is>
      </c>
      <c r="P312" t="inlineStr">
        <is>
          <t xml:space="preserve">ua </t>
        </is>
      </c>
      <c r="Q312" t="inlineStr">
        <is>
          <t>United States. Navy. Naval Medical Research Unit No. 3. Special publication</t>
        </is>
      </c>
      <c r="R312" t="inlineStr">
        <is>
          <t xml:space="preserve">QL </t>
        </is>
      </c>
      <c r="S312" t="n">
        <v>2</v>
      </c>
      <c r="T312" t="n">
        <v>2</v>
      </c>
      <c r="U312" t="inlineStr">
        <is>
          <t>1997-02-25</t>
        </is>
      </c>
      <c r="V312" t="inlineStr">
        <is>
          <t>1997-02-25</t>
        </is>
      </c>
      <c r="W312" t="inlineStr">
        <is>
          <t>1993-05-26</t>
        </is>
      </c>
      <c r="X312" t="inlineStr">
        <is>
          <t>1993-05-26</t>
        </is>
      </c>
      <c r="Y312" t="n">
        <v>153</v>
      </c>
      <c r="Z312" t="n">
        <v>122</v>
      </c>
      <c r="AA312" t="n">
        <v>126</v>
      </c>
      <c r="AB312" t="n">
        <v>1</v>
      </c>
      <c r="AC312" t="n">
        <v>1</v>
      </c>
      <c r="AD312" t="n">
        <v>0</v>
      </c>
      <c r="AE312" t="n">
        <v>0</v>
      </c>
      <c r="AF312" t="n">
        <v>0</v>
      </c>
      <c r="AG312" t="n">
        <v>0</v>
      </c>
      <c r="AH312" t="n">
        <v>0</v>
      </c>
      <c r="AI312" t="n">
        <v>0</v>
      </c>
      <c r="AJ312" t="n">
        <v>0</v>
      </c>
      <c r="AK312" t="n">
        <v>0</v>
      </c>
      <c r="AL312" t="n">
        <v>0</v>
      </c>
      <c r="AM312" t="n">
        <v>0</v>
      </c>
      <c r="AN312" t="n">
        <v>0</v>
      </c>
      <c r="AO312" t="n">
        <v>0</v>
      </c>
      <c r="AP312" t="inlineStr">
        <is>
          <t>No</t>
        </is>
      </c>
      <c r="AQ312" t="inlineStr">
        <is>
          <t>Yes</t>
        </is>
      </c>
      <c r="AR312">
        <f>HYPERLINK("http://catalog.hathitrust.org/Record/000773638","HathiTrust Record")</f>
        <v/>
      </c>
      <c r="AS312">
        <f>HYPERLINK("https://creighton-primo.hosted.exlibrisgroup.com/primo-explore/search?tab=default_tab&amp;search_scope=EVERYTHING&amp;vid=01CRU&amp;lang=en_US&amp;offset=0&amp;query=any,contains,991002840569702656","Catalog Record")</f>
        <v/>
      </c>
      <c r="AT312">
        <f>HYPERLINK("http://www.worldcat.org/oclc/482132","WorldCat Record")</f>
        <v/>
      </c>
      <c r="AU312" t="inlineStr">
        <is>
          <t>3373954700:eng</t>
        </is>
      </c>
      <c r="AV312" t="inlineStr">
        <is>
          <t>482132</t>
        </is>
      </c>
      <c r="AW312" t="inlineStr">
        <is>
          <t>991002840569702656</t>
        </is>
      </c>
      <c r="AX312" t="inlineStr">
        <is>
          <t>991002840569702656</t>
        </is>
      </c>
      <c r="AY312" t="inlineStr">
        <is>
          <t>2258928690002656</t>
        </is>
      </c>
      <c r="AZ312" t="inlineStr">
        <is>
          <t>BOOK</t>
        </is>
      </c>
      <c r="BC312" t="inlineStr">
        <is>
          <t>32285001686913</t>
        </is>
      </c>
      <c r="BD312" t="inlineStr">
        <is>
          <t>893504884</t>
        </is>
      </c>
    </row>
    <row r="313">
      <c r="A313" t="inlineStr">
        <is>
          <t>No</t>
        </is>
      </c>
      <c r="B313" t="inlineStr">
        <is>
          <t>QL458.S4 B93</t>
        </is>
      </c>
      <c r="C313" t="inlineStr">
        <is>
          <t>0                      QL 0458000S  4                  B  93</t>
        </is>
      </c>
      <c r="D313" t="inlineStr">
        <is>
          <t>Scorpions.</t>
        </is>
      </c>
      <c r="F313" t="inlineStr">
        <is>
          <t>No</t>
        </is>
      </c>
      <c r="G313" t="inlineStr">
        <is>
          <t>1</t>
        </is>
      </c>
      <c r="H313" t="inlineStr">
        <is>
          <t>No</t>
        </is>
      </c>
      <c r="I313" t="inlineStr">
        <is>
          <t>No</t>
        </is>
      </c>
      <c r="J313" t="inlineStr">
        <is>
          <t>0</t>
        </is>
      </c>
      <c r="K313" t="inlineStr">
        <is>
          <t>Bi͡alynit͡skiĭ-Biruli͡a, A. A. (Alekseĭ Andreevich), 1864-1938.</t>
        </is>
      </c>
      <c r="L313" t="inlineStr">
        <is>
          <t>Petrograd, 1917; Jerusalem, Israel Program for Scientific Translations, 1965.</t>
        </is>
      </c>
      <c r="M313" t="inlineStr">
        <is>
          <t>1965</t>
        </is>
      </c>
      <c r="O313" t="inlineStr">
        <is>
          <t>eng</t>
        </is>
      </c>
      <c r="P313" t="inlineStr">
        <is>
          <t xml:space="preserve">ru </t>
        </is>
      </c>
      <c r="Q313" t="inlineStr">
        <is>
          <t>Fauna of Russia and adjacent countries Arachnoidae ; 1</t>
        </is>
      </c>
      <c r="R313" t="inlineStr">
        <is>
          <t xml:space="preserve">QL </t>
        </is>
      </c>
      <c r="S313" t="n">
        <v>4</v>
      </c>
      <c r="T313" t="n">
        <v>4</v>
      </c>
      <c r="U313" t="inlineStr">
        <is>
          <t>2005-02-18</t>
        </is>
      </c>
      <c r="V313" t="inlineStr">
        <is>
          <t>2005-02-18</t>
        </is>
      </c>
      <c r="W313" t="inlineStr">
        <is>
          <t>1997-07-23</t>
        </is>
      </c>
      <c r="X313" t="inlineStr">
        <is>
          <t>1997-07-23</t>
        </is>
      </c>
      <c r="Y313" t="n">
        <v>40</v>
      </c>
      <c r="Z313" t="n">
        <v>35</v>
      </c>
      <c r="AA313" t="n">
        <v>58</v>
      </c>
      <c r="AB313" t="n">
        <v>1</v>
      </c>
      <c r="AC313" t="n">
        <v>1</v>
      </c>
      <c r="AD313" t="n">
        <v>1</v>
      </c>
      <c r="AE313" t="n">
        <v>1</v>
      </c>
      <c r="AF313" t="n">
        <v>0</v>
      </c>
      <c r="AG313" t="n">
        <v>0</v>
      </c>
      <c r="AH313" t="n">
        <v>0</v>
      </c>
      <c r="AI313" t="n">
        <v>0</v>
      </c>
      <c r="AJ313" t="n">
        <v>1</v>
      </c>
      <c r="AK313" t="n">
        <v>1</v>
      </c>
      <c r="AL313" t="n">
        <v>0</v>
      </c>
      <c r="AM313" t="n">
        <v>0</v>
      </c>
      <c r="AN313" t="n">
        <v>0</v>
      </c>
      <c r="AO313" t="n">
        <v>0</v>
      </c>
      <c r="AP313" t="inlineStr">
        <is>
          <t>No</t>
        </is>
      </c>
      <c r="AQ313" t="inlineStr">
        <is>
          <t>Yes</t>
        </is>
      </c>
      <c r="AR313">
        <f>HYPERLINK("http://catalog.hathitrust.org/Record/100780983","HathiTrust Record")</f>
        <v/>
      </c>
      <c r="AS313">
        <f>HYPERLINK("https://creighton-primo.hosted.exlibrisgroup.com/primo-explore/search?tab=default_tab&amp;search_scope=EVERYTHING&amp;vid=01CRU&amp;lang=en_US&amp;offset=0&amp;query=any,contains,991002985519702656","Catalog Record")</f>
        <v/>
      </c>
      <c r="AT313">
        <f>HYPERLINK("http://www.worldcat.org/oclc/557318","WorldCat Record")</f>
        <v/>
      </c>
      <c r="AU313" t="inlineStr">
        <is>
          <t>3943572350:eng</t>
        </is>
      </c>
      <c r="AV313" t="inlineStr">
        <is>
          <t>557318</t>
        </is>
      </c>
      <c r="AW313" t="inlineStr">
        <is>
          <t>991002985519702656</t>
        </is>
      </c>
      <c r="AX313" t="inlineStr">
        <is>
          <t>991002985519702656</t>
        </is>
      </c>
      <c r="AY313" t="inlineStr">
        <is>
          <t>2261403610002656</t>
        </is>
      </c>
      <c r="AZ313" t="inlineStr">
        <is>
          <t>BOOK</t>
        </is>
      </c>
      <c r="BC313" t="inlineStr">
        <is>
          <t>32285002980505</t>
        </is>
      </c>
      <c r="BD313" t="inlineStr">
        <is>
          <t>893317514</t>
        </is>
      </c>
    </row>
    <row r="314">
      <c r="A314" t="inlineStr">
        <is>
          <t>No</t>
        </is>
      </c>
      <c r="B314" t="inlineStr">
        <is>
          <t>QL458.S4 B931</t>
        </is>
      </c>
      <c r="C314" t="inlineStr">
        <is>
          <t>0                      QL 0458000S  4                  B  931</t>
        </is>
      </c>
      <c r="D314" t="inlineStr">
        <is>
          <t>Scorpions. Translated from Russian [by Jean Salkind]</t>
        </is>
      </c>
      <c r="F314" t="inlineStr">
        <is>
          <t>No</t>
        </is>
      </c>
      <c r="G314" t="inlineStr">
        <is>
          <t>1</t>
        </is>
      </c>
      <c r="H314" t="inlineStr">
        <is>
          <t>No</t>
        </is>
      </c>
      <c r="I314" t="inlineStr">
        <is>
          <t>No</t>
        </is>
      </c>
      <c r="J314" t="inlineStr">
        <is>
          <t>0</t>
        </is>
      </c>
      <c r="K314" t="inlineStr">
        <is>
          <t>Byalnitskii-Birulya, A. A.</t>
        </is>
      </c>
      <c r="L314" t="inlineStr">
        <is>
          <t>Jerusalem, Israel Program for Scientific Translations; [available from the Office of Technical Services, U.S. Dept. of Commerce, Washington] 1964.</t>
        </is>
      </c>
      <c r="M314" t="inlineStr">
        <is>
          <t>1964</t>
        </is>
      </c>
      <c r="O314" t="inlineStr">
        <is>
          <t>eng</t>
        </is>
      </c>
      <c r="P314" t="inlineStr">
        <is>
          <t xml:space="preserve">is </t>
        </is>
      </c>
      <c r="Q314" t="inlineStr">
        <is>
          <t>Arthrogastric arachnids of Caucasia ; pt. 1</t>
        </is>
      </c>
      <c r="R314" t="inlineStr">
        <is>
          <t xml:space="preserve">QL </t>
        </is>
      </c>
      <c r="S314" t="n">
        <v>4</v>
      </c>
      <c r="T314" t="n">
        <v>4</v>
      </c>
      <c r="U314" t="inlineStr">
        <is>
          <t>2005-02-18</t>
        </is>
      </c>
      <c r="V314" t="inlineStr">
        <is>
          <t>2005-02-18</t>
        </is>
      </c>
      <c r="W314" t="inlineStr">
        <is>
          <t>1997-07-23</t>
        </is>
      </c>
      <c r="X314" t="inlineStr">
        <is>
          <t>1997-07-23</t>
        </is>
      </c>
      <c r="Y314" t="n">
        <v>26</v>
      </c>
      <c r="Z314" t="n">
        <v>19</v>
      </c>
      <c r="AA314" t="n">
        <v>19</v>
      </c>
      <c r="AB314" t="n">
        <v>1</v>
      </c>
      <c r="AC314" t="n">
        <v>1</v>
      </c>
      <c r="AD314" t="n">
        <v>2</v>
      </c>
      <c r="AE314" t="n">
        <v>2</v>
      </c>
      <c r="AF314" t="n">
        <v>1</v>
      </c>
      <c r="AG314" t="n">
        <v>1</v>
      </c>
      <c r="AH314" t="n">
        <v>0</v>
      </c>
      <c r="AI314" t="n">
        <v>0</v>
      </c>
      <c r="AJ314" t="n">
        <v>2</v>
      </c>
      <c r="AK314" t="n">
        <v>2</v>
      </c>
      <c r="AL314" t="n">
        <v>0</v>
      </c>
      <c r="AM314" t="n">
        <v>0</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HYPERLINK("https://creighton-primo.hosted.exlibrisgroup.com/primo-explore/search?tab=default_tab&amp;search_scope=EVERYTHING&amp;vid=01CRU&amp;lang=en_US&amp;offset=0&amp;query=any,contains,991000223899702656","Catalog Record")</f>
        <v/>
      </c>
      <c r="AT314">
        <f>HYPERLINK("http://www.worldcat.org/oclc/9597510","WorldCat Record")</f>
        <v/>
      </c>
      <c r="AU314" t="inlineStr">
        <is>
          <t>9490213544:eng</t>
        </is>
      </c>
      <c r="AV314" t="inlineStr">
        <is>
          <t>9597510</t>
        </is>
      </c>
      <c r="AW314" t="inlineStr">
        <is>
          <t>991000223899702656</t>
        </is>
      </c>
      <c r="AX314" t="inlineStr">
        <is>
          <t>991000223899702656</t>
        </is>
      </c>
      <c r="AY314" t="inlineStr">
        <is>
          <t>2264062780002656</t>
        </is>
      </c>
      <c r="AZ314" t="inlineStr">
        <is>
          <t>BOOK</t>
        </is>
      </c>
      <c r="BC314" t="inlineStr">
        <is>
          <t>32285002980513</t>
        </is>
      </c>
      <c r="BD314" t="inlineStr">
        <is>
          <t>893333316</t>
        </is>
      </c>
    </row>
    <row r="315">
      <c r="A315" t="inlineStr">
        <is>
          <t>No</t>
        </is>
      </c>
      <c r="B315" t="inlineStr">
        <is>
          <t>QL459 .W5413</t>
        </is>
      </c>
      <c r="C315" t="inlineStr">
        <is>
          <t>0                      QL 0459000W  5413</t>
        </is>
      </c>
      <c r="D315" t="inlineStr">
        <is>
          <t>A spider's web : problems in regulatory biology / [by] Peter N. Witt, Charles F. Reed [and] David B. Peakall.</t>
        </is>
      </c>
      <c r="F315" t="inlineStr">
        <is>
          <t>No</t>
        </is>
      </c>
      <c r="G315" t="inlineStr">
        <is>
          <t>1</t>
        </is>
      </c>
      <c r="H315" t="inlineStr">
        <is>
          <t>No</t>
        </is>
      </c>
      <c r="I315" t="inlineStr">
        <is>
          <t>No</t>
        </is>
      </c>
      <c r="J315" t="inlineStr">
        <is>
          <t>0</t>
        </is>
      </c>
      <c r="K315" t="inlineStr">
        <is>
          <t>Witt, Peter Nikolaus.</t>
        </is>
      </c>
      <c r="L315" t="inlineStr">
        <is>
          <t>Berlin ; Heidelberg ; New York : Springer-Verlag, 1968.</t>
        </is>
      </c>
      <c r="M315" t="inlineStr">
        <is>
          <t>1968</t>
        </is>
      </c>
      <c r="O315" t="inlineStr">
        <is>
          <t>eng</t>
        </is>
      </c>
      <c r="P315" t="inlineStr">
        <is>
          <t xml:space="preserve">gw </t>
        </is>
      </c>
      <c r="R315" t="inlineStr">
        <is>
          <t xml:space="preserve">QL </t>
        </is>
      </c>
      <c r="S315" t="n">
        <v>17</v>
      </c>
      <c r="T315" t="n">
        <v>17</v>
      </c>
      <c r="U315" t="inlineStr">
        <is>
          <t>2005-02-19</t>
        </is>
      </c>
      <c r="V315" t="inlineStr">
        <is>
          <t>2005-02-19</t>
        </is>
      </c>
      <c r="W315" t="inlineStr">
        <is>
          <t>1991-10-16</t>
        </is>
      </c>
      <c r="X315" t="inlineStr">
        <is>
          <t>1991-10-16</t>
        </is>
      </c>
      <c r="Y315" t="n">
        <v>471</v>
      </c>
      <c r="Z315" t="n">
        <v>381</v>
      </c>
      <c r="AA315" t="n">
        <v>401</v>
      </c>
      <c r="AB315" t="n">
        <v>3</v>
      </c>
      <c r="AC315" t="n">
        <v>3</v>
      </c>
      <c r="AD315" t="n">
        <v>14</v>
      </c>
      <c r="AE315" t="n">
        <v>15</v>
      </c>
      <c r="AF315" t="n">
        <v>7</v>
      </c>
      <c r="AG315" t="n">
        <v>8</v>
      </c>
      <c r="AH315" t="n">
        <v>2</v>
      </c>
      <c r="AI315" t="n">
        <v>2</v>
      </c>
      <c r="AJ315" t="n">
        <v>6</v>
      </c>
      <c r="AK315" t="n">
        <v>7</v>
      </c>
      <c r="AL315" t="n">
        <v>2</v>
      </c>
      <c r="AM315" t="n">
        <v>2</v>
      </c>
      <c r="AN315" t="n">
        <v>0</v>
      </c>
      <c r="AO315" t="n">
        <v>0</v>
      </c>
      <c r="AP315" t="inlineStr">
        <is>
          <t>No</t>
        </is>
      </c>
      <c r="AQ315" t="inlineStr">
        <is>
          <t>Yes</t>
        </is>
      </c>
      <c r="AR315">
        <f>HYPERLINK("http://catalog.hathitrust.org/Record/001499923","HathiTrust Record")</f>
        <v/>
      </c>
      <c r="AS315">
        <f>HYPERLINK("https://creighton-primo.hosted.exlibrisgroup.com/primo-explore/search?tab=default_tab&amp;search_scope=EVERYTHING&amp;vid=01CRU&amp;lang=en_US&amp;offset=0&amp;query=any,contains,991003227209702656","Catalog Record")</f>
        <v/>
      </c>
      <c r="AT315">
        <f>HYPERLINK("http://www.worldcat.org/oclc/752147","WorldCat Record")</f>
        <v/>
      </c>
      <c r="AU315" t="inlineStr">
        <is>
          <t>365525154:eng</t>
        </is>
      </c>
      <c r="AV315" t="inlineStr">
        <is>
          <t>752147</t>
        </is>
      </c>
      <c r="AW315" t="inlineStr">
        <is>
          <t>991003227209702656</t>
        </is>
      </c>
      <c r="AX315" t="inlineStr">
        <is>
          <t>991003227209702656</t>
        </is>
      </c>
      <c r="AY315" t="inlineStr">
        <is>
          <t>2268933840002656</t>
        </is>
      </c>
      <c r="AZ315" t="inlineStr">
        <is>
          <t>BOOK</t>
        </is>
      </c>
      <c r="BC315" t="inlineStr">
        <is>
          <t>32285000773662</t>
        </is>
      </c>
      <c r="BD315" t="inlineStr">
        <is>
          <t>893592307</t>
        </is>
      </c>
    </row>
    <row r="316">
      <c r="A316" t="inlineStr">
        <is>
          <t>No</t>
        </is>
      </c>
      <c r="B316" t="inlineStr">
        <is>
          <t>QL46 .A39 2004</t>
        </is>
      </c>
      <c r="C316" t="inlineStr">
        <is>
          <t>0                      QL 0046000A  39          2004</t>
        </is>
      </c>
      <c r="D316" t="inlineStr">
        <is>
          <t>Zoological physics : quantitative models of body design, actions, and physical limitations of animals / Boye K. Ahlborn.</t>
        </is>
      </c>
      <c r="F316" t="inlineStr">
        <is>
          <t>No</t>
        </is>
      </c>
      <c r="G316" t="inlineStr">
        <is>
          <t>1</t>
        </is>
      </c>
      <c r="H316" t="inlineStr">
        <is>
          <t>No</t>
        </is>
      </c>
      <c r="I316" t="inlineStr">
        <is>
          <t>No</t>
        </is>
      </c>
      <c r="J316" t="inlineStr">
        <is>
          <t>0</t>
        </is>
      </c>
      <c r="K316" t="inlineStr">
        <is>
          <t>Ahlborn, Boye.</t>
        </is>
      </c>
      <c r="L316" t="inlineStr">
        <is>
          <t>Berlin ; New York : Springer, c2004.</t>
        </is>
      </c>
      <c r="M316" t="inlineStr">
        <is>
          <t>2004</t>
        </is>
      </c>
      <c r="O316" t="inlineStr">
        <is>
          <t>eng</t>
        </is>
      </c>
      <c r="P316" t="inlineStr">
        <is>
          <t xml:space="preserve">gw </t>
        </is>
      </c>
      <c r="R316" t="inlineStr">
        <is>
          <t xml:space="preserve">QL </t>
        </is>
      </c>
      <c r="S316" t="n">
        <v>1</v>
      </c>
      <c r="T316" t="n">
        <v>1</v>
      </c>
      <c r="U316" t="inlineStr">
        <is>
          <t>2004-08-10</t>
        </is>
      </c>
      <c r="V316" t="inlineStr">
        <is>
          <t>2004-08-10</t>
        </is>
      </c>
      <c r="W316" t="inlineStr">
        <is>
          <t>2004-08-10</t>
        </is>
      </c>
      <c r="X316" t="inlineStr">
        <is>
          <t>2004-08-10</t>
        </is>
      </c>
      <c r="Y316" t="n">
        <v>298</v>
      </c>
      <c r="Z316" t="n">
        <v>215</v>
      </c>
      <c r="AA316" t="n">
        <v>253</v>
      </c>
      <c r="AB316" t="n">
        <v>2</v>
      </c>
      <c r="AC316" t="n">
        <v>2</v>
      </c>
      <c r="AD316" t="n">
        <v>8</v>
      </c>
      <c r="AE316" t="n">
        <v>9</v>
      </c>
      <c r="AF316" t="n">
        <v>1</v>
      </c>
      <c r="AG316" t="n">
        <v>1</v>
      </c>
      <c r="AH316" t="n">
        <v>3</v>
      </c>
      <c r="AI316" t="n">
        <v>3</v>
      </c>
      <c r="AJ316" t="n">
        <v>5</v>
      </c>
      <c r="AK316" t="n">
        <v>6</v>
      </c>
      <c r="AL316" t="n">
        <v>1</v>
      </c>
      <c r="AM316" t="n">
        <v>1</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HYPERLINK("https://creighton-primo.hosted.exlibrisgroup.com/primo-explore/search?tab=default_tab&amp;search_scope=EVERYTHING&amp;vid=01CRU&amp;lang=en_US&amp;offset=0&amp;query=any,contains,991004319999702656","Catalog Record")</f>
        <v/>
      </c>
      <c r="AT316">
        <f>HYPERLINK("http://www.worldcat.org/oclc/54029510","WorldCat Record")</f>
        <v/>
      </c>
      <c r="AU316" t="inlineStr">
        <is>
          <t>802456793:eng</t>
        </is>
      </c>
      <c r="AV316" t="inlineStr">
        <is>
          <t>54029510</t>
        </is>
      </c>
      <c r="AW316" t="inlineStr">
        <is>
          <t>991004319999702656</t>
        </is>
      </c>
      <c r="AX316" t="inlineStr">
        <is>
          <t>991004319999702656</t>
        </is>
      </c>
      <c r="AY316" t="inlineStr">
        <is>
          <t>2271405440002656</t>
        </is>
      </c>
      <c r="AZ316" t="inlineStr">
        <is>
          <t>BOOK</t>
        </is>
      </c>
      <c r="BB316" t="inlineStr">
        <is>
          <t>9783540208464</t>
        </is>
      </c>
      <c r="BC316" t="inlineStr">
        <is>
          <t>32285004980651</t>
        </is>
      </c>
      <c r="BD316" t="inlineStr">
        <is>
          <t>893241273</t>
        </is>
      </c>
    </row>
    <row r="317">
      <c r="A317" t="inlineStr">
        <is>
          <t>No</t>
        </is>
      </c>
      <c r="B317" t="inlineStr">
        <is>
          <t>QL46 .N377 1996</t>
        </is>
      </c>
      <c r="C317" t="inlineStr">
        <is>
          <t>0                      QL 0046000N  377         1996</t>
        </is>
      </c>
      <c r="D317" t="inlineStr">
        <is>
          <t>El reino animal / los mejores reportajes fotogrʹaficos de National Geographic Society.</t>
        </is>
      </c>
      <c r="F317" t="inlineStr">
        <is>
          <t>No</t>
        </is>
      </c>
      <c r="G317" t="inlineStr">
        <is>
          <t>1</t>
        </is>
      </c>
      <c r="H317" t="inlineStr">
        <is>
          <t>No</t>
        </is>
      </c>
      <c r="I317" t="inlineStr">
        <is>
          <t>No</t>
        </is>
      </c>
      <c r="J317" t="inlineStr">
        <is>
          <t>0</t>
        </is>
      </c>
      <c r="K317" t="inlineStr">
        <is>
          <t>National Geographic Society (U.S.).</t>
        </is>
      </c>
      <c r="L317" t="inlineStr">
        <is>
          <t>[S.l.] : RBA Publications, c1996.</t>
        </is>
      </c>
      <c r="M317" t="inlineStr">
        <is>
          <t>1996</t>
        </is>
      </c>
      <c r="N317" t="inlineStr">
        <is>
          <t>Ed. especial para El Pais.</t>
        </is>
      </c>
      <c r="O317" t="inlineStr">
        <is>
          <t>spa</t>
        </is>
      </c>
      <c r="P317" t="inlineStr">
        <is>
          <t xml:space="preserve">xx </t>
        </is>
      </c>
      <c r="R317" t="inlineStr">
        <is>
          <t xml:space="preserve">QL </t>
        </is>
      </c>
      <c r="S317" t="n">
        <v>7</v>
      </c>
      <c r="T317" t="n">
        <v>7</v>
      </c>
      <c r="U317" t="inlineStr">
        <is>
          <t>2003-10-01</t>
        </is>
      </c>
      <c r="V317" t="inlineStr">
        <is>
          <t>2003-10-01</t>
        </is>
      </c>
      <c r="W317" t="inlineStr">
        <is>
          <t>1997-05-20</t>
        </is>
      </c>
      <c r="X317" t="inlineStr">
        <is>
          <t>1997-05-20</t>
        </is>
      </c>
      <c r="Y317" t="n">
        <v>31</v>
      </c>
      <c r="Z317" t="n">
        <v>31</v>
      </c>
      <c r="AA317" t="n">
        <v>62</v>
      </c>
      <c r="AB317" t="n">
        <v>1</v>
      </c>
      <c r="AC317" t="n">
        <v>1</v>
      </c>
      <c r="AD317" t="n">
        <v>1</v>
      </c>
      <c r="AE317" t="n">
        <v>2</v>
      </c>
      <c r="AF317" t="n">
        <v>1</v>
      </c>
      <c r="AG317" t="n">
        <v>1</v>
      </c>
      <c r="AH317" t="n">
        <v>0</v>
      </c>
      <c r="AI317" t="n">
        <v>0</v>
      </c>
      <c r="AJ317" t="n">
        <v>0</v>
      </c>
      <c r="AK317" t="n">
        <v>1</v>
      </c>
      <c r="AL317" t="n">
        <v>0</v>
      </c>
      <c r="AM317" t="n">
        <v>0</v>
      </c>
      <c r="AN317" t="n">
        <v>0</v>
      </c>
      <c r="AO317" t="n">
        <v>0</v>
      </c>
      <c r="AP317" t="inlineStr">
        <is>
          <t>No</t>
        </is>
      </c>
      <c r="AQ317" t="inlineStr">
        <is>
          <t>Yes</t>
        </is>
      </c>
      <c r="AR317">
        <f>HYPERLINK("http://catalog.hathitrust.org/Record/009159122","HathiTrust Record")</f>
        <v/>
      </c>
      <c r="AS317">
        <f>HYPERLINK("https://creighton-primo.hosted.exlibrisgroup.com/primo-explore/search?tab=default_tab&amp;search_scope=EVERYTHING&amp;vid=01CRU&amp;lang=en_US&amp;offset=0&amp;query=any,contains,991002780859702656","Catalog Record")</f>
        <v/>
      </c>
      <c r="AT317">
        <f>HYPERLINK("http://www.worldcat.org/oclc/36506151","WorldCat Record")</f>
        <v/>
      </c>
      <c r="AU317" t="inlineStr">
        <is>
          <t>365868465:spa</t>
        </is>
      </c>
      <c r="AV317" t="inlineStr">
        <is>
          <t>36506151</t>
        </is>
      </c>
      <c r="AW317" t="inlineStr">
        <is>
          <t>991002780859702656</t>
        </is>
      </c>
      <c r="AX317" t="inlineStr">
        <is>
          <t>991002780859702656</t>
        </is>
      </c>
      <c r="AY317" t="inlineStr">
        <is>
          <t>2264518880002656</t>
        </is>
      </c>
      <c r="AZ317" t="inlineStr">
        <is>
          <t>BOOK</t>
        </is>
      </c>
      <c r="BC317" t="inlineStr">
        <is>
          <t>32285002610177</t>
        </is>
      </c>
      <c r="BD317" t="inlineStr">
        <is>
          <t>893799014</t>
        </is>
      </c>
    </row>
    <row r="318">
      <c r="A318" t="inlineStr">
        <is>
          <t>No</t>
        </is>
      </c>
      <c r="B318" t="inlineStr">
        <is>
          <t>QL461 .I72 1976</t>
        </is>
      </c>
      <c r="C318" t="inlineStr">
        <is>
          <t>0                      QL 0461000I  72          1976</t>
        </is>
      </c>
      <c r="D318" t="inlineStr">
        <is>
          <t>The role of arthropods in forest ecosystems / edited by W. J. Mattson, with contributions by G. D. Amman ... [et al.].</t>
        </is>
      </c>
      <c r="F318" t="inlineStr">
        <is>
          <t>No</t>
        </is>
      </c>
      <c r="G318" t="inlineStr">
        <is>
          <t>1</t>
        </is>
      </c>
      <c r="H318" t="inlineStr">
        <is>
          <t>No</t>
        </is>
      </c>
      <c r="I318" t="inlineStr">
        <is>
          <t>No</t>
        </is>
      </c>
      <c r="J318" t="inlineStr">
        <is>
          <t>0</t>
        </is>
      </c>
      <c r="K318" t="inlineStr">
        <is>
          <t>International Congress of Entomology (15th : 1976 : Washington, D.C.)</t>
        </is>
      </c>
      <c r="L318" t="inlineStr">
        <is>
          <t>New York : Springer-Verlag, c1977.</t>
        </is>
      </c>
      <c r="M318" t="inlineStr">
        <is>
          <t>1977</t>
        </is>
      </c>
      <c r="O318" t="inlineStr">
        <is>
          <t>eng</t>
        </is>
      </c>
      <c r="P318" t="inlineStr">
        <is>
          <t>nyu</t>
        </is>
      </c>
      <c r="Q318" t="inlineStr">
        <is>
          <t>Proceedings in life sciences</t>
        </is>
      </c>
      <c r="R318" t="inlineStr">
        <is>
          <t xml:space="preserve">QL </t>
        </is>
      </c>
      <c r="S318" t="n">
        <v>3</v>
      </c>
      <c r="T318" t="n">
        <v>3</v>
      </c>
      <c r="U318" t="inlineStr">
        <is>
          <t>1998-04-27</t>
        </is>
      </c>
      <c r="V318" t="inlineStr">
        <is>
          <t>1998-04-27</t>
        </is>
      </c>
      <c r="W318" t="inlineStr">
        <is>
          <t>1997-07-23</t>
        </is>
      </c>
      <c r="X318" t="inlineStr">
        <is>
          <t>1997-07-23</t>
        </is>
      </c>
      <c r="Y318" t="n">
        <v>387</v>
      </c>
      <c r="Z318" t="n">
        <v>292</v>
      </c>
      <c r="AA318" t="n">
        <v>308</v>
      </c>
      <c r="AB318" t="n">
        <v>4</v>
      </c>
      <c r="AC318" t="n">
        <v>4</v>
      </c>
      <c r="AD318" t="n">
        <v>8</v>
      </c>
      <c r="AE318" t="n">
        <v>9</v>
      </c>
      <c r="AF318" t="n">
        <v>3</v>
      </c>
      <c r="AG318" t="n">
        <v>4</v>
      </c>
      <c r="AH318" t="n">
        <v>2</v>
      </c>
      <c r="AI318" t="n">
        <v>2</v>
      </c>
      <c r="AJ318" t="n">
        <v>1</v>
      </c>
      <c r="AK318" t="n">
        <v>2</v>
      </c>
      <c r="AL318" t="n">
        <v>3</v>
      </c>
      <c r="AM318" t="n">
        <v>3</v>
      </c>
      <c r="AN318" t="n">
        <v>0</v>
      </c>
      <c r="AO318" t="n">
        <v>0</v>
      </c>
      <c r="AP318" t="inlineStr">
        <is>
          <t>No</t>
        </is>
      </c>
      <c r="AQ318" t="inlineStr">
        <is>
          <t>Yes</t>
        </is>
      </c>
      <c r="AR318">
        <f>HYPERLINK("http://catalog.hathitrust.org/Record/000251794","HathiTrust Record")</f>
        <v/>
      </c>
      <c r="AS318">
        <f>HYPERLINK("https://creighton-primo.hosted.exlibrisgroup.com/primo-explore/search?tab=default_tab&amp;search_scope=EVERYTHING&amp;vid=01CRU&amp;lang=en_US&amp;offset=0&amp;query=any,contains,991004319509702656","Catalog Record")</f>
        <v/>
      </c>
      <c r="AT318">
        <f>HYPERLINK("http://www.worldcat.org/oclc/3016741","WorldCat Record")</f>
        <v/>
      </c>
      <c r="AU318" t="inlineStr">
        <is>
          <t>190121679:eng</t>
        </is>
      </c>
      <c r="AV318" t="inlineStr">
        <is>
          <t>3016741</t>
        </is>
      </c>
      <c r="AW318" t="inlineStr">
        <is>
          <t>991004319509702656</t>
        </is>
      </c>
      <c r="AX318" t="inlineStr">
        <is>
          <t>991004319509702656</t>
        </is>
      </c>
      <c r="AY318" t="inlineStr">
        <is>
          <t>2271451550002656</t>
        </is>
      </c>
      <c r="AZ318" t="inlineStr">
        <is>
          <t>BOOK</t>
        </is>
      </c>
      <c r="BB318" t="inlineStr">
        <is>
          <t>9780387082967</t>
        </is>
      </c>
      <c r="BC318" t="inlineStr">
        <is>
          <t>32285002980547</t>
        </is>
      </c>
      <c r="BD318" t="inlineStr">
        <is>
          <t>893423655</t>
        </is>
      </c>
    </row>
    <row r="319">
      <c r="A319" t="inlineStr">
        <is>
          <t>No</t>
        </is>
      </c>
      <c r="B319" t="inlineStr">
        <is>
          <t>QL461 .S88 1969z</t>
        </is>
      </c>
      <c r="C319" t="inlineStr">
        <is>
          <t>0                      QL 0461000S  88          1969z</t>
        </is>
      </c>
      <c r="D319" t="inlineStr">
        <is>
          <t>Chemicals controlling insect behavior / edited by Morton Beroza. Foreword by F. F. Knipling.</t>
        </is>
      </c>
      <c r="F319" t="inlineStr">
        <is>
          <t>No</t>
        </is>
      </c>
      <c r="G319" t="inlineStr">
        <is>
          <t>1</t>
        </is>
      </c>
      <c r="H319" t="inlineStr">
        <is>
          <t>No</t>
        </is>
      </c>
      <c r="I319" t="inlineStr">
        <is>
          <t>No</t>
        </is>
      </c>
      <c r="J319" t="inlineStr">
        <is>
          <t>0</t>
        </is>
      </c>
      <c r="L319" t="inlineStr">
        <is>
          <t>New York : Academic Press, 1970.</t>
        </is>
      </c>
      <c r="M319" t="inlineStr">
        <is>
          <t>1970</t>
        </is>
      </c>
      <c r="O319" t="inlineStr">
        <is>
          <t>eng</t>
        </is>
      </c>
      <c r="P319" t="inlineStr">
        <is>
          <t>nyu</t>
        </is>
      </c>
      <c r="R319" t="inlineStr">
        <is>
          <t xml:space="preserve">QL </t>
        </is>
      </c>
      <c r="S319" t="n">
        <v>5</v>
      </c>
      <c r="T319" t="n">
        <v>5</v>
      </c>
      <c r="U319" t="inlineStr">
        <is>
          <t>2007-02-22</t>
        </is>
      </c>
      <c r="V319" t="inlineStr">
        <is>
          <t>2007-02-22</t>
        </is>
      </c>
      <c r="W319" t="inlineStr">
        <is>
          <t>1992-11-05</t>
        </is>
      </c>
      <c r="X319" t="inlineStr">
        <is>
          <t>1992-11-05</t>
        </is>
      </c>
      <c r="Y319" t="n">
        <v>716</v>
      </c>
      <c r="Z319" t="n">
        <v>553</v>
      </c>
      <c r="AA319" t="n">
        <v>596</v>
      </c>
      <c r="AB319" t="n">
        <v>5</v>
      </c>
      <c r="AC319" t="n">
        <v>6</v>
      </c>
      <c r="AD319" t="n">
        <v>25</v>
      </c>
      <c r="AE319" t="n">
        <v>29</v>
      </c>
      <c r="AF319" t="n">
        <v>12</v>
      </c>
      <c r="AG319" t="n">
        <v>14</v>
      </c>
      <c r="AH319" t="n">
        <v>5</v>
      </c>
      <c r="AI319" t="n">
        <v>6</v>
      </c>
      <c r="AJ319" t="n">
        <v>11</v>
      </c>
      <c r="AK319" t="n">
        <v>11</v>
      </c>
      <c r="AL319" t="n">
        <v>4</v>
      </c>
      <c r="AM319" t="n">
        <v>5</v>
      </c>
      <c r="AN319" t="n">
        <v>0</v>
      </c>
      <c r="AO319" t="n">
        <v>0</v>
      </c>
      <c r="AP319" t="inlineStr">
        <is>
          <t>No</t>
        </is>
      </c>
      <c r="AQ319" t="inlineStr">
        <is>
          <t>Yes</t>
        </is>
      </c>
      <c r="AR319">
        <f>HYPERLINK("http://catalog.hathitrust.org/Record/001500106","HathiTrust Record")</f>
        <v/>
      </c>
      <c r="AS319">
        <f>HYPERLINK("https://creighton-primo.hosted.exlibrisgroup.com/primo-explore/search?tab=default_tab&amp;search_scope=EVERYTHING&amp;vid=01CRU&amp;lang=en_US&amp;offset=0&amp;query=any,contains,991000616719702656","Catalog Record")</f>
        <v/>
      </c>
      <c r="AT319">
        <f>HYPERLINK("http://www.worldcat.org/oclc/101894","WorldCat Record")</f>
        <v/>
      </c>
      <c r="AU319" t="inlineStr">
        <is>
          <t>510102453:eng</t>
        </is>
      </c>
      <c r="AV319" t="inlineStr">
        <is>
          <t>101894</t>
        </is>
      </c>
      <c r="AW319" t="inlineStr">
        <is>
          <t>991000616719702656</t>
        </is>
      </c>
      <c r="AX319" t="inlineStr">
        <is>
          <t>991000616719702656</t>
        </is>
      </c>
      <c r="AY319" t="inlineStr">
        <is>
          <t>2261445460002656</t>
        </is>
      </c>
      <c r="AZ319" t="inlineStr">
        <is>
          <t>BOOK</t>
        </is>
      </c>
      <c r="BB319" t="inlineStr">
        <is>
          <t>9780120930500</t>
        </is>
      </c>
      <c r="BC319" t="inlineStr">
        <is>
          <t>32285001381101</t>
        </is>
      </c>
      <c r="BD319" t="inlineStr">
        <is>
          <t>893407365</t>
        </is>
      </c>
    </row>
    <row r="320">
      <c r="A320" t="inlineStr">
        <is>
          <t>No</t>
        </is>
      </c>
      <c r="B320" t="inlineStr">
        <is>
          <t>QL463 .B46 1995</t>
        </is>
      </c>
      <c r="C320" t="inlineStr">
        <is>
          <t>0                      QL 0463000B  46          1995</t>
        </is>
      </c>
      <c r="D320" t="inlineStr">
        <is>
          <t>Bugs in the system : insects and their impact on human affairs / May R. Berenbaum.</t>
        </is>
      </c>
      <c r="F320" t="inlineStr">
        <is>
          <t>No</t>
        </is>
      </c>
      <c r="G320" t="inlineStr">
        <is>
          <t>1</t>
        </is>
      </c>
      <c r="H320" t="inlineStr">
        <is>
          <t>No</t>
        </is>
      </c>
      <c r="I320" t="inlineStr">
        <is>
          <t>No</t>
        </is>
      </c>
      <c r="J320" t="inlineStr">
        <is>
          <t>0</t>
        </is>
      </c>
      <c r="K320" t="inlineStr">
        <is>
          <t>Berenbaum, M. (May)</t>
        </is>
      </c>
      <c r="L320" t="inlineStr">
        <is>
          <t>Reading, Mass. : Addison-Wesley, c1995.</t>
        </is>
      </c>
      <c r="M320" t="inlineStr">
        <is>
          <t>1995</t>
        </is>
      </c>
      <c r="O320" t="inlineStr">
        <is>
          <t>eng</t>
        </is>
      </c>
      <c r="P320" t="inlineStr">
        <is>
          <t>mau</t>
        </is>
      </c>
      <c r="Q320" t="inlineStr">
        <is>
          <t>Helix books</t>
        </is>
      </c>
      <c r="R320" t="inlineStr">
        <is>
          <t xml:space="preserve">QL </t>
        </is>
      </c>
      <c r="S320" t="n">
        <v>18</v>
      </c>
      <c r="T320" t="n">
        <v>18</v>
      </c>
      <c r="U320" t="inlineStr">
        <is>
          <t>2008-11-21</t>
        </is>
      </c>
      <c r="V320" t="inlineStr">
        <is>
          <t>2008-11-21</t>
        </is>
      </c>
      <c r="W320" t="inlineStr">
        <is>
          <t>1995-03-01</t>
        </is>
      </c>
      <c r="X320" t="inlineStr">
        <is>
          <t>1995-03-01</t>
        </is>
      </c>
      <c r="Y320" t="n">
        <v>701</v>
      </c>
      <c r="Z320" t="n">
        <v>599</v>
      </c>
      <c r="AA320" t="n">
        <v>701</v>
      </c>
      <c r="AB320" t="n">
        <v>5</v>
      </c>
      <c r="AC320" t="n">
        <v>7</v>
      </c>
      <c r="AD320" t="n">
        <v>15</v>
      </c>
      <c r="AE320" t="n">
        <v>18</v>
      </c>
      <c r="AF320" t="n">
        <v>5</v>
      </c>
      <c r="AG320" t="n">
        <v>5</v>
      </c>
      <c r="AH320" t="n">
        <v>3</v>
      </c>
      <c r="AI320" t="n">
        <v>4</v>
      </c>
      <c r="AJ320" t="n">
        <v>11</v>
      </c>
      <c r="AK320" t="n">
        <v>11</v>
      </c>
      <c r="AL320" t="n">
        <v>2</v>
      </c>
      <c r="AM320" t="n">
        <v>4</v>
      </c>
      <c r="AN320" t="n">
        <v>0</v>
      </c>
      <c r="AO320" t="n">
        <v>0</v>
      </c>
      <c r="AP320" t="inlineStr">
        <is>
          <t>No</t>
        </is>
      </c>
      <c r="AQ320" t="inlineStr">
        <is>
          <t>Yes</t>
        </is>
      </c>
      <c r="AR320">
        <f>HYPERLINK("http://catalog.hathitrust.org/Record/002932492","HathiTrust Record")</f>
        <v/>
      </c>
      <c r="AS320">
        <f>HYPERLINK("https://creighton-primo.hosted.exlibrisgroup.com/primo-explore/search?tab=default_tab&amp;search_scope=EVERYTHING&amp;vid=01CRU&amp;lang=en_US&amp;offset=0&amp;query=any,contains,991002325659702656","Catalog Record")</f>
        <v/>
      </c>
      <c r="AT320">
        <f>HYPERLINK("http://www.worldcat.org/oclc/30157272","WorldCat Record")</f>
        <v/>
      </c>
      <c r="AU320" t="inlineStr">
        <is>
          <t>837027403:eng</t>
        </is>
      </c>
      <c r="AV320" t="inlineStr">
        <is>
          <t>30157272</t>
        </is>
      </c>
      <c r="AW320" t="inlineStr">
        <is>
          <t>991002325659702656</t>
        </is>
      </c>
      <c r="AX320" t="inlineStr">
        <is>
          <t>991002325659702656</t>
        </is>
      </c>
      <c r="AY320" t="inlineStr">
        <is>
          <t>2264376850002656</t>
        </is>
      </c>
      <c r="AZ320" t="inlineStr">
        <is>
          <t>BOOK</t>
        </is>
      </c>
      <c r="BB320" t="inlineStr">
        <is>
          <t>9780201624991</t>
        </is>
      </c>
      <c r="BC320" t="inlineStr">
        <is>
          <t>32285002001088</t>
        </is>
      </c>
      <c r="BD320" t="inlineStr">
        <is>
          <t>893347374</t>
        </is>
      </c>
    </row>
    <row r="321">
      <c r="A321" t="inlineStr">
        <is>
          <t>No</t>
        </is>
      </c>
      <c r="B321" t="inlineStr">
        <is>
          <t>QL463 .C71 1940</t>
        </is>
      </c>
      <c r="C321" t="inlineStr">
        <is>
          <t>0                      QL 0463000C  71          1940</t>
        </is>
      </c>
      <c r="D321" t="inlineStr">
        <is>
          <t>An introduction to entomology, by John Henry Comstock ...</t>
        </is>
      </c>
      <c r="F321" t="inlineStr">
        <is>
          <t>No</t>
        </is>
      </c>
      <c r="G321" t="inlineStr">
        <is>
          <t>1</t>
        </is>
      </c>
      <c r="H321" t="inlineStr">
        <is>
          <t>No</t>
        </is>
      </c>
      <c r="I321" t="inlineStr">
        <is>
          <t>No</t>
        </is>
      </c>
      <c r="J321" t="inlineStr">
        <is>
          <t>0</t>
        </is>
      </c>
      <c r="K321" t="inlineStr">
        <is>
          <t>Comstock, John Henry, 1849-1931.</t>
        </is>
      </c>
      <c r="L321" t="inlineStr">
        <is>
          <t>Ithaca, N.Y., Comstock Publishing Company, inc., 1940.</t>
        </is>
      </c>
      <c r="M321" t="inlineStr">
        <is>
          <t>1940</t>
        </is>
      </c>
      <c r="N321" t="inlineStr">
        <is>
          <t>9th ed. rev.</t>
        </is>
      </c>
      <c r="O321" t="inlineStr">
        <is>
          <t>eng</t>
        </is>
      </c>
      <c r="P321" t="inlineStr">
        <is>
          <t>nyu</t>
        </is>
      </c>
      <c r="R321" t="inlineStr">
        <is>
          <t xml:space="preserve">QL </t>
        </is>
      </c>
      <c r="S321" t="n">
        <v>1</v>
      </c>
      <c r="T321" t="n">
        <v>1</v>
      </c>
      <c r="U321" t="inlineStr">
        <is>
          <t>2001-02-21</t>
        </is>
      </c>
      <c r="V321" t="inlineStr">
        <is>
          <t>2001-02-21</t>
        </is>
      </c>
      <c r="W321" t="inlineStr">
        <is>
          <t>1997-07-23</t>
        </is>
      </c>
      <c r="X321" t="inlineStr">
        <is>
          <t>1997-07-23</t>
        </is>
      </c>
      <c r="Y321" t="n">
        <v>636</v>
      </c>
      <c r="Z321" t="n">
        <v>611</v>
      </c>
      <c r="AA321" t="n">
        <v>965</v>
      </c>
      <c r="AB321" t="n">
        <v>7</v>
      </c>
      <c r="AC321" t="n">
        <v>8</v>
      </c>
      <c r="AD321" t="n">
        <v>18</v>
      </c>
      <c r="AE321" t="n">
        <v>34</v>
      </c>
      <c r="AF321" t="n">
        <v>5</v>
      </c>
      <c r="AG321" t="n">
        <v>13</v>
      </c>
      <c r="AH321" t="n">
        <v>3</v>
      </c>
      <c r="AI321" t="n">
        <v>4</v>
      </c>
      <c r="AJ321" t="n">
        <v>7</v>
      </c>
      <c r="AK321" t="n">
        <v>16</v>
      </c>
      <c r="AL321" t="n">
        <v>5</v>
      </c>
      <c r="AM321" t="n">
        <v>6</v>
      </c>
      <c r="AN321" t="n">
        <v>0</v>
      </c>
      <c r="AO321" t="n">
        <v>0</v>
      </c>
      <c r="AP321" t="inlineStr">
        <is>
          <t>No</t>
        </is>
      </c>
      <c r="AQ321" t="inlineStr">
        <is>
          <t>Yes</t>
        </is>
      </c>
      <c r="AR321">
        <f>HYPERLINK("http://catalog.hathitrust.org/Record/001499947","HathiTrust Record")</f>
        <v/>
      </c>
      <c r="AS321">
        <f>HYPERLINK("https://creighton-primo.hosted.exlibrisgroup.com/primo-explore/search?tab=default_tab&amp;search_scope=EVERYTHING&amp;vid=01CRU&amp;lang=en_US&amp;offset=0&amp;query=any,contains,991002982309702656","Catalog Record")</f>
        <v/>
      </c>
      <c r="AT321">
        <f>HYPERLINK("http://www.worldcat.org/oclc/555521","WorldCat Record")</f>
        <v/>
      </c>
      <c r="AU321" t="inlineStr">
        <is>
          <t>3887954939:eng</t>
        </is>
      </c>
      <c r="AV321" t="inlineStr">
        <is>
          <t>555521</t>
        </is>
      </c>
      <c r="AW321" t="inlineStr">
        <is>
          <t>991002982309702656</t>
        </is>
      </c>
      <c r="AX321" t="inlineStr">
        <is>
          <t>991002982309702656</t>
        </is>
      </c>
      <c r="AY321" t="inlineStr">
        <is>
          <t>2260484610002656</t>
        </is>
      </c>
      <c r="AZ321" t="inlineStr">
        <is>
          <t>BOOK</t>
        </is>
      </c>
      <c r="BC321" t="inlineStr">
        <is>
          <t>32285002980562</t>
        </is>
      </c>
      <c r="BD321" t="inlineStr">
        <is>
          <t>893598133</t>
        </is>
      </c>
    </row>
    <row r="322">
      <c r="A322" t="inlineStr">
        <is>
          <t>No</t>
        </is>
      </c>
      <c r="B322" t="inlineStr">
        <is>
          <t>QL463 .D34 1998</t>
        </is>
      </c>
      <c r="C322" t="inlineStr">
        <is>
          <t>0                      QL 0463000D  34          1998</t>
        </is>
      </c>
      <c r="D322" t="inlineStr">
        <is>
          <t>Introduction to insect biology and diversity / Howell V. Daly, John T. Doyen, Alexander H. Purcell III ; illustrations by Barbara Boole Daly ; featuring photographs by Edward S. Ross.</t>
        </is>
      </c>
      <c r="F322" t="inlineStr">
        <is>
          <t>No</t>
        </is>
      </c>
      <c r="G322" t="inlineStr">
        <is>
          <t>1</t>
        </is>
      </c>
      <c r="H322" t="inlineStr">
        <is>
          <t>No</t>
        </is>
      </c>
      <c r="I322" t="inlineStr">
        <is>
          <t>No</t>
        </is>
      </c>
      <c r="J322" t="inlineStr">
        <is>
          <t>0</t>
        </is>
      </c>
      <c r="K322" t="inlineStr">
        <is>
          <t>Daly, Howell V.</t>
        </is>
      </c>
      <c r="L322" t="inlineStr">
        <is>
          <t>Oxford ; New York : Oxford University Press, c1998.</t>
        </is>
      </c>
      <c r="M322" t="inlineStr">
        <is>
          <t>1998</t>
        </is>
      </c>
      <c r="N322" t="inlineStr">
        <is>
          <t>2nd ed.</t>
        </is>
      </c>
      <c r="O322" t="inlineStr">
        <is>
          <t>eng</t>
        </is>
      </c>
      <c r="P322" t="inlineStr">
        <is>
          <t>enk</t>
        </is>
      </c>
      <c r="R322" t="inlineStr">
        <is>
          <t xml:space="preserve">QL </t>
        </is>
      </c>
      <c r="S322" t="n">
        <v>6</v>
      </c>
      <c r="T322" t="n">
        <v>6</v>
      </c>
      <c r="U322" t="inlineStr">
        <is>
          <t>2009-02-26</t>
        </is>
      </c>
      <c r="V322" t="inlineStr">
        <is>
          <t>2009-02-26</t>
        </is>
      </c>
      <c r="W322" t="inlineStr">
        <is>
          <t>1999-04-27</t>
        </is>
      </c>
      <c r="X322" t="inlineStr">
        <is>
          <t>1999-04-27</t>
        </is>
      </c>
      <c r="Y322" t="n">
        <v>303</v>
      </c>
      <c r="Z322" t="n">
        <v>196</v>
      </c>
      <c r="AA322" t="n">
        <v>197</v>
      </c>
      <c r="AB322" t="n">
        <v>3</v>
      </c>
      <c r="AC322" t="n">
        <v>3</v>
      </c>
      <c r="AD322" t="n">
        <v>5</v>
      </c>
      <c r="AE322" t="n">
        <v>5</v>
      </c>
      <c r="AF322" t="n">
        <v>2</v>
      </c>
      <c r="AG322" t="n">
        <v>2</v>
      </c>
      <c r="AH322" t="n">
        <v>0</v>
      </c>
      <c r="AI322" t="n">
        <v>0</v>
      </c>
      <c r="AJ322" t="n">
        <v>3</v>
      </c>
      <c r="AK322" t="n">
        <v>3</v>
      </c>
      <c r="AL322" t="n">
        <v>2</v>
      </c>
      <c r="AM322" t="n">
        <v>2</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HYPERLINK("https://creighton-primo.hosted.exlibrisgroup.com/primo-explore/search?tab=default_tab&amp;search_scope=EVERYTHING&amp;vid=01CRU&amp;lang=en_US&amp;offset=0&amp;query=any,contains,991002826359702656","Catalog Record")</f>
        <v/>
      </c>
      <c r="AT322">
        <f>HYPERLINK("http://www.worldcat.org/oclc/37211384","WorldCat Record")</f>
        <v/>
      </c>
      <c r="AU322" t="inlineStr">
        <is>
          <t>4714528387:eng</t>
        </is>
      </c>
      <c r="AV322" t="inlineStr">
        <is>
          <t>37211384</t>
        </is>
      </c>
      <c r="AW322" t="inlineStr">
        <is>
          <t>991002826359702656</t>
        </is>
      </c>
      <c r="AX322" t="inlineStr">
        <is>
          <t>991002826359702656</t>
        </is>
      </c>
      <c r="AY322" t="inlineStr">
        <is>
          <t>2258900900002656</t>
        </is>
      </c>
      <c r="AZ322" t="inlineStr">
        <is>
          <t>BOOK</t>
        </is>
      </c>
      <c r="BB322" t="inlineStr">
        <is>
          <t>9780195100334</t>
        </is>
      </c>
      <c r="BC322" t="inlineStr">
        <is>
          <t>32285003556254</t>
        </is>
      </c>
      <c r="BD322" t="inlineStr">
        <is>
          <t>893347974</t>
        </is>
      </c>
    </row>
    <row r="323">
      <c r="A323" t="inlineStr">
        <is>
          <t>No</t>
        </is>
      </c>
      <c r="B323" t="inlineStr">
        <is>
          <t>QL463 .E18 1984</t>
        </is>
      </c>
      <c r="C323" t="inlineStr">
        <is>
          <t>0                      QL 0463000E  18          1984</t>
        </is>
      </c>
      <c r="D323" t="inlineStr">
        <is>
          <t>Ecological entomology / edited by Carl B. Huffaker, Robert L. Rabb ; sponsored by the International Center for Integrated and Biological Control, the University of California and North Carolina State University, Raleigh.</t>
        </is>
      </c>
      <c r="F323" t="inlineStr">
        <is>
          <t>No</t>
        </is>
      </c>
      <c r="G323" t="inlineStr">
        <is>
          <t>1</t>
        </is>
      </c>
      <c r="H323" t="inlineStr">
        <is>
          <t>No</t>
        </is>
      </c>
      <c r="I323" t="inlineStr">
        <is>
          <t>No</t>
        </is>
      </c>
      <c r="J323" t="inlineStr">
        <is>
          <t>0</t>
        </is>
      </c>
      <c r="L323" t="inlineStr">
        <is>
          <t>New York : Wiley, c1984.</t>
        </is>
      </c>
      <c r="M323" t="inlineStr">
        <is>
          <t>1984</t>
        </is>
      </c>
      <c r="O323" t="inlineStr">
        <is>
          <t>eng</t>
        </is>
      </c>
      <c r="P323" t="inlineStr">
        <is>
          <t>nyu</t>
        </is>
      </c>
      <c r="R323" t="inlineStr">
        <is>
          <t xml:space="preserve">QL </t>
        </is>
      </c>
      <c r="S323" t="n">
        <v>8</v>
      </c>
      <c r="T323" t="n">
        <v>8</v>
      </c>
      <c r="U323" t="inlineStr">
        <is>
          <t>2006-01-24</t>
        </is>
      </c>
      <c r="V323" t="inlineStr">
        <is>
          <t>2006-01-24</t>
        </is>
      </c>
      <c r="W323" t="inlineStr">
        <is>
          <t>1992-11-03</t>
        </is>
      </c>
      <c r="X323" t="inlineStr">
        <is>
          <t>1992-11-03</t>
        </is>
      </c>
      <c r="Y323" t="n">
        <v>476</v>
      </c>
      <c r="Z323" t="n">
        <v>326</v>
      </c>
      <c r="AA323" t="n">
        <v>403</v>
      </c>
      <c r="AB323" t="n">
        <v>1</v>
      </c>
      <c r="AC323" t="n">
        <v>3</v>
      </c>
      <c r="AD323" t="n">
        <v>10</v>
      </c>
      <c r="AE323" t="n">
        <v>13</v>
      </c>
      <c r="AF323" t="n">
        <v>4</v>
      </c>
      <c r="AG323" t="n">
        <v>4</v>
      </c>
      <c r="AH323" t="n">
        <v>4</v>
      </c>
      <c r="AI323" t="n">
        <v>4</v>
      </c>
      <c r="AJ323" t="n">
        <v>6</v>
      </c>
      <c r="AK323" t="n">
        <v>7</v>
      </c>
      <c r="AL323" t="n">
        <v>0</v>
      </c>
      <c r="AM323" t="n">
        <v>2</v>
      </c>
      <c r="AN323" t="n">
        <v>0</v>
      </c>
      <c r="AO323" t="n">
        <v>0</v>
      </c>
      <c r="AP323" t="inlineStr">
        <is>
          <t>No</t>
        </is>
      </c>
      <c r="AQ323" t="inlineStr">
        <is>
          <t>Yes</t>
        </is>
      </c>
      <c r="AR323">
        <f>HYPERLINK("http://catalog.hathitrust.org/Record/000469937","HathiTrust Record")</f>
        <v/>
      </c>
      <c r="AS323">
        <f>HYPERLINK("https://creighton-primo.hosted.exlibrisgroup.com/primo-explore/search?tab=default_tab&amp;search_scope=EVERYTHING&amp;vid=01CRU&amp;lang=en_US&amp;offset=0&amp;query=any,contains,991000354379702656","Catalog Record")</f>
        <v/>
      </c>
      <c r="AT323">
        <f>HYPERLINK("http://www.worldcat.org/oclc/10323758","WorldCat Record")</f>
        <v/>
      </c>
      <c r="AU323" t="inlineStr">
        <is>
          <t>365520974:eng</t>
        </is>
      </c>
      <c r="AV323" t="inlineStr">
        <is>
          <t>10323758</t>
        </is>
      </c>
      <c r="AW323" t="inlineStr">
        <is>
          <t>991000354379702656</t>
        </is>
      </c>
      <c r="AX323" t="inlineStr">
        <is>
          <t>991000354379702656</t>
        </is>
      </c>
      <c r="AY323" t="inlineStr">
        <is>
          <t>2268646250002656</t>
        </is>
      </c>
      <c r="AZ323" t="inlineStr">
        <is>
          <t>BOOK</t>
        </is>
      </c>
      <c r="BB323" t="inlineStr">
        <is>
          <t>9780471064930</t>
        </is>
      </c>
      <c r="BC323" t="inlineStr">
        <is>
          <t>32285001381093</t>
        </is>
      </c>
      <c r="BD323" t="inlineStr">
        <is>
          <t>893607838</t>
        </is>
      </c>
    </row>
    <row r="324">
      <c r="A324" t="inlineStr">
        <is>
          <t>No</t>
        </is>
      </c>
      <c r="B324" t="inlineStr">
        <is>
          <t>QL463 .E48 1987</t>
        </is>
      </c>
      <c r="C324" t="inlineStr">
        <is>
          <t>0                      QL 0463000E  48          1987</t>
        </is>
      </c>
      <c r="D324" t="inlineStr">
        <is>
          <t>Fundamentals of entomology / Richard J. Elzinga.</t>
        </is>
      </c>
      <c r="F324" t="inlineStr">
        <is>
          <t>No</t>
        </is>
      </c>
      <c r="G324" t="inlineStr">
        <is>
          <t>1</t>
        </is>
      </c>
      <c r="H324" t="inlineStr">
        <is>
          <t>No</t>
        </is>
      </c>
      <c r="I324" t="inlineStr">
        <is>
          <t>No</t>
        </is>
      </c>
      <c r="J324" t="inlineStr">
        <is>
          <t>0</t>
        </is>
      </c>
      <c r="K324" t="inlineStr">
        <is>
          <t>Elzinga, Richard J., 1931-</t>
        </is>
      </c>
      <c r="L324" t="inlineStr">
        <is>
          <t>Englewood Cliffs, N.J. : Prentice-Hall, c1987.</t>
        </is>
      </c>
      <c r="M324" t="inlineStr">
        <is>
          <t>1987</t>
        </is>
      </c>
      <c r="N324" t="inlineStr">
        <is>
          <t>3rd ed.</t>
        </is>
      </c>
      <c r="O324" t="inlineStr">
        <is>
          <t>eng</t>
        </is>
      </c>
      <c r="P324" t="inlineStr">
        <is>
          <t>nju</t>
        </is>
      </c>
      <c r="R324" t="inlineStr">
        <is>
          <t xml:space="preserve">QL </t>
        </is>
      </c>
      <c r="S324" t="n">
        <v>11</v>
      </c>
      <c r="T324" t="n">
        <v>11</v>
      </c>
      <c r="U324" t="inlineStr">
        <is>
          <t>2000-03-26</t>
        </is>
      </c>
      <c r="V324" t="inlineStr">
        <is>
          <t>2000-03-26</t>
        </is>
      </c>
      <c r="W324" t="inlineStr">
        <is>
          <t>1992-04-14</t>
        </is>
      </c>
      <c r="X324" t="inlineStr">
        <is>
          <t>1992-04-14</t>
        </is>
      </c>
      <c r="Y324" t="n">
        <v>219</v>
      </c>
      <c r="Z324" t="n">
        <v>149</v>
      </c>
      <c r="AA324" t="n">
        <v>704</v>
      </c>
      <c r="AB324" t="n">
        <v>4</v>
      </c>
      <c r="AC324" t="n">
        <v>6</v>
      </c>
      <c r="AD324" t="n">
        <v>3</v>
      </c>
      <c r="AE324" t="n">
        <v>21</v>
      </c>
      <c r="AF324" t="n">
        <v>0</v>
      </c>
      <c r="AG324" t="n">
        <v>7</v>
      </c>
      <c r="AH324" t="n">
        <v>0</v>
      </c>
      <c r="AI324" t="n">
        <v>6</v>
      </c>
      <c r="AJ324" t="n">
        <v>0</v>
      </c>
      <c r="AK324" t="n">
        <v>10</v>
      </c>
      <c r="AL324" t="n">
        <v>3</v>
      </c>
      <c r="AM324" t="n">
        <v>4</v>
      </c>
      <c r="AN324" t="n">
        <v>0</v>
      </c>
      <c r="AO324" t="n">
        <v>0</v>
      </c>
      <c r="AP324" t="inlineStr">
        <is>
          <t>No</t>
        </is>
      </c>
      <c r="AQ324" t="inlineStr">
        <is>
          <t>Yes</t>
        </is>
      </c>
      <c r="AR324">
        <f>HYPERLINK("http://catalog.hathitrust.org/Record/009159499","HathiTrust Record")</f>
        <v/>
      </c>
      <c r="AS324">
        <f>HYPERLINK("https://creighton-primo.hosted.exlibrisgroup.com/primo-explore/search?tab=default_tab&amp;search_scope=EVERYTHING&amp;vid=01CRU&amp;lang=en_US&amp;offset=0&amp;query=any,contains,991000889039702656","Catalog Record")</f>
        <v/>
      </c>
      <c r="AT324">
        <f>HYPERLINK("http://www.worldcat.org/oclc/13903102","WorldCat Record")</f>
        <v/>
      </c>
      <c r="AU324" t="inlineStr">
        <is>
          <t>984011:eng</t>
        </is>
      </c>
      <c r="AV324" t="inlineStr">
        <is>
          <t>13903102</t>
        </is>
      </c>
      <c r="AW324" t="inlineStr">
        <is>
          <t>991000889039702656</t>
        </is>
      </c>
      <c r="AX324" t="inlineStr">
        <is>
          <t>991000889039702656</t>
        </is>
      </c>
      <c r="AY324" t="inlineStr">
        <is>
          <t>2270024270002656</t>
        </is>
      </c>
      <c r="AZ324" t="inlineStr">
        <is>
          <t>BOOK</t>
        </is>
      </c>
      <c r="BB324" t="inlineStr">
        <is>
          <t>9780133382037</t>
        </is>
      </c>
      <c r="BC324" t="inlineStr">
        <is>
          <t>32285001068484</t>
        </is>
      </c>
      <c r="BD324" t="inlineStr">
        <is>
          <t>893346064</t>
        </is>
      </c>
    </row>
    <row r="325">
      <c r="A325" t="inlineStr">
        <is>
          <t>No</t>
        </is>
      </c>
      <c r="B325" t="inlineStr">
        <is>
          <t>QL463 .E7</t>
        </is>
      </c>
      <c r="C325" t="inlineStr">
        <is>
          <t>0                      QL 0463000E  7</t>
        </is>
      </c>
      <c r="D325" t="inlineStr">
        <is>
          <t>College entomology, by E.O. Essig ...</t>
        </is>
      </c>
      <c r="F325" t="inlineStr">
        <is>
          <t>No</t>
        </is>
      </c>
      <c r="G325" t="inlineStr">
        <is>
          <t>1</t>
        </is>
      </c>
      <c r="H325" t="inlineStr">
        <is>
          <t>No</t>
        </is>
      </c>
      <c r="I325" t="inlineStr">
        <is>
          <t>No</t>
        </is>
      </c>
      <c r="J325" t="inlineStr">
        <is>
          <t>0</t>
        </is>
      </c>
      <c r="K325" t="inlineStr">
        <is>
          <t>Essig, E. O. (Edward Oliver), 1884-1964.</t>
        </is>
      </c>
      <c r="L325" t="inlineStr">
        <is>
          <t>New York, The Macmillan company, 1942.</t>
        </is>
      </c>
      <c r="M325" t="inlineStr">
        <is>
          <t>1942</t>
        </is>
      </c>
      <c r="O325" t="inlineStr">
        <is>
          <t>eng</t>
        </is>
      </c>
      <c r="P325" t="inlineStr">
        <is>
          <t>nyu</t>
        </is>
      </c>
      <c r="R325" t="inlineStr">
        <is>
          <t xml:space="preserve">QL </t>
        </is>
      </c>
      <c r="S325" t="n">
        <v>7</v>
      </c>
      <c r="T325" t="n">
        <v>7</v>
      </c>
      <c r="U325" t="inlineStr">
        <is>
          <t>2008-11-21</t>
        </is>
      </c>
      <c r="V325" t="inlineStr">
        <is>
          <t>2008-11-21</t>
        </is>
      </c>
      <c r="W325" t="inlineStr">
        <is>
          <t>1997-07-23</t>
        </is>
      </c>
      <c r="X325" t="inlineStr">
        <is>
          <t>1997-07-23</t>
        </is>
      </c>
      <c r="Y325" t="n">
        <v>321</v>
      </c>
      <c r="Z325" t="n">
        <v>263</v>
      </c>
      <c r="AA325" t="n">
        <v>275</v>
      </c>
      <c r="AB325" t="n">
        <v>6</v>
      </c>
      <c r="AC325" t="n">
        <v>6</v>
      </c>
      <c r="AD325" t="n">
        <v>11</v>
      </c>
      <c r="AE325" t="n">
        <v>11</v>
      </c>
      <c r="AF325" t="n">
        <v>3</v>
      </c>
      <c r="AG325" t="n">
        <v>3</v>
      </c>
      <c r="AH325" t="n">
        <v>0</v>
      </c>
      <c r="AI325" t="n">
        <v>0</v>
      </c>
      <c r="AJ325" t="n">
        <v>3</v>
      </c>
      <c r="AK325" t="n">
        <v>3</v>
      </c>
      <c r="AL325" t="n">
        <v>5</v>
      </c>
      <c r="AM325" t="n">
        <v>5</v>
      </c>
      <c r="AN325" t="n">
        <v>0</v>
      </c>
      <c r="AO325" t="n">
        <v>0</v>
      </c>
      <c r="AP325" t="inlineStr">
        <is>
          <t>Yes</t>
        </is>
      </c>
      <c r="AQ325" t="inlineStr">
        <is>
          <t>No</t>
        </is>
      </c>
      <c r="AR325">
        <f>HYPERLINK("http://catalog.hathitrust.org/Record/001496729","HathiTrust Record")</f>
        <v/>
      </c>
      <c r="AS325">
        <f>HYPERLINK("https://creighton-primo.hosted.exlibrisgroup.com/primo-explore/search?tab=default_tab&amp;search_scope=EVERYTHING&amp;vid=01CRU&amp;lang=en_US&amp;offset=0&amp;query=any,contains,991003287599702656","Catalog Record")</f>
        <v/>
      </c>
      <c r="AT325">
        <f>HYPERLINK("http://www.worldcat.org/oclc/809878","WorldCat Record")</f>
        <v/>
      </c>
      <c r="AU325" t="inlineStr">
        <is>
          <t>1643931:eng</t>
        </is>
      </c>
      <c r="AV325" t="inlineStr">
        <is>
          <t>809878</t>
        </is>
      </c>
      <c r="AW325" t="inlineStr">
        <is>
          <t>991003287599702656</t>
        </is>
      </c>
      <c r="AX325" t="inlineStr">
        <is>
          <t>991003287599702656</t>
        </is>
      </c>
      <c r="AY325" t="inlineStr">
        <is>
          <t>2262978130002656</t>
        </is>
      </c>
      <c r="AZ325" t="inlineStr">
        <is>
          <t>BOOK</t>
        </is>
      </c>
      <c r="BC325" t="inlineStr">
        <is>
          <t>32285002980570</t>
        </is>
      </c>
      <c r="BD325" t="inlineStr">
        <is>
          <t>893234007</t>
        </is>
      </c>
    </row>
    <row r="326">
      <c r="A326" t="inlineStr">
        <is>
          <t>No</t>
        </is>
      </c>
      <c r="B326" t="inlineStr">
        <is>
          <t>QL463 .H85 1923</t>
        </is>
      </c>
      <c r="C326" t="inlineStr">
        <is>
          <t>0                      QL 0463000H  85          1923</t>
        </is>
      </c>
      <c r="D326" t="inlineStr">
        <is>
          <t>The insect book; a popular account of the bees, wasps, ants, grasshoppers, flies and other North American insects exclusive of the butterflies, moths and beetles, with full life histories, tables and bibliographies, by Leland O. Howard.</t>
        </is>
      </c>
      <c r="F326" t="inlineStr">
        <is>
          <t>No</t>
        </is>
      </c>
      <c r="G326" t="inlineStr">
        <is>
          <t>1</t>
        </is>
      </c>
      <c r="H326" t="inlineStr">
        <is>
          <t>No</t>
        </is>
      </c>
      <c r="I326" t="inlineStr">
        <is>
          <t>No</t>
        </is>
      </c>
      <c r="J326" t="inlineStr">
        <is>
          <t>0</t>
        </is>
      </c>
      <c r="K326" t="inlineStr">
        <is>
          <t>Howard, L. O. (Leland Ossian), 1857-1950.</t>
        </is>
      </c>
      <c r="L326" t="inlineStr">
        <is>
          <t>Garden City, N. Y., Doubleday, Doran &amp; company, 1923.</t>
        </is>
      </c>
      <c r="M326" t="inlineStr">
        <is>
          <t>1923</t>
        </is>
      </c>
      <c r="O326" t="inlineStr">
        <is>
          <t>eng</t>
        </is>
      </c>
      <c r="P326" t="inlineStr">
        <is>
          <t>nyu</t>
        </is>
      </c>
      <c r="Q326" t="inlineStr">
        <is>
          <t>The new nature library, vol.IV</t>
        </is>
      </c>
      <c r="R326" t="inlineStr">
        <is>
          <t xml:space="preserve">QL </t>
        </is>
      </c>
      <c r="S326" t="n">
        <v>2</v>
      </c>
      <c r="T326" t="n">
        <v>2</v>
      </c>
      <c r="U326" t="inlineStr">
        <is>
          <t>2005-02-27</t>
        </is>
      </c>
      <c r="V326" t="inlineStr">
        <is>
          <t>2005-02-27</t>
        </is>
      </c>
      <c r="W326" t="inlineStr">
        <is>
          <t>1997-07-23</t>
        </is>
      </c>
      <c r="X326" t="inlineStr">
        <is>
          <t>1997-07-23</t>
        </is>
      </c>
      <c r="Y326" t="n">
        <v>118</v>
      </c>
      <c r="Z326" t="n">
        <v>115</v>
      </c>
      <c r="AA326" t="n">
        <v>664</v>
      </c>
      <c r="AB326" t="n">
        <v>2</v>
      </c>
      <c r="AC326" t="n">
        <v>4</v>
      </c>
      <c r="AD326" t="n">
        <v>7</v>
      </c>
      <c r="AE326" t="n">
        <v>23</v>
      </c>
      <c r="AF326" t="n">
        <v>2</v>
      </c>
      <c r="AG326" t="n">
        <v>8</v>
      </c>
      <c r="AH326" t="n">
        <v>2</v>
      </c>
      <c r="AI326" t="n">
        <v>6</v>
      </c>
      <c r="AJ326" t="n">
        <v>5</v>
      </c>
      <c r="AK326" t="n">
        <v>14</v>
      </c>
      <c r="AL326" t="n">
        <v>1</v>
      </c>
      <c r="AM326" t="n">
        <v>3</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HYPERLINK("https://creighton-primo.hosted.exlibrisgroup.com/primo-explore/search?tab=default_tab&amp;search_scope=EVERYTHING&amp;vid=01CRU&amp;lang=en_US&amp;offset=0&amp;query=any,contains,991004223949702656","Catalog Record")</f>
        <v/>
      </c>
      <c r="AT326">
        <f>HYPERLINK("http://www.worldcat.org/oclc/2722262","WorldCat Record")</f>
        <v/>
      </c>
      <c r="AU326" t="inlineStr">
        <is>
          <t>1678299:eng</t>
        </is>
      </c>
      <c r="AV326" t="inlineStr">
        <is>
          <t>2722262</t>
        </is>
      </c>
      <c r="AW326" t="inlineStr">
        <is>
          <t>991004223949702656</t>
        </is>
      </c>
      <c r="AX326" t="inlineStr">
        <is>
          <t>991004223949702656</t>
        </is>
      </c>
      <c r="AY326" t="inlineStr">
        <is>
          <t>2259047910002656</t>
        </is>
      </c>
      <c r="AZ326" t="inlineStr">
        <is>
          <t>BOOK</t>
        </is>
      </c>
      <c r="BC326" t="inlineStr">
        <is>
          <t>32285002980596</t>
        </is>
      </c>
      <c r="BD326" t="inlineStr">
        <is>
          <t>893446095</t>
        </is>
      </c>
    </row>
    <row r="327">
      <c r="A327" t="inlineStr">
        <is>
          <t>No</t>
        </is>
      </c>
      <c r="B327" t="inlineStr">
        <is>
          <t>QL463 .H89 1993</t>
        </is>
      </c>
      <c r="C327" t="inlineStr">
        <is>
          <t>0                      QL 0463000H  89          1993</t>
        </is>
      </c>
      <c r="D327" t="inlineStr">
        <is>
          <t>Broadsides from the other orders : a book of bugs / Sue Hubbell ; illustrated by Dimitry Schidlovsky.</t>
        </is>
      </c>
      <c r="F327" t="inlineStr">
        <is>
          <t>No</t>
        </is>
      </c>
      <c r="G327" t="inlineStr">
        <is>
          <t>1</t>
        </is>
      </c>
      <c r="H327" t="inlineStr">
        <is>
          <t>No</t>
        </is>
      </c>
      <c r="I327" t="inlineStr">
        <is>
          <t>No</t>
        </is>
      </c>
      <c r="J327" t="inlineStr">
        <is>
          <t>0</t>
        </is>
      </c>
      <c r="K327" t="inlineStr">
        <is>
          <t>Hubbell, Sue.</t>
        </is>
      </c>
      <c r="L327" t="inlineStr">
        <is>
          <t>New York : Random House, c1993.</t>
        </is>
      </c>
      <c r="M327" t="inlineStr">
        <is>
          <t>1993</t>
        </is>
      </c>
      <c r="N327" t="inlineStr">
        <is>
          <t>1st ed.</t>
        </is>
      </c>
      <c r="O327" t="inlineStr">
        <is>
          <t>eng</t>
        </is>
      </c>
      <c r="P327" t="inlineStr">
        <is>
          <t>nyu</t>
        </is>
      </c>
      <c r="R327" t="inlineStr">
        <is>
          <t xml:space="preserve">QL </t>
        </is>
      </c>
      <c r="S327" t="n">
        <v>3</v>
      </c>
      <c r="T327" t="n">
        <v>3</v>
      </c>
      <c r="U327" t="inlineStr">
        <is>
          <t>1993-08-17</t>
        </is>
      </c>
      <c r="V327" t="inlineStr">
        <is>
          <t>1993-08-17</t>
        </is>
      </c>
      <c r="W327" t="inlineStr">
        <is>
          <t>1993-08-09</t>
        </is>
      </c>
      <c r="X327" t="inlineStr">
        <is>
          <t>1993-08-09</t>
        </is>
      </c>
      <c r="Y327" t="n">
        <v>1048</v>
      </c>
      <c r="Z327" t="n">
        <v>1013</v>
      </c>
      <c r="AA327" t="n">
        <v>1056</v>
      </c>
      <c r="AB327" t="n">
        <v>10</v>
      </c>
      <c r="AC327" t="n">
        <v>11</v>
      </c>
      <c r="AD327" t="n">
        <v>22</v>
      </c>
      <c r="AE327" t="n">
        <v>22</v>
      </c>
      <c r="AF327" t="n">
        <v>5</v>
      </c>
      <c r="AG327" t="n">
        <v>5</v>
      </c>
      <c r="AH327" t="n">
        <v>6</v>
      </c>
      <c r="AI327" t="n">
        <v>6</v>
      </c>
      <c r="AJ327" t="n">
        <v>10</v>
      </c>
      <c r="AK327" t="n">
        <v>10</v>
      </c>
      <c r="AL327" t="n">
        <v>5</v>
      </c>
      <c r="AM327" t="n">
        <v>5</v>
      </c>
      <c r="AN327" t="n">
        <v>1</v>
      </c>
      <c r="AO327" t="n">
        <v>1</v>
      </c>
      <c r="AP327" t="inlineStr">
        <is>
          <t>No</t>
        </is>
      </c>
      <c r="AQ327" t="inlineStr">
        <is>
          <t>Yes</t>
        </is>
      </c>
      <c r="AR327">
        <f>HYPERLINK("http://catalog.hathitrust.org/Record/004531454","HathiTrust Record")</f>
        <v/>
      </c>
      <c r="AS327">
        <f>HYPERLINK("https://creighton-primo.hosted.exlibrisgroup.com/primo-explore/search?tab=default_tab&amp;search_scope=EVERYTHING&amp;vid=01CRU&amp;lang=en_US&amp;offset=0&amp;query=any,contains,991002079409702656","Catalog Record")</f>
        <v/>
      </c>
      <c r="AT327">
        <f>HYPERLINK("http://www.worldcat.org/oclc/26672425","WorldCat Record")</f>
        <v/>
      </c>
      <c r="AU327" t="inlineStr">
        <is>
          <t>346574:eng</t>
        </is>
      </c>
      <c r="AV327" t="inlineStr">
        <is>
          <t>26672425</t>
        </is>
      </c>
      <c r="AW327" t="inlineStr">
        <is>
          <t>991002079409702656</t>
        </is>
      </c>
      <c r="AX327" t="inlineStr">
        <is>
          <t>991002079409702656</t>
        </is>
      </c>
      <c r="AY327" t="inlineStr">
        <is>
          <t>2268602750002656</t>
        </is>
      </c>
      <c r="AZ327" t="inlineStr">
        <is>
          <t>BOOK</t>
        </is>
      </c>
      <c r="BB327" t="inlineStr">
        <is>
          <t>9780679400622</t>
        </is>
      </c>
      <c r="BC327" t="inlineStr">
        <is>
          <t>32285001704906</t>
        </is>
      </c>
      <c r="BD327" t="inlineStr">
        <is>
          <t>893773188</t>
        </is>
      </c>
    </row>
    <row r="328">
      <c r="A328" t="inlineStr">
        <is>
          <t>No</t>
        </is>
      </c>
      <c r="B328" t="inlineStr">
        <is>
          <t>QL463 .I65 2009</t>
        </is>
      </c>
      <c r="C328" t="inlineStr">
        <is>
          <t>0                      QL 0463000I  65          2009</t>
        </is>
      </c>
      <c r="D328" t="inlineStr">
        <is>
          <t>Insect biodiversity : science and society / edited by Robert G. Foottit and Peter H. Adler.</t>
        </is>
      </c>
      <c r="F328" t="inlineStr">
        <is>
          <t>No</t>
        </is>
      </c>
      <c r="G328" t="inlineStr">
        <is>
          <t>1</t>
        </is>
      </c>
      <c r="H328" t="inlineStr">
        <is>
          <t>No</t>
        </is>
      </c>
      <c r="I328" t="inlineStr">
        <is>
          <t>No</t>
        </is>
      </c>
      <c r="J328" t="inlineStr">
        <is>
          <t>0</t>
        </is>
      </c>
      <c r="L328" t="inlineStr">
        <is>
          <t>Chichester, UK ; Hoboken, NJ : Wiley-Blackwell, 2009.</t>
        </is>
      </c>
      <c r="M328" t="inlineStr">
        <is>
          <t>2009</t>
        </is>
      </c>
      <c r="O328" t="inlineStr">
        <is>
          <t>eng</t>
        </is>
      </c>
      <c r="P328" t="inlineStr">
        <is>
          <t>enk</t>
        </is>
      </c>
      <c r="R328" t="inlineStr">
        <is>
          <t xml:space="preserve">QL </t>
        </is>
      </c>
      <c r="S328" t="n">
        <v>1</v>
      </c>
      <c r="T328" t="n">
        <v>1</v>
      </c>
      <c r="U328" t="inlineStr">
        <is>
          <t>2010-09-28</t>
        </is>
      </c>
      <c r="V328" t="inlineStr">
        <is>
          <t>2010-09-28</t>
        </is>
      </c>
      <c r="W328" t="inlineStr">
        <is>
          <t>2010-09-28</t>
        </is>
      </c>
      <c r="X328" t="inlineStr">
        <is>
          <t>2010-09-28</t>
        </is>
      </c>
      <c r="Y328" t="n">
        <v>363</v>
      </c>
      <c r="Z328" t="n">
        <v>272</v>
      </c>
      <c r="AA328" t="n">
        <v>701</v>
      </c>
      <c r="AB328" t="n">
        <v>2</v>
      </c>
      <c r="AC328" t="n">
        <v>7</v>
      </c>
      <c r="AD328" t="n">
        <v>17</v>
      </c>
      <c r="AE328" t="n">
        <v>36</v>
      </c>
      <c r="AF328" t="n">
        <v>8</v>
      </c>
      <c r="AG328" t="n">
        <v>13</v>
      </c>
      <c r="AH328" t="n">
        <v>5</v>
      </c>
      <c r="AI328" t="n">
        <v>10</v>
      </c>
      <c r="AJ328" t="n">
        <v>8</v>
      </c>
      <c r="AK328" t="n">
        <v>13</v>
      </c>
      <c r="AL328" t="n">
        <v>1</v>
      </c>
      <c r="AM328" t="n">
        <v>6</v>
      </c>
      <c r="AN328" t="n">
        <v>0</v>
      </c>
      <c r="AO328" t="n">
        <v>1</v>
      </c>
      <c r="AP328" t="inlineStr">
        <is>
          <t>No</t>
        </is>
      </c>
      <c r="AQ328" t="inlineStr">
        <is>
          <t>No</t>
        </is>
      </c>
      <c r="AS328">
        <f>HYPERLINK("https://creighton-primo.hosted.exlibrisgroup.com/primo-explore/search?tab=default_tab&amp;search_scope=EVERYTHING&amp;vid=01CRU&amp;lang=en_US&amp;offset=0&amp;query=any,contains,991000151369702656","Catalog Record")</f>
        <v/>
      </c>
      <c r="AT328">
        <f>HYPERLINK("http://www.worldcat.org/oclc/156816238","WorldCat Record")</f>
        <v/>
      </c>
      <c r="AU328" t="inlineStr">
        <is>
          <t>797356606:eng</t>
        </is>
      </c>
      <c r="AV328" t="inlineStr">
        <is>
          <t>156816238</t>
        </is>
      </c>
      <c r="AW328" t="inlineStr">
        <is>
          <t>991000151369702656</t>
        </is>
      </c>
      <c r="AX328" t="inlineStr">
        <is>
          <t>991000151369702656</t>
        </is>
      </c>
      <c r="AY328" t="inlineStr">
        <is>
          <t>2266730520002656</t>
        </is>
      </c>
      <c r="AZ328" t="inlineStr">
        <is>
          <t>BOOK</t>
        </is>
      </c>
      <c r="BB328" t="inlineStr">
        <is>
          <t>9781405151429</t>
        </is>
      </c>
      <c r="BC328" t="inlineStr">
        <is>
          <t>32285005596886</t>
        </is>
      </c>
      <c r="BD328" t="inlineStr">
        <is>
          <t>893708168</t>
        </is>
      </c>
    </row>
    <row r="329">
      <c r="A329" t="inlineStr">
        <is>
          <t>No</t>
        </is>
      </c>
      <c r="B329" t="inlineStr">
        <is>
          <t>QL463 .I7</t>
        </is>
      </c>
      <c r="C329" t="inlineStr">
        <is>
          <t>0                      QL 0463000I  7</t>
        </is>
      </c>
      <c r="D329" t="inlineStr">
        <is>
          <t>Insect life history patterns : habitat and geographic variation / Robert F. Denno, Hugh Dingle.</t>
        </is>
      </c>
      <c r="F329" t="inlineStr">
        <is>
          <t>No</t>
        </is>
      </c>
      <c r="G329" t="inlineStr">
        <is>
          <t>1</t>
        </is>
      </c>
      <c r="H329" t="inlineStr">
        <is>
          <t>No</t>
        </is>
      </c>
      <c r="I329" t="inlineStr">
        <is>
          <t>No</t>
        </is>
      </c>
      <c r="J329" t="inlineStr">
        <is>
          <t>0</t>
        </is>
      </c>
      <c r="L329" t="inlineStr">
        <is>
          <t>New York : Springer-Verlag, c1981.</t>
        </is>
      </c>
      <c r="M329" t="inlineStr">
        <is>
          <t>1981</t>
        </is>
      </c>
      <c r="O329" t="inlineStr">
        <is>
          <t>eng</t>
        </is>
      </c>
      <c r="P329" t="inlineStr">
        <is>
          <t>nyu</t>
        </is>
      </c>
      <c r="Q329" t="inlineStr">
        <is>
          <t>Proceedings in life sciences</t>
        </is>
      </c>
      <c r="R329" t="inlineStr">
        <is>
          <t xml:space="preserve">QL </t>
        </is>
      </c>
      <c r="S329" t="n">
        <v>3</v>
      </c>
      <c r="T329" t="n">
        <v>3</v>
      </c>
      <c r="U329" t="inlineStr">
        <is>
          <t>1994-11-05</t>
        </is>
      </c>
      <c r="V329" t="inlineStr">
        <is>
          <t>1994-11-05</t>
        </is>
      </c>
      <c r="W329" t="inlineStr">
        <is>
          <t>1993-05-26</t>
        </is>
      </c>
      <c r="X329" t="inlineStr">
        <is>
          <t>1993-05-26</t>
        </is>
      </c>
      <c r="Y329" t="n">
        <v>357</v>
      </c>
      <c r="Z329" t="n">
        <v>241</v>
      </c>
      <c r="AA329" t="n">
        <v>257</v>
      </c>
      <c r="AB329" t="n">
        <v>4</v>
      </c>
      <c r="AC329" t="n">
        <v>4</v>
      </c>
      <c r="AD329" t="n">
        <v>8</v>
      </c>
      <c r="AE329" t="n">
        <v>8</v>
      </c>
      <c r="AF329" t="n">
        <v>1</v>
      </c>
      <c r="AG329" t="n">
        <v>1</v>
      </c>
      <c r="AH329" t="n">
        <v>1</v>
      </c>
      <c r="AI329" t="n">
        <v>1</v>
      </c>
      <c r="AJ329" t="n">
        <v>5</v>
      </c>
      <c r="AK329" t="n">
        <v>5</v>
      </c>
      <c r="AL329" t="n">
        <v>3</v>
      </c>
      <c r="AM329" t="n">
        <v>3</v>
      </c>
      <c r="AN329" t="n">
        <v>0</v>
      </c>
      <c r="AO329" t="n">
        <v>0</v>
      </c>
      <c r="AP329" t="inlineStr">
        <is>
          <t>No</t>
        </is>
      </c>
      <c r="AQ329" t="inlineStr">
        <is>
          <t>Yes</t>
        </is>
      </c>
      <c r="AR329">
        <f>HYPERLINK("http://catalog.hathitrust.org/Record/000307326","HathiTrust Record")</f>
        <v/>
      </c>
      <c r="AS329">
        <f>HYPERLINK("https://creighton-primo.hosted.exlibrisgroup.com/primo-explore/search?tab=default_tab&amp;search_scope=EVERYTHING&amp;vid=01CRU&amp;lang=en_US&amp;offset=0&amp;query=any,contains,991005095649702656","Catalog Record")</f>
        <v/>
      </c>
      <c r="AT329">
        <f>HYPERLINK("http://www.worldcat.org/oclc/7272899","WorldCat Record")</f>
        <v/>
      </c>
      <c r="AU329" t="inlineStr">
        <is>
          <t>795770059:eng</t>
        </is>
      </c>
      <c r="AV329" t="inlineStr">
        <is>
          <t>7272899</t>
        </is>
      </c>
      <c r="AW329" t="inlineStr">
        <is>
          <t>991005095649702656</t>
        </is>
      </c>
      <c r="AX329" t="inlineStr">
        <is>
          <t>991005095649702656</t>
        </is>
      </c>
      <c r="AY329" t="inlineStr">
        <is>
          <t>2261266750002656</t>
        </is>
      </c>
      <c r="AZ329" t="inlineStr">
        <is>
          <t>BOOK</t>
        </is>
      </c>
      <c r="BC329" t="inlineStr">
        <is>
          <t>32285001686954</t>
        </is>
      </c>
      <c r="BD329" t="inlineStr">
        <is>
          <t>893320005</t>
        </is>
      </c>
    </row>
    <row r="330">
      <c r="A330" t="inlineStr">
        <is>
          <t>No</t>
        </is>
      </c>
      <c r="B330" t="inlineStr">
        <is>
          <t>QL463 .L43 1995</t>
        </is>
      </c>
      <c r="C330" t="inlineStr">
        <is>
          <t>0                      QL 0463000L  43          1995</t>
        </is>
      </c>
      <c r="D330" t="inlineStr">
        <is>
          <t>The ecology of insect overwintering / S.R. Leather, K.F.A. Walters, and J.S. Bale.</t>
        </is>
      </c>
      <c r="F330" t="inlineStr">
        <is>
          <t>No</t>
        </is>
      </c>
      <c r="G330" t="inlineStr">
        <is>
          <t>1</t>
        </is>
      </c>
      <c r="H330" t="inlineStr">
        <is>
          <t>No</t>
        </is>
      </c>
      <c r="I330" t="inlineStr">
        <is>
          <t>No</t>
        </is>
      </c>
      <c r="J330" t="inlineStr">
        <is>
          <t>0</t>
        </is>
      </c>
      <c r="K330" t="inlineStr">
        <is>
          <t>Leather, S. R. (Simon R.)</t>
        </is>
      </c>
      <c r="L330" t="inlineStr">
        <is>
          <t>Cambridge [England] ; New York, NY, USA : Cambridge University Press, 1995, c1993.</t>
        </is>
      </c>
      <c r="M330" t="inlineStr">
        <is>
          <t>1995</t>
        </is>
      </c>
      <c r="N330" t="inlineStr">
        <is>
          <t>1st pbk. ed.</t>
        </is>
      </c>
      <c r="O330" t="inlineStr">
        <is>
          <t>eng</t>
        </is>
      </c>
      <c r="P330" t="inlineStr">
        <is>
          <t>enk</t>
        </is>
      </c>
      <c r="R330" t="inlineStr">
        <is>
          <t xml:space="preserve">QL </t>
        </is>
      </c>
      <c r="S330" t="n">
        <v>3</v>
      </c>
      <c r="T330" t="n">
        <v>3</v>
      </c>
      <c r="U330" t="inlineStr">
        <is>
          <t>2008-12-01</t>
        </is>
      </c>
      <c r="V330" t="inlineStr">
        <is>
          <t>2008-12-01</t>
        </is>
      </c>
      <c r="W330" t="inlineStr">
        <is>
          <t>1996-11-25</t>
        </is>
      </c>
      <c r="X330" t="inlineStr">
        <is>
          <t>1996-11-25</t>
        </is>
      </c>
      <c r="Y330" t="n">
        <v>28</v>
      </c>
      <c r="Z330" t="n">
        <v>16</v>
      </c>
      <c r="AA330" t="n">
        <v>308</v>
      </c>
      <c r="AB330" t="n">
        <v>1</v>
      </c>
      <c r="AC330" t="n">
        <v>2</v>
      </c>
      <c r="AD330" t="n">
        <v>0</v>
      </c>
      <c r="AE330" t="n">
        <v>6</v>
      </c>
      <c r="AF330" t="n">
        <v>0</v>
      </c>
      <c r="AG330" t="n">
        <v>1</v>
      </c>
      <c r="AH330" t="n">
        <v>0</v>
      </c>
      <c r="AI330" t="n">
        <v>2</v>
      </c>
      <c r="AJ330" t="n">
        <v>0</v>
      </c>
      <c r="AK330" t="n">
        <v>4</v>
      </c>
      <c r="AL330" t="n">
        <v>0</v>
      </c>
      <c r="AM330" t="n">
        <v>1</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HYPERLINK("https://creighton-primo.hosted.exlibrisgroup.com/primo-explore/search?tab=default_tab&amp;search_scope=EVERYTHING&amp;vid=01CRU&amp;lang=en_US&amp;offset=0&amp;query=any,contains,991002741039702656","Catalog Record")</f>
        <v/>
      </c>
      <c r="AT330">
        <f>HYPERLINK("http://www.worldcat.org/oclc/35997865","WorldCat Record")</f>
        <v/>
      </c>
      <c r="AU330" t="inlineStr">
        <is>
          <t>908251:eng</t>
        </is>
      </c>
      <c r="AV330" t="inlineStr">
        <is>
          <t>35997865</t>
        </is>
      </c>
      <c r="AW330" t="inlineStr">
        <is>
          <t>991002741039702656</t>
        </is>
      </c>
      <c r="AX330" t="inlineStr">
        <is>
          <t>991002741039702656</t>
        </is>
      </c>
      <c r="AY330" t="inlineStr">
        <is>
          <t>2267929130002656</t>
        </is>
      </c>
      <c r="AZ330" t="inlineStr">
        <is>
          <t>BOOK</t>
        </is>
      </c>
      <c r="BB330" t="inlineStr">
        <is>
          <t>9780521556705</t>
        </is>
      </c>
      <c r="BC330" t="inlineStr">
        <is>
          <t>32285002395282</t>
        </is>
      </c>
      <c r="BD330" t="inlineStr">
        <is>
          <t>893698202</t>
        </is>
      </c>
    </row>
    <row r="331">
      <c r="A331" t="inlineStr">
        <is>
          <t>No</t>
        </is>
      </c>
      <c r="B331" t="inlineStr">
        <is>
          <t>QL463 .M255</t>
        </is>
      </c>
      <c r="C331" t="inlineStr">
        <is>
          <t>0                      QL 0463000M  255</t>
        </is>
      </c>
      <c r="D331" t="inlineStr">
        <is>
          <t>The ecology of ectoparasitic insects / Adrian G. Marshall.</t>
        </is>
      </c>
      <c r="F331" t="inlineStr">
        <is>
          <t>No</t>
        </is>
      </c>
      <c r="G331" t="inlineStr">
        <is>
          <t>1</t>
        </is>
      </c>
      <c r="H331" t="inlineStr">
        <is>
          <t>No</t>
        </is>
      </c>
      <c r="I331" t="inlineStr">
        <is>
          <t>No</t>
        </is>
      </c>
      <c r="J331" t="inlineStr">
        <is>
          <t>0</t>
        </is>
      </c>
      <c r="K331" t="inlineStr">
        <is>
          <t>Marshall, Adrian G.</t>
        </is>
      </c>
      <c r="L331" t="inlineStr">
        <is>
          <t>London ; New York : Academic Press, 1981.</t>
        </is>
      </c>
      <c r="M331" t="inlineStr">
        <is>
          <t>1981</t>
        </is>
      </c>
      <c r="O331" t="inlineStr">
        <is>
          <t>eng</t>
        </is>
      </c>
      <c r="P331" t="inlineStr">
        <is>
          <t>enk</t>
        </is>
      </c>
      <c r="R331" t="inlineStr">
        <is>
          <t xml:space="preserve">QL </t>
        </is>
      </c>
      <c r="S331" t="n">
        <v>2</v>
      </c>
      <c r="T331" t="n">
        <v>2</v>
      </c>
      <c r="U331" t="inlineStr">
        <is>
          <t>2006-02-25</t>
        </is>
      </c>
      <c r="V331" t="inlineStr">
        <is>
          <t>2006-02-25</t>
        </is>
      </c>
      <c r="W331" t="inlineStr">
        <is>
          <t>1993-05-26</t>
        </is>
      </c>
      <c r="X331" t="inlineStr">
        <is>
          <t>1993-05-26</t>
        </is>
      </c>
      <c r="Y331" t="n">
        <v>318</v>
      </c>
      <c r="Z331" t="n">
        <v>200</v>
      </c>
      <c r="AA331" t="n">
        <v>205</v>
      </c>
      <c r="AB331" t="n">
        <v>3</v>
      </c>
      <c r="AC331" t="n">
        <v>3</v>
      </c>
      <c r="AD331" t="n">
        <v>8</v>
      </c>
      <c r="AE331" t="n">
        <v>8</v>
      </c>
      <c r="AF331" t="n">
        <v>2</v>
      </c>
      <c r="AG331" t="n">
        <v>2</v>
      </c>
      <c r="AH331" t="n">
        <v>3</v>
      </c>
      <c r="AI331" t="n">
        <v>3</v>
      </c>
      <c r="AJ331" t="n">
        <v>4</v>
      </c>
      <c r="AK331" t="n">
        <v>4</v>
      </c>
      <c r="AL331" t="n">
        <v>2</v>
      </c>
      <c r="AM331" t="n">
        <v>2</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HYPERLINK("https://creighton-primo.hosted.exlibrisgroup.com/primo-explore/search?tab=default_tab&amp;search_scope=EVERYTHING&amp;vid=01CRU&amp;lang=en_US&amp;offset=0&amp;query=any,contains,991005210559702656","Catalog Record")</f>
        <v/>
      </c>
      <c r="AT331">
        <f>HYPERLINK("http://www.worldcat.org/oclc/8166601","WorldCat Record")</f>
        <v/>
      </c>
      <c r="AU331" t="inlineStr">
        <is>
          <t>409408:eng</t>
        </is>
      </c>
      <c r="AV331" t="inlineStr">
        <is>
          <t>8166601</t>
        </is>
      </c>
      <c r="AW331" t="inlineStr">
        <is>
          <t>991005210559702656</t>
        </is>
      </c>
      <c r="AX331" t="inlineStr">
        <is>
          <t>991005210559702656</t>
        </is>
      </c>
      <c r="AY331" t="inlineStr">
        <is>
          <t>2269312810002656</t>
        </is>
      </c>
      <c r="AZ331" t="inlineStr">
        <is>
          <t>BOOK</t>
        </is>
      </c>
      <c r="BB331" t="inlineStr">
        <is>
          <t>9780124740808</t>
        </is>
      </c>
      <c r="BC331" t="inlineStr">
        <is>
          <t>32285001686962</t>
        </is>
      </c>
      <c r="BD331" t="inlineStr">
        <is>
          <t>893514239</t>
        </is>
      </c>
    </row>
    <row r="332">
      <c r="A332" t="inlineStr">
        <is>
          <t>No</t>
        </is>
      </c>
      <c r="B332" t="inlineStr">
        <is>
          <t>QL463 .P72 2000</t>
        </is>
      </c>
      <c r="C332" t="inlineStr">
        <is>
          <t>0                      QL 0463000P  72          2000</t>
        </is>
      </c>
      <c r="D332" t="inlineStr">
        <is>
          <t>The natural world of bugs &amp; insects / Ken &amp; Rod Preston-Mafham.</t>
        </is>
      </c>
      <c r="F332" t="inlineStr">
        <is>
          <t>No</t>
        </is>
      </c>
      <c r="G332" t="inlineStr">
        <is>
          <t>1</t>
        </is>
      </c>
      <c r="H332" t="inlineStr">
        <is>
          <t>No</t>
        </is>
      </c>
      <c r="I332" t="inlineStr">
        <is>
          <t>No</t>
        </is>
      </c>
      <c r="J332" t="inlineStr">
        <is>
          <t>0</t>
        </is>
      </c>
      <c r="K332" t="inlineStr">
        <is>
          <t>Preston-Mafham, Ken.</t>
        </is>
      </c>
      <c r="L332" t="inlineStr">
        <is>
          <t>San Diego, CA : Thunder Bay, c2000.</t>
        </is>
      </c>
      <c r="M332" t="inlineStr">
        <is>
          <t>2000</t>
        </is>
      </c>
      <c r="O332" t="inlineStr">
        <is>
          <t>eng</t>
        </is>
      </c>
      <c r="P332" t="inlineStr">
        <is>
          <t>cau</t>
        </is>
      </c>
      <c r="R332" t="inlineStr">
        <is>
          <t xml:space="preserve">QL </t>
        </is>
      </c>
      <c r="S332" t="n">
        <v>8</v>
      </c>
      <c r="T332" t="n">
        <v>8</v>
      </c>
      <c r="U332" t="inlineStr">
        <is>
          <t>2009-02-28</t>
        </is>
      </c>
      <c r="V332" t="inlineStr">
        <is>
          <t>2009-02-28</t>
        </is>
      </c>
      <c r="W332" t="inlineStr">
        <is>
          <t>2001-12-18</t>
        </is>
      </c>
      <c r="X332" t="inlineStr">
        <is>
          <t>2001-12-18</t>
        </is>
      </c>
      <c r="Y332" t="n">
        <v>60</v>
      </c>
      <c r="Z332" t="n">
        <v>54</v>
      </c>
      <c r="AA332" t="n">
        <v>127</v>
      </c>
      <c r="AB332" t="n">
        <v>2</v>
      </c>
      <c r="AC332" t="n">
        <v>2</v>
      </c>
      <c r="AD332" t="n">
        <v>0</v>
      </c>
      <c r="AE332" t="n">
        <v>0</v>
      </c>
      <c r="AF332" t="n">
        <v>0</v>
      </c>
      <c r="AG332" t="n">
        <v>0</v>
      </c>
      <c r="AH332" t="n">
        <v>0</v>
      </c>
      <c r="AI332" t="n">
        <v>0</v>
      </c>
      <c r="AJ332" t="n">
        <v>0</v>
      </c>
      <c r="AK332" t="n">
        <v>0</v>
      </c>
      <c r="AL332" t="n">
        <v>0</v>
      </c>
      <c r="AM332" t="n">
        <v>0</v>
      </c>
      <c r="AN332" t="n">
        <v>0</v>
      </c>
      <c r="AO332" t="n">
        <v>0</v>
      </c>
      <c r="AP332" t="inlineStr">
        <is>
          <t>No</t>
        </is>
      </c>
      <c r="AQ332" t="inlineStr">
        <is>
          <t>Yes</t>
        </is>
      </c>
      <c r="AR332">
        <f>HYPERLINK("http://catalog.hathitrust.org/Record/009192480","HathiTrust Record")</f>
        <v/>
      </c>
      <c r="AS332">
        <f>HYPERLINK("https://creighton-primo.hosted.exlibrisgroup.com/primo-explore/search?tab=default_tab&amp;search_scope=EVERYTHING&amp;vid=01CRU&amp;lang=en_US&amp;offset=0&amp;query=any,contains,991003574119702656","Catalog Record")</f>
        <v/>
      </c>
      <c r="AT332">
        <f>HYPERLINK("http://www.worldcat.org/oclc/46785409","WorldCat Record")</f>
        <v/>
      </c>
      <c r="AU332" t="inlineStr">
        <is>
          <t>3944241572:eng</t>
        </is>
      </c>
      <c r="AV332" t="inlineStr">
        <is>
          <t>46785409</t>
        </is>
      </c>
      <c r="AW332" t="inlineStr">
        <is>
          <t>991003574119702656</t>
        </is>
      </c>
      <c r="AX332" t="inlineStr">
        <is>
          <t>991003574119702656</t>
        </is>
      </c>
      <c r="AY332" t="inlineStr">
        <is>
          <t>2263082600002656</t>
        </is>
      </c>
      <c r="AZ332" t="inlineStr">
        <is>
          <t>BOOK</t>
        </is>
      </c>
      <c r="BB332" t="inlineStr">
        <is>
          <t>9781571452887</t>
        </is>
      </c>
      <c r="BC332" t="inlineStr">
        <is>
          <t>32285004429147</t>
        </is>
      </c>
      <c r="BD332" t="inlineStr">
        <is>
          <t>893623638</t>
        </is>
      </c>
    </row>
    <row r="333">
      <c r="A333" t="inlineStr">
        <is>
          <t>No</t>
        </is>
      </c>
      <c r="B333" t="inlineStr">
        <is>
          <t>QL463 .R65 1994</t>
        </is>
      </c>
      <c r="C333" t="inlineStr">
        <is>
          <t>0                      QL 0463000R  65          1994</t>
        </is>
      </c>
      <c r="D333" t="inlineStr">
        <is>
          <t>The science of entomology / William S. Romoser, John G. Stoffolano, Jr.</t>
        </is>
      </c>
      <c r="F333" t="inlineStr">
        <is>
          <t>No</t>
        </is>
      </c>
      <c r="G333" t="inlineStr">
        <is>
          <t>1</t>
        </is>
      </c>
      <c r="H333" t="inlineStr">
        <is>
          <t>No</t>
        </is>
      </c>
      <c r="I333" t="inlineStr">
        <is>
          <t>Yes</t>
        </is>
      </c>
      <c r="J333" t="inlineStr">
        <is>
          <t>0</t>
        </is>
      </c>
      <c r="K333" t="inlineStr">
        <is>
          <t>Romoser, William S.</t>
        </is>
      </c>
      <c r="L333" t="inlineStr">
        <is>
          <t>Dubuque, Iowa : Wm. C. Brown, c1994.</t>
        </is>
      </c>
      <c r="M333" t="inlineStr">
        <is>
          <t>1994</t>
        </is>
      </c>
      <c r="N333" t="inlineStr">
        <is>
          <t>3rd ed.</t>
        </is>
      </c>
      <c r="O333" t="inlineStr">
        <is>
          <t>eng</t>
        </is>
      </c>
      <c r="P333" t="inlineStr">
        <is>
          <t>iau</t>
        </is>
      </c>
      <c r="R333" t="inlineStr">
        <is>
          <t xml:space="preserve">QL </t>
        </is>
      </c>
      <c r="S333" t="n">
        <v>11</v>
      </c>
      <c r="T333" t="n">
        <v>11</v>
      </c>
      <c r="U333" t="inlineStr">
        <is>
          <t>2005-10-14</t>
        </is>
      </c>
      <c r="V333" t="inlineStr">
        <is>
          <t>2005-10-14</t>
        </is>
      </c>
      <c r="W333" t="inlineStr">
        <is>
          <t>1996-03-29</t>
        </is>
      </c>
      <c r="X333" t="inlineStr">
        <is>
          <t>1996-03-29</t>
        </is>
      </c>
      <c r="Y333" t="n">
        <v>134</v>
      </c>
      <c r="Z333" t="n">
        <v>74</v>
      </c>
      <c r="AA333" t="n">
        <v>531</v>
      </c>
      <c r="AB333" t="n">
        <v>3</v>
      </c>
      <c r="AC333" t="n">
        <v>5</v>
      </c>
      <c r="AD333" t="n">
        <v>3</v>
      </c>
      <c r="AE333" t="n">
        <v>15</v>
      </c>
      <c r="AF333" t="n">
        <v>0</v>
      </c>
      <c r="AG333" t="n">
        <v>3</v>
      </c>
      <c r="AH333" t="n">
        <v>1</v>
      </c>
      <c r="AI333" t="n">
        <v>3</v>
      </c>
      <c r="AJ333" t="n">
        <v>1</v>
      </c>
      <c r="AK333" t="n">
        <v>8</v>
      </c>
      <c r="AL333" t="n">
        <v>2</v>
      </c>
      <c r="AM333" t="n">
        <v>4</v>
      </c>
      <c r="AN333" t="n">
        <v>0</v>
      </c>
      <c r="AO333" t="n">
        <v>0</v>
      </c>
      <c r="AP333" t="inlineStr">
        <is>
          <t>No</t>
        </is>
      </c>
      <c r="AQ333" t="inlineStr">
        <is>
          <t>Yes</t>
        </is>
      </c>
      <c r="AR333">
        <f>HYPERLINK("http://catalog.hathitrust.org/Record/008556239","HathiTrust Record")</f>
        <v/>
      </c>
      <c r="AS333">
        <f>HYPERLINK("https://creighton-primo.hosted.exlibrisgroup.com/primo-explore/search?tab=default_tab&amp;search_scope=EVERYTHING&amp;vid=01CRU&amp;lang=en_US&amp;offset=0&amp;query=any,contains,991002297599702656","Catalog Record")</f>
        <v/>
      </c>
      <c r="AT333">
        <f>HYPERLINK("http://www.worldcat.org/oclc/29798517","WorldCat Record")</f>
        <v/>
      </c>
      <c r="AU333" t="inlineStr">
        <is>
          <t>398744:eng</t>
        </is>
      </c>
      <c r="AV333" t="inlineStr">
        <is>
          <t>29798517</t>
        </is>
      </c>
      <c r="AW333" t="inlineStr">
        <is>
          <t>991002297599702656</t>
        </is>
      </c>
      <c r="AX333" t="inlineStr">
        <is>
          <t>991002297599702656</t>
        </is>
      </c>
      <c r="AY333" t="inlineStr">
        <is>
          <t>2257189090002656</t>
        </is>
      </c>
      <c r="AZ333" t="inlineStr">
        <is>
          <t>BOOK</t>
        </is>
      </c>
      <c r="BB333" t="inlineStr">
        <is>
          <t>9780697033499</t>
        </is>
      </c>
      <c r="BC333" t="inlineStr">
        <is>
          <t>32285002148244</t>
        </is>
      </c>
      <c r="BD333" t="inlineStr">
        <is>
          <t>893591185</t>
        </is>
      </c>
    </row>
    <row r="334">
      <c r="A334" t="inlineStr">
        <is>
          <t>No</t>
        </is>
      </c>
      <c r="B334" t="inlineStr">
        <is>
          <t>QL463 .R65 1998</t>
        </is>
      </c>
      <c r="C334" t="inlineStr">
        <is>
          <t>0                      QL 0463000R  65          1998</t>
        </is>
      </c>
      <c r="D334" t="inlineStr">
        <is>
          <t>The science of entomology / William S. Romoser, John G. Stoffolano, Jr.</t>
        </is>
      </c>
      <c r="F334" t="inlineStr">
        <is>
          <t>No</t>
        </is>
      </c>
      <c r="G334" t="inlineStr">
        <is>
          <t>1</t>
        </is>
      </c>
      <c r="H334" t="inlineStr">
        <is>
          <t>No</t>
        </is>
      </c>
      <c r="I334" t="inlineStr">
        <is>
          <t>Yes</t>
        </is>
      </c>
      <c r="J334" t="inlineStr">
        <is>
          <t>0</t>
        </is>
      </c>
      <c r="K334" t="inlineStr">
        <is>
          <t>Romoser, William S.</t>
        </is>
      </c>
      <c r="L334" t="inlineStr">
        <is>
          <t>Boston, Mass. : WCB McGraw-Hill, c1998.</t>
        </is>
      </c>
      <c r="M334" t="inlineStr">
        <is>
          <t>1998</t>
        </is>
      </c>
      <c r="N334" t="inlineStr">
        <is>
          <t>4th ed.</t>
        </is>
      </c>
      <c r="O334" t="inlineStr">
        <is>
          <t>eng</t>
        </is>
      </c>
      <c r="P334" t="inlineStr">
        <is>
          <t>mau</t>
        </is>
      </c>
      <c r="R334" t="inlineStr">
        <is>
          <t xml:space="preserve">QL </t>
        </is>
      </c>
      <c r="S334" t="n">
        <v>5</v>
      </c>
      <c r="T334" t="n">
        <v>5</v>
      </c>
      <c r="U334" t="inlineStr">
        <is>
          <t>2010-10-14</t>
        </is>
      </c>
      <c r="V334" t="inlineStr">
        <is>
          <t>2010-10-14</t>
        </is>
      </c>
      <c r="W334" t="inlineStr">
        <is>
          <t>2004-08-23</t>
        </is>
      </c>
      <c r="X334" t="inlineStr">
        <is>
          <t>2004-08-23</t>
        </is>
      </c>
      <c r="Y334" t="n">
        <v>171</v>
      </c>
      <c r="Z334" t="n">
        <v>99</v>
      </c>
      <c r="AA334" t="n">
        <v>531</v>
      </c>
      <c r="AB334" t="n">
        <v>1</v>
      </c>
      <c r="AC334" t="n">
        <v>5</v>
      </c>
      <c r="AD334" t="n">
        <v>0</v>
      </c>
      <c r="AE334" t="n">
        <v>15</v>
      </c>
      <c r="AF334" t="n">
        <v>0</v>
      </c>
      <c r="AG334" t="n">
        <v>3</v>
      </c>
      <c r="AH334" t="n">
        <v>0</v>
      </c>
      <c r="AI334" t="n">
        <v>3</v>
      </c>
      <c r="AJ334" t="n">
        <v>0</v>
      </c>
      <c r="AK334" t="n">
        <v>8</v>
      </c>
      <c r="AL334" t="n">
        <v>0</v>
      </c>
      <c r="AM334" t="n">
        <v>4</v>
      </c>
      <c r="AN334" t="n">
        <v>0</v>
      </c>
      <c r="AO334" t="n">
        <v>0</v>
      </c>
      <c r="AP334" t="inlineStr">
        <is>
          <t>No</t>
        </is>
      </c>
      <c r="AQ334" t="inlineStr">
        <is>
          <t>Yes</t>
        </is>
      </c>
      <c r="AR334">
        <f>HYPERLINK("http://catalog.hathitrust.org/Record/004205878","HathiTrust Record")</f>
        <v/>
      </c>
      <c r="AS334">
        <f>HYPERLINK("https://creighton-primo.hosted.exlibrisgroup.com/primo-explore/search?tab=default_tab&amp;search_scope=EVERYTHING&amp;vid=01CRU&amp;lang=en_US&amp;offset=0&amp;query=any,contains,991004354289702656","Catalog Record")</f>
        <v/>
      </c>
      <c r="AT334">
        <f>HYPERLINK("http://www.worldcat.org/oclc/37359617","WorldCat Record")</f>
        <v/>
      </c>
      <c r="AU334" t="inlineStr">
        <is>
          <t>398744:eng</t>
        </is>
      </c>
      <c r="AV334" t="inlineStr">
        <is>
          <t>37359617</t>
        </is>
      </c>
      <c r="AW334" t="inlineStr">
        <is>
          <t>991004354289702656</t>
        </is>
      </c>
      <c r="AX334" t="inlineStr">
        <is>
          <t>991004354289702656</t>
        </is>
      </c>
      <c r="AY334" t="inlineStr">
        <is>
          <t>2263572820002656</t>
        </is>
      </c>
      <c r="AZ334" t="inlineStr">
        <is>
          <t>BOOK</t>
        </is>
      </c>
      <c r="BB334" t="inlineStr">
        <is>
          <t>9780697228482</t>
        </is>
      </c>
      <c r="BC334" t="inlineStr">
        <is>
          <t>32285004983077</t>
        </is>
      </c>
      <c r="BD334" t="inlineStr">
        <is>
          <t>893229259</t>
        </is>
      </c>
    </row>
    <row r="335">
      <c r="A335" t="inlineStr">
        <is>
          <t>No</t>
        </is>
      </c>
      <c r="B335" t="inlineStr">
        <is>
          <t>QL463 .T87 2006</t>
        </is>
      </c>
      <c r="C335" t="inlineStr">
        <is>
          <t>0                      QL 0463000T  87          2006</t>
        </is>
      </c>
      <c r="D335" t="inlineStr">
        <is>
          <t>Flies in the face of fashion, mites make right, and other bugdacious tales / by Tom Turpin.</t>
        </is>
      </c>
      <c r="F335" t="inlineStr">
        <is>
          <t>No</t>
        </is>
      </c>
      <c r="G335" t="inlineStr">
        <is>
          <t>1</t>
        </is>
      </c>
      <c r="H335" t="inlineStr">
        <is>
          <t>No</t>
        </is>
      </c>
      <c r="I335" t="inlineStr">
        <is>
          <t>No</t>
        </is>
      </c>
      <c r="J335" t="inlineStr">
        <is>
          <t>0</t>
        </is>
      </c>
      <c r="K335" t="inlineStr">
        <is>
          <t>Turpin, Tom, 1943-</t>
        </is>
      </c>
      <c r="L335" t="inlineStr">
        <is>
          <t>West Lafayette, Ind. : Purdue University Press, 2006.</t>
        </is>
      </c>
      <c r="M335" t="inlineStr">
        <is>
          <t>2006</t>
        </is>
      </c>
      <c r="O335" t="inlineStr">
        <is>
          <t>eng</t>
        </is>
      </c>
      <c r="P335" t="inlineStr">
        <is>
          <t>inu</t>
        </is>
      </c>
      <c r="R335" t="inlineStr">
        <is>
          <t xml:space="preserve">QL </t>
        </is>
      </c>
      <c r="S335" t="n">
        <v>7</v>
      </c>
      <c r="T335" t="n">
        <v>7</v>
      </c>
      <c r="U335" t="inlineStr">
        <is>
          <t>2008-09-23</t>
        </is>
      </c>
      <c r="V335" t="inlineStr">
        <is>
          <t>2008-09-23</t>
        </is>
      </c>
      <c r="W335" t="inlineStr">
        <is>
          <t>2006-07-13</t>
        </is>
      </c>
      <c r="X335" t="inlineStr">
        <is>
          <t>2006-07-13</t>
        </is>
      </c>
      <c r="Y335" t="n">
        <v>207</v>
      </c>
      <c r="Z335" t="n">
        <v>194</v>
      </c>
      <c r="AA335" t="n">
        <v>199</v>
      </c>
      <c r="AB335" t="n">
        <v>2</v>
      </c>
      <c r="AC335" t="n">
        <v>2</v>
      </c>
      <c r="AD335" t="n">
        <v>1</v>
      </c>
      <c r="AE335" t="n">
        <v>1</v>
      </c>
      <c r="AF335" t="n">
        <v>0</v>
      </c>
      <c r="AG335" t="n">
        <v>0</v>
      </c>
      <c r="AH335" t="n">
        <v>0</v>
      </c>
      <c r="AI335" t="n">
        <v>0</v>
      </c>
      <c r="AJ335" t="n">
        <v>0</v>
      </c>
      <c r="AK335" t="n">
        <v>0</v>
      </c>
      <c r="AL335" t="n">
        <v>1</v>
      </c>
      <c r="AM335" t="n">
        <v>1</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HYPERLINK("https://creighton-primo.hosted.exlibrisgroup.com/primo-explore/search?tab=default_tab&amp;search_scope=EVERYTHING&amp;vid=01CRU&amp;lang=en_US&amp;offset=0&amp;query=any,contains,991004839879702656","Catalog Record")</f>
        <v/>
      </c>
      <c r="AT335">
        <f>HYPERLINK("http://www.worldcat.org/oclc/63122759","WorldCat Record")</f>
        <v/>
      </c>
      <c r="AU335" t="inlineStr">
        <is>
          <t>5116975587:eng</t>
        </is>
      </c>
      <c r="AV335" t="inlineStr">
        <is>
          <t>63122759</t>
        </is>
      </c>
      <c r="AW335" t="inlineStr">
        <is>
          <t>991004839879702656</t>
        </is>
      </c>
      <c r="AX335" t="inlineStr">
        <is>
          <t>991004839879702656</t>
        </is>
      </c>
      <c r="AY335" t="inlineStr">
        <is>
          <t>2272618120002656</t>
        </is>
      </c>
      <c r="AZ335" t="inlineStr">
        <is>
          <t>BOOK</t>
        </is>
      </c>
      <c r="BB335" t="inlineStr">
        <is>
          <t>9781557534170</t>
        </is>
      </c>
      <c r="BC335" t="inlineStr">
        <is>
          <t>32285005194526</t>
        </is>
      </c>
      <c r="BD335" t="inlineStr">
        <is>
          <t>893807527</t>
        </is>
      </c>
    </row>
    <row r="336">
      <c r="A336" t="inlineStr">
        <is>
          <t>No</t>
        </is>
      </c>
      <c r="B336" t="inlineStr">
        <is>
          <t>QL463 .W4</t>
        </is>
      </c>
      <c r="C336" t="inlineStr">
        <is>
          <t>0                      QL 0463000W  4</t>
        </is>
      </c>
      <c r="D336" t="inlineStr">
        <is>
          <t>How insects live; an elementary entomology, by Walter Housley Wellhouse ...</t>
        </is>
      </c>
      <c r="F336" t="inlineStr">
        <is>
          <t>No</t>
        </is>
      </c>
      <c r="G336" t="inlineStr">
        <is>
          <t>1</t>
        </is>
      </c>
      <c r="H336" t="inlineStr">
        <is>
          <t>No</t>
        </is>
      </c>
      <c r="I336" t="inlineStr">
        <is>
          <t>No</t>
        </is>
      </c>
      <c r="J336" t="inlineStr">
        <is>
          <t>0</t>
        </is>
      </c>
      <c r="K336" t="inlineStr">
        <is>
          <t>Wellhouse, Walter Housley, 1890-</t>
        </is>
      </c>
      <c r="L336" t="inlineStr">
        <is>
          <t>New York, The Macmillan company 1926.</t>
        </is>
      </c>
      <c r="M336" t="inlineStr">
        <is>
          <t>1926</t>
        </is>
      </c>
      <c r="O336" t="inlineStr">
        <is>
          <t>eng</t>
        </is>
      </c>
      <c r="P336" t="inlineStr">
        <is>
          <t xml:space="preserve">xx </t>
        </is>
      </c>
      <c r="R336" t="inlineStr">
        <is>
          <t xml:space="preserve">QL </t>
        </is>
      </c>
      <c r="S336" t="n">
        <v>3</v>
      </c>
      <c r="T336" t="n">
        <v>3</v>
      </c>
      <c r="U336" t="inlineStr">
        <is>
          <t>2005-02-27</t>
        </is>
      </c>
      <c r="V336" t="inlineStr">
        <is>
          <t>2005-02-27</t>
        </is>
      </c>
      <c r="W336" t="inlineStr">
        <is>
          <t>1997-07-24</t>
        </is>
      </c>
      <c r="X336" t="inlineStr">
        <is>
          <t>1997-07-24</t>
        </is>
      </c>
      <c r="Y336" t="n">
        <v>154</v>
      </c>
      <c r="Z336" t="n">
        <v>142</v>
      </c>
      <c r="AA336" t="n">
        <v>159</v>
      </c>
      <c r="AB336" t="n">
        <v>2</v>
      </c>
      <c r="AC336" t="n">
        <v>2</v>
      </c>
      <c r="AD336" t="n">
        <v>3</v>
      </c>
      <c r="AE336" t="n">
        <v>3</v>
      </c>
      <c r="AF336" t="n">
        <v>0</v>
      </c>
      <c r="AG336" t="n">
        <v>0</v>
      </c>
      <c r="AH336" t="n">
        <v>2</v>
      </c>
      <c r="AI336" t="n">
        <v>2</v>
      </c>
      <c r="AJ336" t="n">
        <v>1</v>
      </c>
      <c r="AK336" t="n">
        <v>1</v>
      </c>
      <c r="AL336" t="n">
        <v>1</v>
      </c>
      <c r="AM336" t="n">
        <v>1</v>
      </c>
      <c r="AN336" t="n">
        <v>0</v>
      </c>
      <c r="AO336" t="n">
        <v>0</v>
      </c>
      <c r="AP336" t="inlineStr">
        <is>
          <t>Yes</t>
        </is>
      </c>
      <c r="AQ336" t="inlineStr">
        <is>
          <t>Yes</t>
        </is>
      </c>
      <c r="AR336">
        <f>HYPERLINK("http://catalog.hathitrust.org/Record/006910583","HathiTrust Record")</f>
        <v/>
      </c>
      <c r="AS336">
        <f>HYPERLINK("https://creighton-primo.hosted.exlibrisgroup.com/primo-explore/search?tab=default_tab&amp;search_scope=EVERYTHING&amp;vid=01CRU&amp;lang=en_US&amp;offset=0&amp;query=any,contains,991003821389702656","Catalog Record")</f>
        <v/>
      </c>
      <c r="AT336">
        <f>HYPERLINK("http://www.worldcat.org/oclc/1559495","WorldCat Record")</f>
        <v/>
      </c>
      <c r="AU336" t="inlineStr">
        <is>
          <t>909682358:eng</t>
        </is>
      </c>
      <c r="AV336" t="inlineStr">
        <is>
          <t>1559495</t>
        </is>
      </c>
      <c r="AW336" t="inlineStr">
        <is>
          <t>991003821389702656</t>
        </is>
      </c>
      <c r="AX336" t="inlineStr">
        <is>
          <t>991003821389702656</t>
        </is>
      </c>
      <c r="AY336" t="inlineStr">
        <is>
          <t>2267045920002656</t>
        </is>
      </c>
      <c r="AZ336" t="inlineStr">
        <is>
          <t>BOOK</t>
        </is>
      </c>
      <c r="BC336" t="inlineStr">
        <is>
          <t>32285002980638</t>
        </is>
      </c>
      <c r="BD336" t="inlineStr">
        <is>
          <t>893349189</t>
        </is>
      </c>
    </row>
    <row r="337">
      <c r="A337" t="inlineStr">
        <is>
          <t>No</t>
        </is>
      </c>
      <c r="B337" t="inlineStr">
        <is>
          <t>QL463 .W7 1964a</t>
        </is>
      </c>
      <c r="C337" t="inlineStr">
        <is>
          <t>0                      QL 0463000W  7           1964a</t>
        </is>
      </c>
      <c r="D337" t="inlineStr">
        <is>
          <t>The life of insects / [by] V. B. Wigglesworth.</t>
        </is>
      </c>
      <c r="F337" t="inlineStr">
        <is>
          <t>No</t>
        </is>
      </c>
      <c r="G337" t="inlineStr">
        <is>
          <t>1</t>
        </is>
      </c>
      <c r="H337" t="inlineStr">
        <is>
          <t>No</t>
        </is>
      </c>
      <c r="I337" t="inlineStr">
        <is>
          <t>No</t>
        </is>
      </c>
      <c r="J337" t="inlineStr">
        <is>
          <t>0</t>
        </is>
      </c>
      <c r="K337" t="inlineStr">
        <is>
          <t>Wigglesworth, Vincent B. (Vincent Brian), Sir, 1899-1994.</t>
        </is>
      </c>
      <c r="L337" t="inlineStr">
        <is>
          <t>London : Weidenfeld and Nicolson, [1964]</t>
        </is>
      </c>
      <c r="M337" t="inlineStr">
        <is>
          <t>1964</t>
        </is>
      </c>
      <c r="O337" t="inlineStr">
        <is>
          <t>eng</t>
        </is>
      </c>
      <c r="P337" t="inlineStr">
        <is>
          <t xml:space="preserve">xx </t>
        </is>
      </c>
      <c r="Q337" t="inlineStr">
        <is>
          <t>The Weidenfeld and Nicolson natural history</t>
        </is>
      </c>
      <c r="R337" t="inlineStr">
        <is>
          <t xml:space="preserve">QL </t>
        </is>
      </c>
      <c r="S337" t="n">
        <v>7</v>
      </c>
      <c r="T337" t="n">
        <v>7</v>
      </c>
      <c r="U337" t="inlineStr">
        <is>
          <t>2009-02-27</t>
        </is>
      </c>
      <c r="V337" t="inlineStr">
        <is>
          <t>2009-02-27</t>
        </is>
      </c>
      <c r="W337" t="inlineStr">
        <is>
          <t>1991-01-11</t>
        </is>
      </c>
      <c r="X337" t="inlineStr">
        <is>
          <t>1991-01-11</t>
        </is>
      </c>
      <c r="Y337" t="n">
        <v>239</v>
      </c>
      <c r="Z337" t="n">
        <v>106</v>
      </c>
      <c r="AA337" t="n">
        <v>705</v>
      </c>
      <c r="AB337" t="n">
        <v>2</v>
      </c>
      <c r="AC337" t="n">
        <v>6</v>
      </c>
      <c r="AD337" t="n">
        <v>4</v>
      </c>
      <c r="AE337" t="n">
        <v>22</v>
      </c>
      <c r="AF337" t="n">
        <v>2</v>
      </c>
      <c r="AG337" t="n">
        <v>9</v>
      </c>
      <c r="AH337" t="n">
        <v>1</v>
      </c>
      <c r="AI337" t="n">
        <v>5</v>
      </c>
      <c r="AJ337" t="n">
        <v>1</v>
      </c>
      <c r="AK337" t="n">
        <v>9</v>
      </c>
      <c r="AL337" t="n">
        <v>1</v>
      </c>
      <c r="AM337" t="n">
        <v>5</v>
      </c>
      <c r="AN337" t="n">
        <v>0</v>
      </c>
      <c r="AO337" t="n">
        <v>0</v>
      </c>
      <c r="AP337" t="inlineStr">
        <is>
          <t>No</t>
        </is>
      </c>
      <c r="AQ337" t="inlineStr">
        <is>
          <t>Yes</t>
        </is>
      </c>
      <c r="AR337">
        <f>HYPERLINK("http://catalog.hathitrust.org/Record/010158057","HathiTrust Record")</f>
        <v/>
      </c>
      <c r="AS337">
        <f>HYPERLINK("https://creighton-primo.hosted.exlibrisgroup.com/primo-explore/search?tab=default_tab&amp;search_scope=EVERYTHING&amp;vid=01CRU&amp;lang=en_US&amp;offset=0&amp;query=any,contains,991003285379702656","Catalog Record")</f>
        <v/>
      </c>
      <c r="AT337">
        <f>HYPERLINK("http://www.worldcat.org/oclc/807276","WorldCat Record")</f>
        <v/>
      </c>
      <c r="AU337" t="inlineStr">
        <is>
          <t>4820878603:eng</t>
        </is>
      </c>
      <c r="AV337" t="inlineStr">
        <is>
          <t>807276</t>
        </is>
      </c>
      <c r="AW337" t="inlineStr">
        <is>
          <t>991003285379702656</t>
        </is>
      </c>
      <c r="AX337" t="inlineStr">
        <is>
          <t>991003285379702656</t>
        </is>
      </c>
      <c r="AY337" t="inlineStr">
        <is>
          <t>2268703690002656</t>
        </is>
      </c>
      <c r="AZ337" t="inlineStr">
        <is>
          <t>BOOK</t>
        </is>
      </c>
      <c r="BC337" t="inlineStr">
        <is>
          <t>32285000427988</t>
        </is>
      </c>
      <c r="BD337" t="inlineStr">
        <is>
          <t>893410127</t>
        </is>
      </c>
    </row>
    <row r="338">
      <c r="A338" t="inlineStr">
        <is>
          <t>No</t>
        </is>
      </c>
      <c r="B338" t="inlineStr">
        <is>
          <t>QL463 .W876 1984</t>
        </is>
      </c>
      <c r="C338" t="inlineStr">
        <is>
          <t>0                      QL 0463000W  876         1984</t>
        </is>
      </c>
      <c r="D338" t="inlineStr">
        <is>
          <t>Insects of the world / Anthony Wootton.</t>
        </is>
      </c>
      <c r="F338" t="inlineStr">
        <is>
          <t>No</t>
        </is>
      </c>
      <c r="G338" t="inlineStr">
        <is>
          <t>1</t>
        </is>
      </c>
      <c r="H338" t="inlineStr">
        <is>
          <t>No</t>
        </is>
      </c>
      <c r="I338" t="inlineStr">
        <is>
          <t>No</t>
        </is>
      </c>
      <c r="J338" t="inlineStr">
        <is>
          <t>0</t>
        </is>
      </c>
      <c r="K338" t="inlineStr">
        <is>
          <t>Wootton, Anthony.</t>
        </is>
      </c>
      <c r="L338" t="inlineStr">
        <is>
          <t>New York, N.Y. : Facts on File, c1984.</t>
        </is>
      </c>
      <c r="M338" t="inlineStr">
        <is>
          <t>1984</t>
        </is>
      </c>
      <c r="O338" t="inlineStr">
        <is>
          <t>eng</t>
        </is>
      </c>
      <c r="P338" t="inlineStr">
        <is>
          <t>nyu</t>
        </is>
      </c>
      <c r="R338" t="inlineStr">
        <is>
          <t xml:space="preserve">QL </t>
        </is>
      </c>
      <c r="S338" t="n">
        <v>10</v>
      </c>
      <c r="T338" t="n">
        <v>10</v>
      </c>
      <c r="U338" t="inlineStr">
        <is>
          <t>2007-02-22</t>
        </is>
      </c>
      <c r="V338" t="inlineStr">
        <is>
          <t>2007-02-22</t>
        </is>
      </c>
      <c r="W338" t="inlineStr">
        <is>
          <t>1993-12-10</t>
        </is>
      </c>
      <c r="X338" t="inlineStr">
        <is>
          <t>1993-12-10</t>
        </is>
      </c>
      <c r="Y338" t="n">
        <v>1013</v>
      </c>
      <c r="Z338" t="n">
        <v>970</v>
      </c>
      <c r="AA338" t="n">
        <v>1229</v>
      </c>
      <c r="AB338" t="n">
        <v>6</v>
      </c>
      <c r="AC338" t="n">
        <v>10</v>
      </c>
      <c r="AD338" t="n">
        <v>9</v>
      </c>
      <c r="AE338" t="n">
        <v>9</v>
      </c>
      <c r="AF338" t="n">
        <v>1</v>
      </c>
      <c r="AG338" t="n">
        <v>1</v>
      </c>
      <c r="AH338" t="n">
        <v>3</v>
      </c>
      <c r="AI338" t="n">
        <v>3</v>
      </c>
      <c r="AJ338" t="n">
        <v>6</v>
      </c>
      <c r="AK338" t="n">
        <v>6</v>
      </c>
      <c r="AL338" t="n">
        <v>2</v>
      </c>
      <c r="AM338" t="n">
        <v>2</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HYPERLINK("https://creighton-primo.hosted.exlibrisgroup.com/primo-explore/search?tab=default_tab&amp;search_scope=EVERYTHING&amp;vid=01CRU&amp;lang=en_US&amp;offset=0&amp;query=any,contains,991000342789702656","Catalog Record")</f>
        <v/>
      </c>
      <c r="AT338">
        <f>HYPERLINK("http://www.worldcat.org/oclc/10275382","WorldCat Record")</f>
        <v/>
      </c>
      <c r="AU338" t="inlineStr">
        <is>
          <t>3943302014:eng</t>
        </is>
      </c>
      <c r="AV338" t="inlineStr">
        <is>
          <t>10275382</t>
        </is>
      </c>
      <c r="AW338" t="inlineStr">
        <is>
          <t>991000342789702656</t>
        </is>
      </c>
      <c r="AX338" t="inlineStr">
        <is>
          <t>991000342789702656</t>
        </is>
      </c>
      <c r="AY338" t="inlineStr">
        <is>
          <t>2268953320002656</t>
        </is>
      </c>
      <c r="AZ338" t="inlineStr">
        <is>
          <t>BOOK</t>
        </is>
      </c>
      <c r="BB338" t="inlineStr">
        <is>
          <t>9780871969910</t>
        </is>
      </c>
      <c r="BC338" t="inlineStr">
        <is>
          <t>32285001816106</t>
        </is>
      </c>
      <c r="BD338" t="inlineStr">
        <is>
          <t>893884297</t>
        </is>
      </c>
    </row>
    <row r="339">
      <c r="A339" t="inlineStr">
        <is>
          <t>No</t>
        </is>
      </c>
      <c r="B339" t="inlineStr">
        <is>
          <t>QL464 .A76 1985</t>
        </is>
      </c>
      <c r="C339" t="inlineStr">
        <is>
          <t>0                      QL 0464000A  76          1985</t>
        </is>
      </c>
      <c r="D339" t="inlineStr">
        <is>
          <t>Insect life : a field entomology manual for the amateur naturalist / Ross H. Arnett, Jr., Richard L. Jacques, Jr. ; illustrated by Adelaide Murphy.</t>
        </is>
      </c>
      <c r="F339" t="inlineStr">
        <is>
          <t>No</t>
        </is>
      </c>
      <c r="G339" t="inlineStr">
        <is>
          <t>1</t>
        </is>
      </c>
      <c r="H339" t="inlineStr">
        <is>
          <t>No</t>
        </is>
      </c>
      <c r="I339" t="inlineStr">
        <is>
          <t>No</t>
        </is>
      </c>
      <c r="J339" t="inlineStr">
        <is>
          <t>0</t>
        </is>
      </c>
      <c r="K339" t="inlineStr">
        <is>
          <t>Arnett, Ross H.</t>
        </is>
      </c>
      <c r="L339" t="inlineStr">
        <is>
          <t>Englewood Cliffs, N.J. : Prentice-Hall, c1985.</t>
        </is>
      </c>
      <c r="M339" t="inlineStr">
        <is>
          <t>1985</t>
        </is>
      </c>
      <c r="O339" t="inlineStr">
        <is>
          <t>eng</t>
        </is>
      </c>
      <c r="P339" t="inlineStr">
        <is>
          <t>nju</t>
        </is>
      </c>
      <c r="R339" t="inlineStr">
        <is>
          <t xml:space="preserve">QL </t>
        </is>
      </c>
      <c r="S339" t="n">
        <v>12</v>
      </c>
      <c r="T339" t="n">
        <v>12</v>
      </c>
      <c r="U339" t="inlineStr">
        <is>
          <t>2009-02-21</t>
        </is>
      </c>
      <c r="V339" t="inlineStr">
        <is>
          <t>2009-02-21</t>
        </is>
      </c>
      <c r="W339" t="inlineStr">
        <is>
          <t>1993-05-20</t>
        </is>
      </c>
      <c r="X339" t="inlineStr">
        <is>
          <t>1993-05-20</t>
        </is>
      </c>
      <c r="Y339" t="n">
        <v>217</v>
      </c>
      <c r="Z339" t="n">
        <v>199</v>
      </c>
      <c r="AA339" t="n">
        <v>201</v>
      </c>
      <c r="AB339" t="n">
        <v>2</v>
      </c>
      <c r="AC339" t="n">
        <v>2</v>
      </c>
      <c r="AD339" t="n">
        <v>1</v>
      </c>
      <c r="AE339" t="n">
        <v>1</v>
      </c>
      <c r="AF339" t="n">
        <v>0</v>
      </c>
      <c r="AG339" t="n">
        <v>0</v>
      </c>
      <c r="AH339" t="n">
        <v>0</v>
      </c>
      <c r="AI339" t="n">
        <v>0</v>
      </c>
      <c r="AJ339" t="n">
        <v>0</v>
      </c>
      <c r="AK339" t="n">
        <v>0</v>
      </c>
      <c r="AL339" t="n">
        <v>1</v>
      </c>
      <c r="AM339" t="n">
        <v>1</v>
      </c>
      <c r="AN339" t="n">
        <v>0</v>
      </c>
      <c r="AO339" t="n">
        <v>0</v>
      </c>
      <c r="AP339" t="inlineStr">
        <is>
          <t>No</t>
        </is>
      </c>
      <c r="AQ339" t="inlineStr">
        <is>
          <t>Yes</t>
        </is>
      </c>
      <c r="AR339">
        <f>HYPERLINK("http://catalog.hathitrust.org/Record/009677089","HathiTrust Record")</f>
        <v/>
      </c>
      <c r="AS339">
        <f>HYPERLINK("https://creighton-primo.hosted.exlibrisgroup.com/primo-explore/search?tab=default_tab&amp;search_scope=EVERYTHING&amp;vid=01CRU&amp;lang=en_US&amp;offset=0&amp;query=any,contains,991000570719702656","Catalog Record")</f>
        <v/>
      </c>
      <c r="AT339">
        <f>HYPERLINK("http://www.worldcat.org/oclc/11649584","WorldCat Record")</f>
        <v/>
      </c>
      <c r="AU339" t="inlineStr">
        <is>
          <t>4756145:eng</t>
        </is>
      </c>
      <c r="AV339" t="inlineStr">
        <is>
          <t>11649584</t>
        </is>
      </c>
      <c r="AW339" t="inlineStr">
        <is>
          <t>991000570719702656</t>
        </is>
      </c>
      <c r="AX339" t="inlineStr">
        <is>
          <t>991000570719702656</t>
        </is>
      </c>
      <c r="AY339" t="inlineStr">
        <is>
          <t>2261458430002656</t>
        </is>
      </c>
      <c r="AZ339" t="inlineStr">
        <is>
          <t>BOOK</t>
        </is>
      </c>
      <c r="BB339" t="inlineStr">
        <is>
          <t>9780134672427</t>
        </is>
      </c>
      <c r="BC339" t="inlineStr">
        <is>
          <t>32285001690469</t>
        </is>
      </c>
      <c r="BD339" t="inlineStr">
        <is>
          <t>893261521</t>
        </is>
      </c>
    </row>
    <row r="340">
      <c r="A340" t="inlineStr">
        <is>
          <t>No</t>
        </is>
      </c>
      <c r="B340" t="inlineStr">
        <is>
          <t>QL464 .C8</t>
        </is>
      </c>
      <c r="C340" t="inlineStr">
        <is>
          <t>0                      QL 0464000C  8</t>
        </is>
      </c>
      <c r="D340" t="inlineStr">
        <is>
          <t>Experimental entomology.</t>
        </is>
      </c>
      <c r="F340" t="inlineStr">
        <is>
          <t>No</t>
        </is>
      </c>
      <c r="G340" t="inlineStr">
        <is>
          <t>1</t>
        </is>
      </c>
      <c r="H340" t="inlineStr">
        <is>
          <t>No</t>
        </is>
      </c>
      <c r="I340" t="inlineStr">
        <is>
          <t>No</t>
        </is>
      </c>
      <c r="J340" t="inlineStr">
        <is>
          <t>0</t>
        </is>
      </c>
      <c r="K340" t="inlineStr">
        <is>
          <t>Cummins, Kenneth W.</t>
        </is>
      </c>
      <c r="L340" t="inlineStr">
        <is>
          <t>New York : Reinhold Pub. Corp., [1964, c1965]</t>
        </is>
      </c>
      <c r="M340" t="inlineStr">
        <is>
          <t>1964</t>
        </is>
      </c>
      <c r="O340" t="inlineStr">
        <is>
          <t>eng</t>
        </is>
      </c>
      <c r="P340" t="inlineStr">
        <is>
          <t>nyu</t>
        </is>
      </c>
      <c r="Q340" t="inlineStr">
        <is>
          <t>Reinhold books in the biological sciences</t>
        </is>
      </c>
      <c r="R340" t="inlineStr">
        <is>
          <t xml:space="preserve">QL </t>
        </is>
      </c>
      <c r="S340" t="n">
        <v>9</v>
      </c>
      <c r="T340" t="n">
        <v>9</v>
      </c>
      <c r="U340" t="inlineStr">
        <is>
          <t>1998-01-14</t>
        </is>
      </c>
      <c r="V340" t="inlineStr">
        <is>
          <t>1998-01-14</t>
        </is>
      </c>
      <c r="W340" t="inlineStr">
        <is>
          <t>1992-04-09</t>
        </is>
      </c>
      <c r="X340" t="inlineStr">
        <is>
          <t>1992-04-09</t>
        </is>
      </c>
      <c r="Y340" t="n">
        <v>414</v>
      </c>
      <c r="Z340" t="n">
        <v>342</v>
      </c>
      <c r="AA340" t="n">
        <v>363</v>
      </c>
      <c r="AB340" t="n">
        <v>3</v>
      </c>
      <c r="AC340" t="n">
        <v>3</v>
      </c>
      <c r="AD340" t="n">
        <v>12</v>
      </c>
      <c r="AE340" t="n">
        <v>12</v>
      </c>
      <c r="AF340" t="n">
        <v>4</v>
      </c>
      <c r="AG340" t="n">
        <v>4</v>
      </c>
      <c r="AH340" t="n">
        <v>2</v>
      </c>
      <c r="AI340" t="n">
        <v>2</v>
      </c>
      <c r="AJ340" t="n">
        <v>7</v>
      </c>
      <c r="AK340" t="n">
        <v>7</v>
      </c>
      <c r="AL340" t="n">
        <v>2</v>
      </c>
      <c r="AM340" t="n">
        <v>2</v>
      </c>
      <c r="AN340" t="n">
        <v>0</v>
      </c>
      <c r="AO340" t="n">
        <v>0</v>
      </c>
      <c r="AP340" t="inlineStr">
        <is>
          <t>No</t>
        </is>
      </c>
      <c r="AQ340" t="inlineStr">
        <is>
          <t>Yes</t>
        </is>
      </c>
      <c r="AR340">
        <f>HYPERLINK("http://catalog.hathitrust.org/Record/001499995","HathiTrust Record")</f>
        <v/>
      </c>
      <c r="AS340">
        <f>HYPERLINK("https://creighton-primo.hosted.exlibrisgroup.com/primo-explore/search?tab=default_tab&amp;search_scope=EVERYTHING&amp;vid=01CRU&amp;lang=en_US&amp;offset=0&amp;query=any,contains,991002987289702656","Catalog Record")</f>
        <v/>
      </c>
      <c r="AT340">
        <f>HYPERLINK("http://www.worldcat.org/oclc/558284","WorldCat Record")</f>
        <v/>
      </c>
      <c r="AU340" t="inlineStr">
        <is>
          <t>1625348:eng</t>
        </is>
      </c>
      <c r="AV340" t="inlineStr">
        <is>
          <t>558284</t>
        </is>
      </c>
      <c r="AW340" t="inlineStr">
        <is>
          <t>991002987289702656</t>
        </is>
      </c>
      <c r="AX340" t="inlineStr">
        <is>
          <t>991002987289702656</t>
        </is>
      </c>
      <c r="AY340" t="inlineStr">
        <is>
          <t>2258281180002656</t>
        </is>
      </c>
      <c r="AZ340" t="inlineStr">
        <is>
          <t>BOOK</t>
        </is>
      </c>
      <c r="BC340" t="inlineStr">
        <is>
          <t>32285001056893</t>
        </is>
      </c>
      <c r="BD340" t="inlineStr">
        <is>
          <t>893434529</t>
        </is>
      </c>
    </row>
    <row r="341">
      <c r="A341" t="inlineStr">
        <is>
          <t>No</t>
        </is>
      </c>
      <c r="B341" t="inlineStr">
        <is>
          <t>QL464 .K29</t>
        </is>
      </c>
      <c r="C341" t="inlineStr">
        <is>
          <t>0                      QL 0464000K  29</t>
        </is>
      </c>
      <c r="D341" t="inlineStr">
        <is>
          <t>101 simple experiments with insects.</t>
        </is>
      </c>
      <c r="F341" t="inlineStr">
        <is>
          <t>No</t>
        </is>
      </c>
      <c r="G341" t="inlineStr">
        <is>
          <t>1</t>
        </is>
      </c>
      <c r="H341" t="inlineStr">
        <is>
          <t>No</t>
        </is>
      </c>
      <c r="I341" t="inlineStr">
        <is>
          <t>No</t>
        </is>
      </c>
      <c r="J341" t="inlineStr">
        <is>
          <t>0</t>
        </is>
      </c>
      <c r="K341" t="inlineStr">
        <is>
          <t>Kalmus, H. (Hans), 1906-1988.</t>
        </is>
      </c>
      <c r="L341" t="inlineStr">
        <is>
          <t>Garden City, N.Y., Doubleday, 1960.</t>
        </is>
      </c>
      <c r="M341" t="inlineStr">
        <is>
          <t>1960</t>
        </is>
      </c>
      <c r="N341" t="inlineStr">
        <is>
          <t>[1st ed.]</t>
        </is>
      </c>
      <c r="O341" t="inlineStr">
        <is>
          <t>eng</t>
        </is>
      </c>
      <c r="P341" t="inlineStr">
        <is>
          <t>nyu</t>
        </is>
      </c>
      <c r="R341" t="inlineStr">
        <is>
          <t xml:space="preserve">QL </t>
        </is>
      </c>
      <c r="S341" t="n">
        <v>4</v>
      </c>
      <c r="T341" t="n">
        <v>4</v>
      </c>
      <c r="U341" t="inlineStr">
        <is>
          <t>1999-03-24</t>
        </is>
      </c>
      <c r="V341" t="inlineStr">
        <is>
          <t>1999-03-24</t>
        </is>
      </c>
      <c r="W341" t="inlineStr">
        <is>
          <t>1997-07-24</t>
        </is>
      </c>
      <c r="X341" t="inlineStr">
        <is>
          <t>1997-07-24</t>
        </is>
      </c>
      <c r="Y341" t="n">
        <v>448</v>
      </c>
      <c r="Z341" t="n">
        <v>430</v>
      </c>
      <c r="AA341" t="n">
        <v>496</v>
      </c>
      <c r="AB341" t="n">
        <v>5</v>
      </c>
      <c r="AC341" t="n">
        <v>6</v>
      </c>
      <c r="AD341" t="n">
        <v>11</v>
      </c>
      <c r="AE341" t="n">
        <v>13</v>
      </c>
      <c r="AF341" t="n">
        <v>4</v>
      </c>
      <c r="AG341" t="n">
        <v>5</v>
      </c>
      <c r="AH341" t="n">
        <v>1</v>
      </c>
      <c r="AI341" t="n">
        <v>1</v>
      </c>
      <c r="AJ341" t="n">
        <v>5</v>
      </c>
      <c r="AK341" t="n">
        <v>5</v>
      </c>
      <c r="AL341" t="n">
        <v>3</v>
      </c>
      <c r="AM341" t="n">
        <v>4</v>
      </c>
      <c r="AN341" t="n">
        <v>0</v>
      </c>
      <c r="AO341" t="n">
        <v>0</v>
      </c>
      <c r="AP341" t="inlineStr">
        <is>
          <t>No</t>
        </is>
      </c>
      <c r="AQ341" t="inlineStr">
        <is>
          <t>No</t>
        </is>
      </c>
      <c r="AR341">
        <f>HYPERLINK("http://catalog.hathitrust.org/Record/004413827","HathiTrust Record")</f>
        <v/>
      </c>
      <c r="AS341">
        <f>HYPERLINK("https://creighton-primo.hosted.exlibrisgroup.com/primo-explore/search?tab=default_tab&amp;search_scope=EVERYTHING&amp;vid=01CRU&amp;lang=en_US&amp;offset=0&amp;query=any,contains,991003259049702656","Catalog Record")</f>
        <v/>
      </c>
      <c r="AT341">
        <f>HYPERLINK("http://www.worldcat.org/oclc/784697","WorldCat Record")</f>
        <v/>
      </c>
      <c r="AU341" t="inlineStr">
        <is>
          <t>422885459:eng</t>
        </is>
      </c>
      <c r="AV341" t="inlineStr">
        <is>
          <t>784697</t>
        </is>
      </c>
      <c r="AW341" t="inlineStr">
        <is>
          <t>991003259049702656</t>
        </is>
      </c>
      <c r="AX341" t="inlineStr">
        <is>
          <t>991003259049702656</t>
        </is>
      </c>
      <c r="AY341" t="inlineStr">
        <is>
          <t>2261962630002656</t>
        </is>
      </c>
      <c r="AZ341" t="inlineStr">
        <is>
          <t>BOOK</t>
        </is>
      </c>
      <c r="BC341" t="inlineStr">
        <is>
          <t>32285002980653</t>
        </is>
      </c>
      <c r="BD341" t="inlineStr">
        <is>
          <t>893721861</t>
        </is>
      </c>
    </row>
    <row r="342">
      <c r="A342" t="inlineStr">
        <is>
          <t>No</t>
        </is>
      </c>
      <c r="B342" t="inlineStr">
        <is>
          <t>QL464 .L8 1948</t>
        </is>
      </c>
      <c r="C342" t="inlineStr">
        <is>
          <t>0                      QL 0464000L  8           1948</t>
        </is>
      </c>
      <c r="D342" t="inlineStr">
        <is>
          <t>Field book of insects of the United States and Canada, aiming to answer common questions / by Frank E. Lutz.</t>
        </is>
      </c>
      <c r="F342" t="inlineStr">
        <is>
          <t>No</t>
        </is>
      </c>
      <c r="G342" t="inlineStr">
        <is>
          <t>1</t>
        </is>
      </c>
      <c r="H342" t="inlineStr">
        <is>
          <t>No</t>
        </is>
      </c>
      <c r="I342" t="inlineStr">
        <is>
          <t>No</t>
        </is>
      </c>
      <c r="J342" t="inlineStr">
        <is>
          <t>0</t>
        </is>
      </c>
      <c r="K342" t="inlineStr">
        <is>
          <t>Lutz, Frank Eugene, 1879-1943.</t>
        </is>
      </c>
      <c r="L342" t="inlineStr">
        <is>
          <t>New York : Putnam, 1948.</t>
        </is>
      </c>
      <c r="M342" t="inlineStr">
        <is>
          <t>1948</t>
        </is>
      </c>
      <c r="N342" t="inlineStr">
        <is>
          <t>3rd ed., rev.</t>
        </is>
      </c>
      <c r="O342" t="inlineStr">
        <is>
          <t>eng</t>
        </is>
      </c>
      <c r="P342" t="inlineStr">
        <is>
          <t>nyu</t>
        </is>
      </c>
      <c r="R342" t="inlineStr">
        <is>
          <t xml:space="preserve">QL </t>
        </is>
      </c>
      <c r="S342" t="n">
        <v>1</v>
      </c>
      <c r="T342" t="n">
        <v>1</v>
      </c>
      <c r="U342" t="inlineStr">
        <is>
          <t>2008-02-25</t>
        </is>
      </c>
      <c r="V342" t="inlineStr">
        <is>
          <t>2008-02-25</t>
        </is>
      </c>
      <c r="W342" t="inlineStr">
        <is>
          <t>1997-07-24</t>
        </is>
      </c>
      <c r="X342" t="inlineStr">
        <is>
          <t>1997-07-24</t>
        </is>
      </c>
      <c r="Y342" t="n">
        <v>152</v>
      </c>
      <c r="Z342" t="n">
        <v>148</v>
      </c>
      <c r="AA342" t="n">
        <v>1135</v>
      </c>
      <c r="AB342" t="n">
        <v>2</v>
      </c>
      <c r="AC342" t="n">
        <v>9</v>
      </c>
      <c r="AD342" t="n">
        <v>4</v>
      </c>
      <c r="AE342" t="n">
        <v>25</v>
      </c>
      <c r="AF342" t="n">
        <v>2</v>
      </c>
      <c r="AG342" t="n">
        <v>11</v>
      </c>
      <c r="AH342" t="n">
        <v>0</v>
      </c>
      <c r="AI342" t="n">
        <v>4</v>
      </c>
      <c r="AJ342" t="n">
        <v>1</v>
      </c>
      <c r="AK342" t="n">
        <v>11</v>
      </c>
      <c r="AL342" t="n">
        <v>1</v>
      </c>
      <c r="AM342" t="n">
        <v>4</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HYPERLINK("https://creighton-primo.hosted.exlibrisgroup.com/primo-explore/search?tab=default_tab&amp;search_scope=EVERYTHING&amp;vid=01CRU&amp;lang=en_US&amp;offset=0&amp;query=any,contains,991001128519702656","Catalog Record")</f>
        <v/>
      </c>
      <c r="AT342">
        <f>HYPERLINK("http://www.worldcat.org/oclc/16672681","WorldCat Record")</f>
        <v/>
      </c>
      <c r="AU342" t="inlineStr">
        <is>
          <t>472662:eng</t>
        </is>
      </c>
      <c r="AV342" t="inlineStr">
        <is>
          <t>16672681</t>
        </is>
      </c>
      <c r="AW342" t="inlineStr">
        <is>
          <t>991001128519702656</t>
        </is>
      </c>
      <c r="AX342" t="inlineStr">
        <is>
          <t>991001128519702656</t>
        </is>
      </c>
      <c r="AY342" t="inlineStr">
        <is>
          <t>2271171340002656</t>
        </is>
      </c>
      <c r="AZ342" t="inlineStr">
        <is>
          <t>BOOK</t>
        </is>
      </c>
      <c r="BC342" t="inlineStr">
        <is>
          <t>32285002980661</t>
        </is>
      </c>
      <c r="BD342" t="inlineStr">
        <is>
          <t>893891333</t>
        </is>
      </c>
    </row>
    <row r="343">
      <c r="A343" t="inlineStr">
        <is>
          <t>No</t>
        </is>
      </c>
      <c r="B343" t="inlineStr">
        <is>
          <t>QL466 .E5</t>
        </is>
      </c>
      <c r="C343" t="inlineStr">
        <is>
          <t>0                      QL 0466000E  5</t>
        </is>
      </c>
      <c r="D343" t="inlineStr">
        <is>
          <t>Butterflies, their world, their life cycle, their behavior / text, Thomas C. Emmel ; consulting editor, Edward S. Ross ; photos. by Edward S. Ross ... [et al.] ; drawings by Walter Hortens.</t>
        </is>
      </c>
      <c r="F343" t="inlineStr">
        <is>
          <t>No</t>
        </is>
      </c>
      <c r="G343" t="inlineStr">
        <is>
          <t>1</t>
        </is>
      </c>
      <c r="H343" t="inlineStr">
        <is>
          <t>No</t>
        </is>
      </c>
      <c r="I343" t="inlineStr">
        <is>
          <t>No</t>
        </is>
      </c>
      <c r="J343" t="inlineStr">
        <is>
          <t>0</t>
        </is>
      </c>
      <c r="K343" t="inlineStr">
        <is>
          <t>Emmel, Thomas C.</t>
        </is>
      </c>
      <c r="L343" t="inlineStr">
        <is>
          <t>New York : Knopf, 1975.</t>
        </is>
      </c>
      <c r="M343" t="inlineStr">
        <is>
          <t>1975</t>
        </is>
      </c>
      <c r="N343" t="inlineStr">
        <is>
          <t>1st ed.</t>
        </is>
      </c>
      <c r="O343" t="inlineStr">
        <is>
          <t>eng</t>
        </is>
      </c>
      <c r="P343" t="inlineStr">
        <is>
          <t>nyu</t>
        </is>
      </c>
      <c r="R343" t="inlineStr">
        <is>
          <t xml:space="preserve">QL </t>
        </is>
      </c>
      <c r="S343" t="n">
        <v>7</v>
      </c>
      <c r="T343" t="n">
        <v>7</v>
      </c>
      <c r="U343" t="inlineStr">
        <is>
          <t>2009-02-28</t>
        </is>
      </c>
      <c r="V343" t="inlineStr">
        <is>
          <t>2009-02-28</t>
        </is>
      </c>
      <c r="W343" t="inlineStr">
        <is>
          <t>1991-10-07</t>
        </is>
      </c>
      <c r="X343" t="inlineStr">
        <is>
          <t>1991-10-07</t>
        </is>
      </c>
      <c r="Y343" t="n">
        <v>670</v>
      </c>
      <c r="Z343" t="n">
        <v>632</v>
      </c>
      <c r="AA343" t="n">
        <v>681</v>
      </c>
      <c r="AB343" t="n">
        <v>3</v>
      </c>
      <c r="AC343" t="n">
        <v>3</v>
      </c>
      <c r="AD343" t="n">
        <v>14</v>
      </c>
      <c r="AE343" t="n">
        <v>14</v>
      </c>
      <c r="AF343" t="n">
        <v>4</v>
      </c>
      <c r="AG343" t="n">
        <v>4</v>
      </c>
      <c r="AH343" t="n">
        <v>3</v>
      </c>
      <c r="AI343" t="n">
        <v>3</v>
      </c>
      <c r="AJ343" t="n">
        <v>8</v>
      </c>
      <c r="AK343" t="n">
        <v>8</v>
      </c>
      <c r="AL343" t="n">
        <v>2</v>
      </c>
      <c r="AM343" t="n">
        <v>2</v>
      </c>
      <c r="AN343" t="n">
        <v>0</v>
      </c>
      <c r="AO343" t="n">
        <v>0</v>
      </c>
      <c r="AP343" t="inlineStr">
        <is>
          <t>No</t>
        </is>
      </c>
      <c r="AQ343" t="inlineStr">
        <is>
          <t>Yes</t>
        </is>
      </c>
      <c r="AR343">
        <f>HYPERLINK("http://catalog.hathitrust.org/Record/000699542","HathiTrust Record")</f>
        <v/>
      </c>
      <c r="AS343">
        <f>HYPERLINK("https://creighton-primo.hosted.exlibrisgroup.com/primo-explore/search?tab=default_tab&amp;search_scope=EVERYTHING&amp;vid=01CRU&amp;lang=en_US&amp;offset=0&amp;query=any,contains,991003945459702656","Catalog Record")</f>
        <v/>
      </c>
      <c r="AT343">
        <f>HYPERLINK("http://www.worldcat.org/oclc/1945236","WorldCat Record")</f>
        <v/>
      </c>
      <c r="AU343" t="inlineStr">
        <is>
          <t>26044243:eng</t>
        </is>
      </c>
      <c r="AV343" t="inlineStr">
        <is>
          <t>1945236</t>
        </is>
      </c>
      <c r="AW343" t="inlineStr">
        <is>
          <t>991003945459702656</t>
        </is>
      </c>
      <c r="AX343" t="inlineStr">
        <is>
          <t>991003945459702656</t>
        </is>
      </c>
      <c r="AY343" t="inlineStr">
        <is>
          <t>2265032570002656</t>
        </is>
      </c>
      <c r="AZ343" t="inlineStr">
        <is>
          <t>BOOK</t>
        </is>
      </c>
      <c r="BB343" t="inlineStr">
        <is>
          <t>9780394499581</t>
        </is>
      </c>
      <c r="BC343" t="inlineStr">
        <is>
          <t>32285000772334</t>
        </is>
      </c>
      <c r="BD343" t="inlineStr">
        <is>
          <t>893687162</t>
        </is>
      </c>
    </row>
    <row r="344">
      <c r="A344" t="inlineStr">
        <is>
          <t>No</t>
        </is>
      </c>
      <c r="B344" t="inlineStr">
        <is>
          <t>QL467 .B75</t>
        </is>
      </c>
      <c r="C344" t="inlineStr">
        <is>
          <t>0                      QL 0467000B  75</t>
        </is>
      </c>
      <c r="D344" t="inlineStr">
        <is>
          <t>Insects and their world.</t>
        </is>
      </c>
      <c r="F344" t="inlineStr">
        <is>
          <t>No</t>
        </is>
      </c>
      <c r="G344" t="inlineStr">
        <is>
          <t>1</t>
        </is>
      </c>
      <c r="H344" t="inlineStr">
        <is>
          <t>No</t>
        </is>
      </c>
      <c r="I344" t="inlineStr">
        <is>
          <t>No</t>
        </is>
      </c>
      <c r="J344" t="inlineStr">
        <is>
          <t>0</t>
        </is>
      </c>
      <c r="K344" t="inlineStr">
        <is>
          <t>Oldroyd, Harold.</t>
        </is>
      </c>
      <c r="L344" t="inlineStr">
        <is>
          <t>[Chicago] University of Chicago Press [1962, c1960]</t>
        </is>
      </c>
      <c r="M344" t="inlineStr">
        <is>
          <t>1962</t>
        </is>
      </c>
      <c r="O344" t="inlineStr">
        <is>
          <t>eng</t>
        </is>
      </c>
      <c r="P344" t="inlineStr">
        <is>
          <t>ilu</t>
        </is>
      </c>
      <c r="Q344" t="inlineStr">
        <is>
          <t>Phoenix science series ; PSS516</t>
        </is>
      </c>
      <c r="R344" t="inlineStr">
        <is>
          <t xml:space="preserve">QL </t>
        </is>
      </c>
      <c r="S344" t="n">
        <v>4</v>
      </c>
      <c r="T344" t="n">
        <v>4</v>
      </c>
      <c r="U344" t="inlineStr">
        <is>
          <t>2008-02-19</t>
        </is>
      </c>
      <c r="V344" t="inlineStr">
        <is>
          <t>2008-02-19</t>
        </is>
      </c>
      <c r="W344" t="inlineStr">
        <is>
          <t>1997-07-24</t>
        </is>
      </c>
      <c r="X344" t="inlineStr">
        <is>
          <t>1997-07-24</t>
        </is>
      </c>
      <c r="Y344" t="n">
        <v>184</v>
      </c>
      <c r="Z344" t="n">
        <v>169</v>
      </c>
      <c r="AA344" t="n">
        <v>300</v>
      </c>
      <c r="AB344" t="n">
        <v>1</v>
      </c>
      <c r="AC344" t="n">
        <v>2</v>
      </c>
      <c r="AD344" t="n">
        <v>3</v>
      </c>
      <c r="AE344" t="n">
        <v>6</v>
      </c>
      <c r="AF344" t="n">
        <v>1</v>
      </c>
      <c r="AG344" t="n">
        <v>2</v>
      </c>
      <c r="AH344" t="n">
        <v>1</v>
      </c>
      <c r="AI344" t="n">
        <v>2</v>
      </c>
      <c r="AJ344" t="n">
        <v>2</v>
      </c>
      <c r="AK344" t="n">
        <v>2</v>
      </c>
      <c r="AL344" t="n">
        <v>0</v>
      </c>
      <c r="AM344" t="n">
        <v>1</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HYPERLINK("https://creighton-primo.hosted.exlibrisgroup.com/primo-explore/search?tab=default_tab&amp;search_scope=EVERYTHING&amp;vid=01CRU&amp;lang=en_US&amp;offset=0&amp;query=any,contains,991004110149702656","Catalog Record")</f>
        <v/>
      </c>
      <c r="AT344">
        <f>HYPERLINK("http://www.worldcat.org/oclc/2394669","WorldCat Record")</f>
        <v/>
      </c>
      <c r="AU344" t="inlineStr">
        <is>
          <t>418990:eng</t>
        </is>
      </c>
      <c r="AV344" t="inlineStr">
        <is>
          <t>2394669</t>
        </is>
      </c>
      <c r="AW344" t="inlineStr">
        <is>
          <t>991004110149702656</t>
        </is>
      </c>
      <c r="AX344" t="inlineStr">
        <is>
          <t>991004110149702656</t>
        </is>
      </c>
      <c r="AY344" t="inlineStr">
        <is>
          <t>2271773050002656</t>
        </is>
      </c>
      <c r="AZ344" t="inlineStr">
        <is>
          <t>BOOK</t>
        </is>
      </c>
      <c r="BC344" t="inlineStr">
        <is>
          <t>32285002980695</t>
        </is>
      </c>
      <c r="BD344" t="inlineStr">
        <is>
          <t>893506417</t>
        </is>
      </c>
    </row>
    <row r="345">
      <c r="A345" t="inlineStr">
        <is>
          <t>No</t>
        </is>
      </c>
      <c r="B345" t="inlineStr">
        <is>
          <t>QL467 .F359</t>
        </is>
      </c>
      <c r="C345" t="inlineStr">
        <is>
          <t>0                      QL 0467000F  359</t>
        </is>
      </c>
      <c r="D345" t="inlineStr">
        <is>
          <t>The insects / by Peter Farb and the editors of Life.</t>
        </is>
      </c>
      <c r="F345" t="inlineStr">
        <is>
          <t>No</t>
        </is>
      </c>
      <c r="G345" t="inlineStr">
        <is>
          <t>1</t>
        </is>
      </c>
      <c r="H345" t="inlineStr">
        <is>
          <t>No</t>
        </is>
      </c>
      <c r="I345" t="inlineStr">
        <is>
          <t>No</t>
        </is>
      </c>
      <c r="J345" t="inlineStr">
        <is>
          <t>0</t>
        </is>
      </c>
      <c r="K345" t="inlineStr">
        <is>
          <t>Farb, Peter.</t>
        </is>
      </c>
      <c r="L345" t="inlineStr">
        <is>
          <t>New York : Time, inc., [c1962]</t>
        </is>
      </c>
      <c r="M345" t="inlineStr">
        <is>
          <t>1962</t>
        </is>
      </c>
      <c r="O345" t="inlineStr">
        <is>
          <t>eng</t>
        </is>
      </c>
      <c r="P345" t="inlineStr">
        <is>
          <t>nyu</t>
        </is>
      </c>
      <c r="Q345" t="inlineStr">
        <is>
          <t>Life nature library</t>
        </is>
      </c>
      <c r="R345" t="inlineStr">
        <is>
          <t xml:space="preserve">QL </t>
        </is>
      </c>
      <c r="S345" t="n">
        <v>18</v>
      </c>
      <c r="T345" t="n">
        <v>18</v>
      </c>
      <c r="U345" t="inlineStr">
        <is>
          <t>2008-02-19</t>
        </is>
      </c>
      <c r="V345" t="inlineStr">
        <is>
          <t>2008-02-19</t>
        </is>
      </c>
      <c r="W345" t="inlineStr">
        <is>
          <t>1991-10-07</t>
        </is>
      </c>
      <c r="X345" t="inlineStr">
        <is>
          <t>1991-10-07</t>
        </is>
      </c>
      <c r="Y345" t="n">
        <v>1460</v>
      </c>
      <c r="Z345" t="n">
        <v>1388</v>
      </c>
      <c r="AA345" t="n">
        <v>1592</v>
      </c>
      <c r="AB345" t="n">
        <v>11</v>
      </c>
      <c r="AC345" t="n">
        <v>15</v>
      </c>
      <c r="AD345" t="n">
        <v>22</v>
      </c>
      <c r="AE345" t="n">
        <v>24</v>
      </c>
      <c r="AF345" t="n">
        <v>7</v>
      </c>
      <c r="AG345" t="n">
        <v>9</v>
      </c>
      <c r="AH345" t="n">
        <v>5</v>
      </c>
      <c r="AI345" t="n">
        <v>5</v>
      </c>
      <c r="AJ345" t="n">
        <v>12</v>
      </c>
      <c r="AK345" t="n">
        <v>13</v>
      </c>
      <c r="AL345" t="n">
        <v>4</v>
      </c>
      <c r="AM345" t="n">
        <v>4</v>
      </c>
      <c r="AN345" t="n">
        <v>0</v>
      </c>
      <c r="AO345" t="n">
        <v>0</v>
      </c>
      <c r="AP345" t="inlineStr">
        <is>
          <t>No</t>
        </is>
      </c>
      <c r="AQ345" t="inlineStr">
        <is>
          <t>No</t>
        </is>
      </c>
      <c r="AR345">
        <f>HYPERLINK("http://catalog.hathitrust.org/Record/001496730","HathiTrust Record")</f>
        <v/>
      </c>
      <c r="AS345">
        <f>HYPERLINK("https://creighton-primo.hosted.exlibrisgroup.com/primo-explore/search?tab=default_tab&amp;search_scope=EVERYTHING&amp;vid=01CRU&amp;lang=en_US&amp;offset=0&amp;query=any,contains,991003463119702656","Catalog Record")</f>
        <v/>
      </c>
      <c r="AT345">
        <f>HYPERLINK("http://www.worldcat.org/oclc/1004942","WorldCat Record")</f>
        <v/>
      </c>
      <c r="AU345" t="inlineStr">
        <is>
          <t>3943301886:eng</t>
        </is>
      </c>
      <c r="AV345" t="inlineStr">
        <is>
          <t>1004942</t>
        </is>
      </c>
      <c r="AW345" t="inlineStr">
        <is>
          <t>991003463119702656</t>
        </is>
      </c>
      <c r="AX345" t="inlineStr">
        <is>
          <t>991003463119702656</t>
        </is>
      </c>
      <c r="AY345" t="inlineStr">
        <is>
          <t>2255262910002656</t>
        </is>
      </c>
      <c r="AZ345" t="inlineStr">
        <is>
          <t>BOOK</t>
        </is>
      </c>
      <c r="BC345" t="inlineStr">
        <is>
          <t>32285000772326</t>
        </is>
      </c>
      <c r="BD345" t="inlineStr">
        <is>
          <t>893617352</t>
        </is>
      </c>
    </row>
    <row r="346">
      <c r="A346" t="inlineStr">
        <is>
          <t>No</t>
        </is>
      </c>
      <c r="B346" t="inlineStr">
        <is>
          <t>QL467 .H45 1926</t>
        </is>
      </c>
      <c r="C346" t="inlineStr">
        <is>
          <t>0                      QL 0467000H  45          1926</t>
        </is>
      </c>
      <c r="D346" t="inlineStr">
        <is>
          <t>Insects injurious to the household and annoying to man, by Glenn W. Herrick ...</t>
        </is>
      </c>
      <c r="F346" t="inlineStr">
        <is>
          <t>No</t>
        </is>
      </c>
      <c r="G346" t="inlineStr">
        <is>
          <t>1</t>
        </is>
      </c>
      <c r="H346" t="inlineStr">
        <is>
          <t>No</t>
        </is>
      </c>
      <c r="I346" t="inlineStr">
        <is>
          <t>No</t>
        </is>
      </c>
      <c r="J346" t="inlineStr">
        <is>
          <t>0</t>
        </is>
      </c>
      <c r="K346" t="inlineStr">
        <is>
          <t>Herrick, Glenn W. (Glenn Washington), 1870-1965.</t>
        </is>
      </c>
      <c r="L346" t="inlineStr">
        <is>
          <t>New York, The Macmillan Company, 1926.</t>
        </is>
      </c>
      <c r="M346" t="inlineStr">
        <is>
          <t>1926</t>
        </is>
      </c>
      <c r="N346" t="inlineStr">
        <is>
          <t>Rev. ed.</t>
        </is>
      </c>
      <c r="O346" t="inlineStr">
        <is>
          <t>eng</t>
        </is>
      </c>
      <c r="P346" t="inlineStr">
        <is>
          <t>nyu</t>
        </is>
      </c>
      <c r="Q346" t="inlineStr">
        <is>
          <t>The rural science series</t>
        </is>
      </c>
      <c r="R346" t="inlineStr">
        <is>
          <t xml:space="preserve">QL </t>
        </is>
      </c>
      <c r="S346" t="n">
        <v>7</v>
      </c>
      <c r="T346" t="n">
        <v>7</v>
      </c>
      <c r="U346" t="inlineStr">
        <is>
          <t>2005-02-20</t>
        </is>
      </c>
      <c r="V346" t="inlineStr">
        <is>
          <t>2005-02-20</t>
        </is>
      </c>
      <c r="W346" t="inlineStr">
        <is>
          <t>1997-07-24</t>
        </is>
      </c>
      <c r="X346" t="inlineStr">
        <is>
          <t>1997-07-24</t>
        </is>
      </c>
      <c r="Y346" t="n">
        <v>125</v>
      </c>
      <c r="Z346" t="n">
        <v>113</v>
      </c>
      <c r="AA346" t="n">
        <v>236</v>
      </c>
      <c r="AB346" t="n">
        <v>3</v>
      </c>
      <c r="AC346" t="n">
        <v>5</v>
      </c>
      <c r="AD346" t="n">
        <v>4</v>
      </c>
      <c r="AE346" t="n">
        <v>8</v>
      </c>
      <c r="AF346" t="n">
        <v>1</v>
      </c>
      <c r="AG346" t="n">
        <v>2</v>
      </c>
      <c r="AH346" t="n">
        <v>0</v>
      </c>
      <c r="AI346" t="n">
        <v>1</v>
      </c>
      <c r="AJ346" t="n">
        <v>1</v>
      </c>
      <c r="AK346" t="n">
        <v>1</v>
      </c>
      <c r="AL346" t="n">
        <v>2</v>
      </c>
      <c r="AM346" t="n">
        <v>4</v>
      </c>
      <c r="AN346" t="n">
        <v>0</v>
      </c>
      <c r="AO346" t="n">
        <v>0</v>
      </c>
      <c r="AP346" t="inlineStr">
        <is>
          <t>Yes</t>
        </is>
      </c>
      <c r="AQ346" t="inlineStr">
        <is>
          <t>No</t>
        </is>
      </c>
      <c r="AR346">
        <f>HYPERLINK("http://catalog.hathitrust.org/Record/009169395","HathiTrust Record")</f>
        <v/>
      </c>
      <c r="AS346">
        <f>HYPERLINK("https://creighton-primo.hosted.exlibrisgroup.com/primo-explore/search?tab=default_tab&amp;search_scope=EVERYTHING&amp;vid=01CRU&amp;lang=en_US&amp;offset=0&amp;query=any,contains,991004140429702656","Catalog Record")</f>
        <v/>
      </c>
      <c r="AT346">
        <f>HYPERLINK("http://www.worldcat.org/oclc/2495698","WorldCat Record")</f>
        <v/>
      </c>
      <c r="AU346" t="inlineStr">
        <is>
          <t>5407894:eng</t>
        </is>
      </c>
      <c r="AV346" t="inlineStr">
        <is>
          <t>2495698</t>
        </is>
      </c>
      <c r="AW346" t="inlineStr">
        <is>
          <t>991004140429702656</t>
        </is>
      </c>
      <c r="AX346" t="inlineStr">
        <is>
          <t>991004140429702656</t>
        </is>
      </c>
      <c r="AY346" t="inlineStr">
        <is>
          <t>2262102730002656</t>
        </is>
      </c>
      <c r="AZ346" t="inlineStr">
        <is>
          <t>BOOK</t>
        </is>
      </c>
      <c r="BC346" t="inlineStr">
        <is>
          <t>32285002980729</t>
        </is>
      </c>
      <c r="BD346" t="inlineStr">
        <is>
          <t>893593314</t>
        </is>
      </c>
    </row>
    <row r="347">
      <c r="A347" t="inlineStr">
        <is>
          <t>No</t>
        </is>
      </c>
      <c r="B347" t="inlineStr">
        <is>
          <t>QL467 .H95</t>
        </is>
      </c>
      <c r="C347" t="inlineStr">
        <is>
          <t>0                      QL 0467000H  95</t>
        </is>
      </c>
      <c r="D347" t="inlineStr">
        <is>
          <t>Insects, by Ross E. Hutchins. Illus. by Stanley Wyatt.</t>
        </is>
      </c>
      <c r="F347" t="inlineStr">
        <is>
          <t>No</t>
        </is>
      </c>
      <c r="G347" t="inlineStr">
        <is>
          <t>1</t>
        </is>
      </c>
      <c r="H347" t="inlineStr">
        <is>
          <t>No</t>
        </is>
      </c>
      <c r="I347" t="inlineStr">
        <is>
          <t>No</t>
        </is>
      </c>
      <c r="J347" t="inlineStr">
        <is>
          <t>0</t>
        </is>
      </c>
      <c r="K347" t="inlineStr">
        <is>
          <t>Hutchins, Ross E.</t>
        </is>
      </c>
      <c r="L347" t="inlineStr">
        <is>
          <t>Englewood Cliffs, N.J., Prentice-Hall [1966]</t>
        </is>
      </c>
      <c r="M347" t="inlineStr">
        <is>
          <t>1966</t>
        </is>
      </c>
      <c r="O347" t="inlineStr">
        <is>
          <t>eng</t>
        </is>
      </c>
      <c r="P347" t="inlineStr">
        <is>
          <t>nju</t>
        </is>
      </c>
      <c r="Q347" t="inlineStr">
        <is>
          <t>[The Prentice-Hall series in nature and natural history</t>
        </is>
      </c>
      <c r="R347" t="inlineStr">
        <is>
          <t xml:space="preserve">QL </t>
        </is>
      </c>
      <c r="S347" t="n">
        <v>1</v>
      </c>
      <c r="T347" t="n">
        <v>1</v>
      </c>
      <c r="U347" t="inlineStr">
        <is>
          <t>2009-02-21</t>
        </is>
      </c>
      <c r="V347" t="inlineStr">
        <is>
          <t>2009-02-21</t>
        </is>
      </c>
      <c r="W347" t="inlineStr">
        <is>
          <t>1997-07-24</t>
        </is>
      </c>
      <c r="X347" t="inlineStr">
        <is>
          <t>1997-07-24</t>
        </is>
      </c>
      <c r="Y347" t="n">
        <v>907</v>
      </c>
      <c r="Z347" t="n">
        <v>866</v>
      </c>
      <c r="AA347" t="n">
        <v>903</v>
      </c>
      <c r="AB347" t="n">
        <v>7</v>
      </c>
      <c r="AC347" t="n">
        <v>7</v>
      </c>
      <c r="AD347" t="n">
        <v>22</v>
      </c>
      <c r="AE347" t="n">
        <v>24</v>
      </c>
      <c r="AF347" t="n">
        <v>9</v>
      </c>
      <c r="AG347" t="n">
        <v>10</v>
      </c>
      <c r="AH347" t="n">
        <v>4</v>
      </c>
      <c r="AI347" t="n">
        <v>5</v>
      </c>
      <c r="AJ347" t="n">
        <v>13</v>
      </c>
      <c r="AK347" t="n">
        <v>13</v>
      </c>
      <c r="AL347" t="n">
        <v>4</v>
      </c>
      <c r="AM347" t="n">
        <v>4</v>
      </c>
      <c r="AN347" t="n">
        <v>0</v>
      </c>
      <c r="AO347" t="n">
        <v>0</v>
      </c>
      <c r="AP347" t="inlineStr">
        <is>
          <t>No</t>
        </is>
      </c>
      <c r="AQ347" t="inlineStr">
        <is>
          <t>Yes</t>
        </is>
      </c>
      <c r="AR347">
        <f>HYPERLINK("http://catalog.hathitrust.org/Record/001500022","HathiTrust Record")</f>
        <v/>
      </c>
      <c r="AS347">
        <f>HYPERLINK("https://creighton-primo.hosted.exlibrisgroup.com/primo-explore/search?tab=default_tab&amp;search_scope=EVERYTHING&amp;vid=01CRU&amp;lang=en_US&amp;offset=0&amp;query=any,contains,991003463089702656","Catalog Record")</f>
        <v/>
      </c>
      <c r="AT347">
        <f>HYPERLINK("http://www.worldcat.org/oclc/1004936","WorldCat Record")</f>
        <v/>
      </c>
      <c r="AU347" t="inlineStr">
        <is>
          <t>3943272092:eng</t>
        </is>
      </c>
      <c r="AV347" t="inlineStr">
        <is>
          <t>1004936</t>
        </is>
      </c>
      <c r="AW347" t="inlineStr">
        <is>
          <t>991003463089702656</t>
        </is>
      </c>
      <c r="AX347" t="inlineStr">
        <is>
          <t>991003463089702656</t>
        </is>
      </c>
      <c r="AY347" t="inlineStr">
        <is>
          <t>2255253030002656</t>
        </is>
      </c>
      <c r="AZ347" t="inlineStr">
        <is>
          <t>BOOK</t>
        </is>
      </c>
      <c r="BC347" t="inlineStr">
        <is>
          <t>32285002980737</t>
        </is>
      </c>
      <c r="BD347" t="inlineStr">
        <is>
          <t>893524829</t>
        </is>
      </c>
    </row>
    <row r="348">
      <c r="A348" t="inlineStr">
        <is>
          <t>No</t>
        </is>
      </c>
      <c r="B348" t="inlineStr">
        <is>
          <t>QL467 .J35 1947</t>
        </is>
      </c>
      <c r="C348" t="inlineStr">
        <is>
          <t>0                      QL 0467000J  35          1947</t>
        </is>
      </c>
      <c r="D348" t="inlineStr">
        <is>
          <t>How to know the insects : an illustrated key to the more common families of insects, with suggestions for collecting, mounting and studying them / by H.E. Jaques.</t>
        </is>
      </c>
      <c r="F348" t="inlineStr">
        <is>
          <t>No</t>
        </is>
      </c>
      <c r="G348" t="inlineStr">
        <is>
          <t>1</t>
        </is>
      </c>
      <c r="H348" t="inlineStr">
        <is>
          <t>No</t>
        </is>
      </c>
      <c r="I348" t="inlineStr">
        <is>
          <t>No</t>
        </is>
      </c>
      <c r="J348" t="inlineStr">
        <is>
          <t>0</t>
        </is>
      </c>
      <c r="K348" t="inlineStr">
        <is>
          <t>Jaques, H. E. (Harry Edwin), 1880-1963.</t>
        </is>
      </c>
      <c r="L348" t="inlineStr">
        <is>
          <t>Dubuque, Iowa : W. C. Brown Co., [1947]</t>
        </is>
      </c>
      <c r="M348" t="inlineStr">
        <is>
          <t>1947</t>
        </is>
      </c>
      <c r="N348" t="inlineStr">
        <is>
          <t>2d [rev.] ed.</t>
        </is>
      </c>
      <c r="O348" t="inlineStr">
        <is>
          <t>eng</t>
        </is>
      </c>
      <c r="P348" t="inlineStr">
        <is>
          <t>iau</t>
        </is>
      </c>
      <c r="Q348" t="inlineStr">
        <is>
          <t>Pictured key nature series</t>
        </is>
      </c>
      <c r="R348" t="inlineStr">
        <is>
          <t xml:space="preserve">QL </t>
        </is>
      </c>
      <c r="S348" t="n">
        <v>1</v>
      </c>
      <c r="T348" t="n">
        <v>1</v>
      </c>
      <c r="U348" t="inlineStr">
        <is>
          <t>2005-02-27</t>
        </is>
      </c>
      <c r="V348" t="inlineStr">
        <is>
          <t>2005-02-27</t>
        </is>
      </c>
      <c r="W348" t="inlineStr">
        <is>
          <t>2000-02-07</t>
        </is>
      </c>
      <c r="X348" t="inlineStr">
        <is>
          <t>2000-02-07</t>
        </is>
      </c>
      <c r="Y348" t="n">
        <v>906</v>
      </c>
      <c r="Z348" t="n">
        <v>855</v>
      </c>
      <c r="AA348" t="n">
        <v>973</v>
      </c>
      <c r="AB348" t="n">
        <v>5</v>
      </c>
      <c r="AC348" t="n">
        <v>6</v>
      </c>
      <c r="AD348" t="n">
        <v>23</v>
      </c>
      <c r="AE348" t="n">
        <v>24</v>
      </c>
      <c r="AF348" t="n">
        <v>12</v>
      </c>
      <c r="AG348" t="n">
        <v>12</v>
      </c>
      <c r="AH348" t="n">
        <v>2</v>
      </c>
      <c r="AI348" t="n">
        <v>2</v>
      </c>
      <c r="AJ348" t="n">
        <v>14</v>
      </c>
      <c r="AK348" t="n">
        <v>14</v>
      </c>
      <c r="AL348" t="n">
        <v>3</v>
      </c>
      <c r="AM348" t="n">
        <v>4</v>
      </c>
      <c r="AN348" t="n">
        <v>0</v>
      </c>
      <c r="AO348" t="n">
        <v>0</v>
      </c>
      <c r="AP348" t="inlineStr">
        <is>
          <t>No</t>
        </is>
      </c>
      <c r="AQ348" t="inlineStr">
        <is>
          <t>Yes</t>
        </is>
      </c>
      <c r="AR348">
        <f>HYPERLINK("http://catalog.hathitrust.org/Record/001500025","HathiTrust Record")</f>
        <v/>
      </c>
      <c r="AS348">
        <f>HYPERLINK("https://creighton-primo.hosted.exlibrisgroup.com/primo-explore/search?tab=default_tab&amp;search_scope=EVERYTHING&amp;vid=01CRU&amp;lang=en_US&amp;offset=0&amp;query=any,contains,991001214059702656","Catalog Record")</f>
        <v/>
      </c>
      <c r="AT348">
        <f>HYPERLINK("http://www.worldcat.org/oclc/193446","WorldCat Record")</f>
        <v/>
      </c>
      <c r="AU348" t="inlineStr">
        <is>
          <t>4159932434:eng</t>
        </is>
      </c>
      <c r="AV348" t="inlineStr">
        <is>
          <t>193446</t>
        </is>
      </c>
      <c r="AW348" t="inlineStr">
        <is>
          <t>991001214059702656</t>
        </is>
      </c>
      <c r="AX348" t="inlineStr">
        <is>
          <t>991001214059702656</t>
        </is>
      </c>
      <c r="AY348" t="inlineStr">
        <is>
          <t>2268915590002656</t>
        </is>
      </c>
      <c r="AZ348" t="inlineStr">
        <is>
          <t>BOOK</t>
        </is>
      </c>
      <c r="BC348" t="inlineStr">
        <is>
          <t>32285003660106</t>
        </is>
      </c>
      <c r="BD348" t="inlineStr">
        <is>
          <t>893696570</t>
        </is>
      </c>
    </row>
    <row r="349">
      <c r="A349" t="inlineStr">
        <is>
          <t>No</t>
        </is>
      </c>
      <c r="B349" t="inlineStr">
        <is>
          <t>QL467 .L33</t>
        </is>
      </c>
      <c r="C349" t="inlineStr">
        <is>
          <t>0                      QL 0467000L  33</t>
        </is>
      </c>
      <c r="D349" t="inlineStr">
        <is>
          <t>The insects / [by] Url Lanham.</t>
        </is>
      </c>
      <c r="F349" t="inlineStr">
        <is>
          <t>No</t>
        </is>
      </c>
      <c r="G349" t="inlineStr">
        <is>
          <t>1</t>
        </is>
      </c>
      <c r="H349" t="inlineStr">
        <is>
          <t>No</t>
        </is>
      </c>
      <c r="I349" t="inlineStr">
        <is>
          <t>No</t>
        </is>
      </c>
      <c r="J349" t="inlineStr">
        <is>
          <t>0</t>
        </is>
      </c>
      <c r="K349" t="inlineStr">
        <is>
          <t>Lanham, Url, 1918-1999.</t>
        </is>
      </c>
      <c r="L349" t="inlineStr">
        <is>
          <t>New York : Columbia University Press, 1964.</t>
        </is>
      </c>
      <c r="M349" t="inlineStr">
        <is>
          <t>1964</t>
        </is>
      </c>
      <c r="O349" t="inlineStr">
        <is>
          <t>eng</t>
        </is>
      </c>
      <c r="P349" t="inlineStr">
        <is>
          <t>nyu</t>
        </is>
      </c>
      <c r="R349" t="inlineStr">
        <is>
          <t xml:space="preserve">QL </t>
        </is>
      </c>
      <c r="S349" t="n">
        <v>8</v>
      </c>
      <c r="T349" t="n">
        <v>8</v>
      </c>
      <c r="U349" t="inlineStr">
        <is>
          <t>2009-02-21</t>
        </is>
      </c>
      <c r="V349" t="inlineStr">
        <is>
          <t>2009-02-21</t>
        </is>
      </c>
      <c r="W349" t="inlineStr">
        <is>
          <t>1991-03-11</t>
        </is>
      </c>
      <c r="X349" t="inlineStr">
        <is>
          <t>1991-03-11</t>
        </is>
      </c>
      <c r="Y349" t="n">
        <v>1095</v>
      </c>
      <c r="Z349" t="n">
        <v>1012</v>
      </c>
      <c r="AA349" t="n">
        <v>1028</v>
      </c>
      <c r="AB349" t="n">
        <v>8</v>
      </c>
      <c r="AC349" t="n">
        <v>8</v>
      </c>
      <c r="AD349" t="n">
        <v>30</v>
      </c>
      <c r="AE349" t="n">
        <v>30</v>
      </c>
      <c r="AF349" t="n">
        <v>11</v>
      </c>
      <c r="AG349" t="n">
        <v>11</v>
      </c>
      <c r="AH349" t="n">
        <v>5</v>
      </c>
      <c r="AI349" t="n">
        <v>5</v>
      </c>
      <c r="AJ349" t="n">
        <v>14</v>
      </c>
      <c r="AK349" t="n">
        <v>14</v>
      </c>
      <c r="AL349" t="n">
        <v>7</v>
      </c>
      <c r="AM349" t="n">
        <v>7</v>
      </c>
      <c r="AN349" t="n">
        <v>0</v>
      </c>
      <c r="AO349" t="n">
        <v>0</v>
      </c>
      <c r="AP349" t="inlineStr">
        <is>
          <t>No</t>
        </is>
      </c>
      <c r="AQ349" t="inlineStr">
        <is>
          <t>Yes</t>
        </is>
      </c>
      <c r="AR349">
        <f>HYPERLINK("http://catalog.hathitrust.org/Record/001500027","HathiTrust Record")</f>
        <v/>
      </c>
      <c r="AS349">
        <f>HYPERLINK("https://creighton-primo.hosted.exlibrisgroup.com/primo-explore/search?tab=default_tab&amp;search_scope=EVERYTHING&amp;vid=01CRU&amp;lang=en_US&amp;offset=0&amp;query=any,contains,991002868469702656","Catalog Record")</f>
        <v/>
      </c>
      <c r="AT349">
        <f>HYPERLINK("http://www.worldcat.org/oclc/497602","WorldCat Record")</f>
        <v/>
      </c>
      <c r="AU349" t="inlineStr">
        <is>
          <t>1591710:eng</t>
        </is>
      </c>
      <c r="AV349" t="inlineStr">
        <is>
          <t>497602</t>
        </is>
      </c>
      <c r="AW349" t="inlineStr">
        <is>
          <t>991002868469702656</t>
        </is>
      </c>
      <c r="AX349" t="inlineStr">
        <is>
          <t>991002868469702656</t>
        </is>
      </c>
      <c r="AY349" t="inlineStr">
        <is>
          <t>2271912710002656</t>
        </is>
      </c>
      <c r="AZ349" t="inlineStr">
        <is>
          <t>BOOK</t>
        </is>
      </c>
      <c r="BC349" t="inlineStr">
        <is>
          <t>32285000545946</t>
        </is>
      </c>
      <c r="BD349" t="inlineStr">
        <is>
          <t>893530576</t>
        </is>
      </c>
    </row>
    <row r="350">
      <c r="A350" t="inlineStr">
        <is>
          <t>No</t>
        </is>
      </c>
      <c r="B350" t="inlineStr">
        <is>
          <t>QL467 .L75 1964</t>
        </is>
      </c>
      <c r="C350" t="inlineStr">
        <is>
          <t>0                      QL 0467000L  75          1964</t>
        </is>
      </c>
      <c r="D350" t="inlineStr">
        <is>
          <t>The insect world / written and illustrated by Walter Linsenmaier.</t>
        </is>
      </c>
      <c r="F350" t="inlineStr">
        <is>
          <t>No</t>
        </is>
      </c>
      <c r="G350" t="inlineStr">
        <is>
          <t>1</t>
        </is>
      </c>
      <c r="H350" t="inlineStr">
        <is>
          <t>No</t>
        </is>
      </c>
      <c r="I350" t="inlineStr">
        <is>
          <t>No</t>
        </is>
      </c>
      <c r="J350" t="inlineStr">
        <is>
          <t>0</t>
        </is>
      </c>
      <c r="K350" t="inlineStr">
        <is>
          <t>Linsenmaier, Walter.</t>
        </is>
      </c>
      <c r="L350" t="inlineStr">
        <is>
          <t>New York : Odyssey Press, [1964]</t>
        </is>
      </c>
      <c r="M350" t="inlineStr">
        <is>
          <t>1964</t>
        </is>
      </c>
      <c r="O350" t="inlineStr">
        <is>
          <t>eng</t>
        </is>
      </c>
      <c r="P350" t="inlineStr">
        <is>
          <t xml:space="preserve">xx </t>
        </is>
      </c>
      <c r="Q350" t="inlineStr">
        <is>
          <t>The Odyssey library ; 14</t>
        </is>
      </c>
      <c r="R350" t="inlineStr">
        <is>
          <t xml:space="preserve">QL </t>
        </is>
      </c>
      <c r="S350" t="n">
        <v>8</v>
      </c>
      <c r="T350" t="n">
        <v>8</v>
      </c>
      <c r="U350" t="inlineStr">
        <is>
          <t>1996-04-08</t>
        </is>
      </c>
      <c r="V350" t="inlineStr">
        <is>
          <t>1996-04-08</t>
        </is>
      </c>
      <c r="W350" t="inlineStr">
        <is>
          <t>1993-07-02</t>
        </is>
      </c>
      <c r="X350" t="inlineStr">
        <is>
          <t>1993-07-02</t>
        </is>
      </c>
      <c r="Y350" t="n">
        <v>56</v>
      </c>
      <c r="Z350" t="n">
        <v>51</v>
      </c>
      <c r="AA350" t="n">
        <v>52</v>
      </c>
      <c r="AB350" t="n">
        <v>2</v>
      </c>
      <c r="AC350" t="n">
        <v>2</v>
      </c>
      <c r="AD350" t="n">
        <v>1</v>
      </c>
      <c r="AE350" t="n">
        <v>1</v>
      </c>
      <c r="AF350" t="n">
        <v>0</v>
      </c>
      <c r="AG350" t="n">
        <v>0</v>
      </c>
      <c r="AH350" t="n">
        <v>0</v>
      </c>
      <c r="AI350" t="n">
        <v>0</v>
      </c>
      <c r="AJ350" t="n">
        <v>0</v>
      </c>
      <c r="AK350" t="n">
        <v>0</v>
      </c>
      <c r="AL350" t="n">
        <v>1</v>
      </c>
      <c r="AM350" t="n">
        <v>1</v>
      </c>
      <c r="AN350" t="n">
        <v>0</v>
      </c>
      <c r="AO350" t="n">
        <v>0</v>
      </c>
      <c r="AP350" t="inlineStr">
        <is>
          <t>No</t>
        </is>
      </c>
      <c r="AQ350" t="inlineStr">
        <is>
          <t>Yes</t>
        </is>
      </c>
      <c r="AR350">
        <f>HYPERLINK("http://catalog.hathitrust.org/Record/009191946","HathiTrust Record")</f>
        <v/>
      </c>
      <c r="AS350">
        <f>HYPERLINK("https://creighton-primo.hosted.exlibrisgroup.com/primo-explore/search?tab=default_tab&amp;search_scope=EVERYTHING&amp;vid=01CRU&amp;lang=en_US&amp;offset=0&amp;query=any,contains,991004025239702656","Catalog Record")</f>
        <v/>
      </c>
      <c r="AT350">
        <f>HYPERLINK("http://www.worldcat.org/oclc/2135725","WorldCat Record")</f>
        <v/>
      </c>
      <c r="AU350" t="inlineStr">
        <is>
          <t>3856324566:eng</t>
        </is>
      </c>
      <c r="AV350" t="inlineStr">
        <is>
          <t>2135725</t>
        </is>
      </c>
      <c r="AW350" t="inlineStr">
        <is>
          <t>991004025239702656</t>
        </is>
      </c>
      <c r="AX350" t="inlineStr">
        <is>
          <t>991004025239702656</t>
        </is>
      </c>
      <c r="AY350" t="inlineStr">
        <is>
          <t>2270984530002656</t>
        </is>
      </c>
      <c r="AZ350" t="inlineStr">
        <is>
          <t>BOOK</t>
        </is>
      </c>
      <c r="BC350" t="inlineStr">
        <is>
          <t>32285001735173</t>
        </is>
      </c>
      <c r="BD350" t="inlineStr">
        <is>
          <t>893512701</t>
        </is>
      </c>
    </row>
    <row r="351">
      <c r="A351" t="inlineStr">
        <is>
          <t>No</t>
        </is>
      </c>
      <c r="B351" t="inlineStr">
        <is>
          <t>QL467 .T87 1992</t>
        </is>
      </c>
      <c r="C351" t="inlineStr">
        <is>
          <t>0                      QL 0467000T  87          1992</t>
        </is>
      </c>
      <c r="D351" t="inlineStr">
        <is>
          <t>The insect appreciation digest : everything you ought to know about insects (that your parents didn't teach you) / F. Tom Turpin.</t>
        </is>
      </c>
      <c r="F351" t="inlineStr">
        <is>
          <t>No</t>
        </is>
      </c>
      <c r="G351" t="inlineStr">
        <is>
          <t>1</t>
        </is>
      </c>
      <c r="H351" t="inlineStr">
        <is>
          <t>No</t>
        </is>
      </c>
      <c r="I351" t="inlineStr">
        <is>
          <t>No</t>
        </is>
      </c>
      <c r="J351" t="inlineStr">
        <is>
          <t>0</t>
        </is>
      </c>
      <c r="K351" t="inlineStr">
        <is>
          <t>Turpin, F. Tom.</t>
        </is>
      </c>
      <c r="L351" t="inlineStr">
        <is>
          <t>Lanham, MD : Entomological Foundation, c1992.</t>
        </is>
      </c>
      <c r="M351" t="inlineStr">
        <is>
          <t>1992</t>
        </is>
      </c>
      <c r="O351" t="inlineStr">
        <is>
          <t>eng</t>
        </is>
      </c>
      <c r="P351" t="inlineStr">
        <is>
          <t>mdu</t>
        </is>
      </c>
      <c r="R351" t="inlineStr">
        <is>
          <t xml:space="preserve">QL </t>
        </is>
      </c>
      <c r="S351" t="n">
        <v>5</v>
      </c>
      <c r="T351" t="n">
        <v>5</v>
      </c>
      <c r="U351" t="inlineStr">
        <is>
          <t>2008-02-19</t>
        </is>
      </c>
      <c r="V351" t="inlineStr">
        <is>
          <t>2008-02-19</t>
        </is>
      </c>
      <c r="W351" t="inlineStr">
        <is>
          <t>2000-12-19</t>
        </is>
      </c>
      <c r="X351" t="inlineStr">
        <is>
          <t>2000-12-19</t>
        </is>
      </c>
      <c r="Y351" t="n">
        <v>42</v>
      </c>
      <c r="Z351" t="n">
        <v>37</v>
      </c>
      <c r="AA351" t="n">
        <v>38</v>
      </c>
      <c r="AB351" t="n">
        <v>2</v>
      </c>
      <c r="AC351" t="n">
        <v>2</v>
      </c>
      <c r="AD351" t="n">
        <v>2</v>
      </c>
      <c r="AE351" t="n">
        <v>2</v>
      </c>
      <c r="AF351" t="n">
        <v>0</v>
      </c>
      <c r="AG351" t="n">
        <v>0</v>
      </c>
      <c r="AH351" t="n">
        <v>1</v>
      </c>
      <c r="AI351" t="n">
        <v>1</v>
      </c>
      <c r="AJ351" t="n">
        <v>1</v>
      </c>
      <c r="AK351" t="n">
        <v>1</v>
      </c>
      <c r="AL351" t="n">
        <v>1</v>
      </c>
      <c r="AM351" t="n">
        <v>1</v>
      </c>
      <c r="AN351" t="n">
        <v>0</v>
      </c>
      <c r="AO351" t="n">
        <v>0</v>
      </c>
      <c r="AP351" t="inlineStr">
        <is>
          <t>No</t>
        </is>
      </c>
      <c r="AQ351" t="inlineStr">
        <is>
          <t>Yes</t>
        </is>
      </c>
      <c r="AR351">
        <f>HYPERLINK("http://catalog.hathitrust.org/Record/009191742","HathiTrust Record")</f>
        <v/>
      </c>
      <c r="AS351">
        <f>HYPERLINK("https://creighton-primo.hosted.exlibrisgroup.com/primo-explore/search?tab=default_tab&amp;search_scope=EVERYTHING&amp;vid=01CRU&amp;lang=en_US&amp;offset=0&amp;query=any,contains,991003260449702656","Catalog Record")</f>
        <v/>
      </c>
      <c r="AT351">
        <f>HYPERLINK("http://www.worldcat.org/oclc/28447968","WorldCat Record")</f>
        <v/>
      </c>
      <c r="AU351" t="inlineStr">
        <is>
          <t>920437987:eng</t>
        </is>
      </c>
      <c r="AV351" t="inlineStr">
        <is>
          <t>28447968</t>
        </is>
      </c>
      <c r="AW351" t="inlineStr">
        <is>
          <t>991003260449702656</t>
        </is>
      </c>
      <c r="AX351" t="inlineStr">
        <is>
          <t>991003260449702656</t>
        </is>
      </c>
      <c r="AY351" t="inlineStr">
        <is>
          <t>2263872580002656</t>
        </is>
      </c>
      <c r="AZ351" t="inlineStr">
        <is>
          <t>BOOK</t>
        </is>
      </c>
      <c r="BB351" t="inlineStr">
        <is>
          <t>9780938522447</t>
        </is>
      </c>
      <c r="BC351" t="inlineStr">
        <is>
          <t>32285004277348</t>
        </is>
      </c>
      <c r="BD351" t="inlineStr">
        <is>
          <t>893505404</t>
        </is>
      </c>
    </row>
    <row r="352">
      <c r="A352" t="inlineStr">
        <is>
          <t>No</t>
        </is>
      </c>
      <c r="B352" t="inlineStr">
        <is>
          <t>QL467 .U7 1949a</t>
        </is>
      </c>
      <c r="C352" t="inlineStr">
        <is>
          <t>0                      QL 0467000U  7           1949a</t>
        </is>
      </c>
      <c r="D352" t="inlineStr">
        <is>
          <t>Introducing the insect. With drawings by E.B.S. Logier.</t>
        </is>
      </c>
      <c r="F352" t="inlineStr">
        <is>
          <t>No</t>
        </is>
      </c>
      <c r="G352" t="inlineStr">
        <is>
          <t>1</t>
        </is>
      </c>
      <c r="H352" t="inlineStr">
        <is>
          <t>No</t>
        </is>
      </c>
      <c r="I352" t="inlineStr">
        <is>
          <t>No</t>
        </is>
      </c>
      <c r="J352" t="inlineStr">
        <is>
          <t>0</t>
        </is>
      </c>
      <c r="K352" t="inlineStr">
        <is>
          <t>Urquhart, Fred A.</t>
        </is>
      </c>
      <c r="L352" t="inlineStr">
        <is>
          <t>New York, Holt [c1949]</t>
        </is>
      </c>
      <c r="M352" t="inlineStr">
        <is>
          <t>1949</t>
        </is>
      </c>
      <c r="O352" t="inlineStr">
        <is>
          <t>eng</t>
        </is>
      </c>
      <c r="P352" t="inlineStr">
        <is>
          <t>nyu</t>
        </is>
      </c>
      <c r="R352" t="inlineStr">
        <is>
          <t xml:space="preserve">QL </t>
        </is>
      </c>
      <c r="S352" t="n">
        <v>2</v>
      </c>
      <c r="T352" t="n">
        <v>2</v>
      </c>
      <c r="U352" t="inlineStr">
        <is>
          <t>2009-02-25</t>
        </is>
      </c>
      <c r="V352" t="inlineStr">
        <is>
          <t>2009-02-25</t>
        </is>
      </c>
      <c r="W352" t="inlineStr">
        <is>
          <t>1997-07-24</t>
        </is>
      </c>
      <c r="X352" t="inlineStr">
        <is>
          <t>1997-07-24</t>
        </is>
      </c>
      <c r="Y352" t="n">
        <v>105</v>
      </c>
      <c r="Z352" t="n">
        <v>99</v>
      </c>
      <c r="AA352" t="n">
        <v>201</v>
      </c>
      <c r="AB352" t="n">
        <v>1</v>
      </c>
      <c r="AC352" t="n">
        <v>1</v>
      </c>
      <c r="AD352" t="n">
        <v>2</v>
      </c>
      <c r="AE352" t="n">
        <v>3</v>
      </c>
      <c r="AF352" t="n">
        <v>0</v>
      </c>
      <c r="AG352" t="n">
        <v>1</v>
      </c>
      <c r="AH352" t="n">
        <v>1</v>
      </c>
      <c r="AI352" t="n">
        <v>1</v>
      </c>
      <c r="AJ352" t="n">
        <v>1</v>
      </c>
      <c r="AK352" t="n">
        <v>1</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HYPERLINK("https://creighton-primo.hosted.exlibrisgroup.com/primo-explore/search?tab=default_tab&amp;search_scope=EVERYTHING&amp;vid=01CRU&amp;lang=en_US&amp;offset=0&amp;query=any,contains,991003841349702656","Catalog Record")</f>
        <v/>
      </c>
      <c r="AT352">
        <f>HYPERLINK("http://www.worldcat.org/oclc/1618205","WorldCat Record")</f>
        <v/>
      </c>
      <c r="AU352" t="inlineStr">
        <is>
          <t>1102473084:eng</t>
        </is>
      </c>
      <c r="AV352" t="inlineStr">
        <is>
          <t>1618205</t>
        </is>
      </c>
      <c r="AW352" t="inlineStr">
        <is>
          <t>991003841349702656</t>
        </is>
      </c>
      <c r="AX352" t="inlineStr">
        <is>
          <t>991003841349702656</t>
        </is>
      </c>
      <c r="AY352" t="inlineStr">
        <is>
          <t>2261891260002656</t>
        </is>
      </c>
      <c r="AZ352" t="inlineStr">
        <is>
          <t>BOOK</t>
        </is>
      </c>
      <c r="BC352" t="inlineStr">
        <is>
          <t>32285002980745</t>
        </is>
      </c>
      <c r="BD352" t="inlineStr">
        <is>
          <t>893499773</t>
        </is>
      </c>
    </row>
    <row r="353">
      <c r="A353" t="inlineStr">
        <is>
          <t>No</t>
        </is>
      </c>
      <c r="B353" t="inlineStr">
        <is>
          <t>QL467.8 .E26 1995</t>
        </is>
      </c>
      <c r="C353" t="inlineStr">
        <is>
          <t>0                      QL 0467800E  26          1995</t>
        </is>
      </c>
      <c r="D353" t="inlineStr">
        <is>
          <t>Ecology and conservation of butterflies / edited by Andrew S. Pullin ; in association with the British Butterfly Conservation Society.</t>
        </is>
      </c>
      <c r="F353" t="inlineStr">
        <is>
          <t>No</t>
        </is>
      </c>
      <c r="G353" t="inlineStr">
        <is>
          <t>1</t>
        </is>
      </c>
      <c r="H353" t="inlineStr">
        <is>
          <t>No</t>
        </is>
      </c>
      <c r="I353" t="inlineStr">
        <is>
          <t>No</t>
        </is>
      </c>
      <c r="J353" t="inlineStr">
        <is>
          <t>0</t>
        </is>
      </c>
      <c r="L353" t="inlineStr">
        <is>
          <t>London ; New York : Chapman &amp; Hall, 1995.</t>
        </is>
      </c>
      <c r="M353" t="inlineStr">
        <is>
          <t>1995</t>
        </is>
      </c>
      <c r="N353" t="inlineStr">
        <is>
          <t>1st ed.</t>
        </is>
      </c>
      <c r="O353" t="inlineStr">
        <is>
          <t>eng</t>
        </is>
      </c>
      <c r="P353" t="inlineStr">
        <is>
          <t>enk</t>
        </is>
      </c>
      <c r="R353" t="inlineStr">
        <is>
          <t xml:space="preserve">QL </t>
        </is>
      </c>
      <c r="S353" t="n">
        <v>4</v>
      </c>
      <c r="T353" t="n">
        <v>4</v>
      </c>
      <c r="U353" t="inlineStr">
        <is>
          <t>2003-02-26</t>
        </is>
      </c>
      <c r="V353" t="inlineStr">
        <is>
          <t>2003-02-26</t>
        </is>
      </c>
      <c r="W353" t="inlineStr">
        <is>
          <t>1996-12-30</t>
        </is>
      </c>
      <c r="X353" t="inlineStr">
        <is>
          <t>1996-12-30</t>
        </is>
      </c>
      <c r="Y353" t="n">
        <v>216</v>
      </c>
      <c r="Z353" t="n">
        <v>127</v>
      </c>
      <c r="AA353" t="n">
        <v>146</v>
      </c>
      <c r="AB353" t="n">
        <v>2</v>
      </c>
      <c r="AC353" t="n">
        <v>2</v>
      </c>
      <c r="AD353" t="n">
        <v>5</v>
      </c>
      <c r="AE353" t="n">
        <v>6</v>
      </c>
      <c r="AF353" t="n">
        <v>0</v>
      </c>
      <c r="AG353" t="n">
        <v>1</v>
      </c>
      <c r="AH353" t="n">
        <v>2</v>
      </c>
      <c r="AI353" t="n">
        <v>2</v>
      </c>
      <c r="AJ353" t="n">
        <v>3</v>
      </c>
      <c r="AK353" t="n">
        <v>4</v>
      </c>
      <c r="AL353" t="n">
        <v>1</v>
      </c>
      <c r="AM353" t="n">
        <v>1</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HYPERLINK("https://creighton-primo.hosted.exlibrisgroup.com/primo-explore/search?tab=default_tab&amp;search_scope=EVERYTHING&amp;vid=01CRU&amp;lang=en_US&amp;offset=0&amp;query=any,contains,991002428299702656","Catalog Record")</f>
        <v/>
      </c>
      <c r="AT353">
        <f>HYPERLINK("http://www.worldcat.org/oclc/31648820","WorldCat Record")</f>
        <v/>
      </c>
      <c r="AU353" t="inlineStr">
        <is>
          <t>350613936:eng</t>
        </is>
      </c>
      <c r="AV353" t="inlineStr">
        <is>
          <t>31648820</t>
        </is>
      </c>
      <c r="AW353" t="inlineStr">
        <is>
          <t>991002428299702656</t>
        </is>
      </c>
      <c r="AX353" t="inlineStr">
        <is>
          <t>991002428299702656</t>
        </is>
      </c>
      <c r="AY353" t="inlineStr">
        <is>
          <t>2271586140002656</t>
        </is>
      </c>
      <c r="AZ353" t="inlineStr">
        <is>
          <t>BOOK</t>
        </is>
      </c>
      <c r="BB353" t="inlineStr">
        <is>
          <t>9780412569708</t>
        </is>
      </c>
      <c r="BC353" t="inlineStr">
        <is>
          <t>32285002403854</t>
        </is>
      </c>
      <c r="BD353" t="inlineStr">
        <is>
          <t>893262281</t>
        </is>
      </c>
    </row>
    <row r="354">
      <c r="A354" t="inlineStr">
        <is>
          <t>No</t>
        </is>
      </c>
      <c r="B354" t="inlineStr">
        <is>
          <t>QL468 .B56</t>
        </is>
      </c>
      <c r="C354" t="inlineStr">
        <is>
          <t>0                      QL 0468000B  56</t>
        </is>
      </c>
      <c r="D354" t="inlineStr">
        <is>
          <t>Biosystematics of social insects / edited by P.E. Howse, J.-L. Clement.</t>
        </is>
      </c>
      <c r="F354" t="inlineStr">
        <is>
          <t>No</t>
        </is>
      </c>
      <c r="G354" t="inlineStr">
        <is>
          <t>1</t>
        </is>
      </c>
      <c r="H354" t="inlineStr">
        <is>
          <t>No</t>
        </is>
      </c>
      <c r="I354" t="inlineStr">
        <is>
          <t>No</t>
        </is>
      </c>
      <c r="J354" t="inlineStr">
        <is>
          <t>0</t>
        </is>
      </c>
      <c r="L354" t="inlineStr">
        <is>
          <t>London ; New York : Published for the Systematics Association by Academic Press, 1981.</t>
        </is>
      </c>
      <c r="M354" t="inlineStr">
        <is>
          <t>1981</t>
        </is>
      </c>
      <c r="O354" t="inlineStr">
        <is>
          <t>eng</t>
        </is>
      </c>
      <c r="P354" t="inlineStr">
        <is>
          <t>enk</t>
        </is>
      </c>
      <c r="Q354" t="inlineStr">
        <is>
          <t>Systematics Association special volume ; no. 19</t>
        </is>
      </c>
      <c r="R354" t="inlineStr">
        <is>
          <t xml:space="preserve">QL </t>
        </is>
      </c>
      <c r="S354" t="n">
        <v>2</v>
      </c>
      <c r="T354" t="n">
        <v>2</v>
      </c>
      <c r="U354" t="inlineStr">
        <is>
          <t>1998-02-26</t>
        </is>
      </c>
      <c r="V354" t="inlineStr">
        <is>
          <t>1998-02-26</t>
        </is>
      </c>
      <c r="W354" t="inlineStr">
        <is>
          <t>1993-05-26</t>
        </is>
      </c>
      <c r="X354" t="inlineStr">
        <is>
          <t>1993-05-26</t>
        </is>
      </c>
      <c r="Y354" t="n">
        <v>234</v>
      </c>
      <c r="Z354" t="n">
        <v>150</v>
      </c>
      <c r="AA354" t="n">
        <v>157</v>
      </c>
      <c r="AB354" t="n">
        <v>2</v>
      </c>
      <c r="AC354" t="n">
        <v>2</v>
      </c>
      <c r="AD354" t="n">
        <v>4</v>
      </c>
      <c r="AE354" t="n">
        <v>4</v>
      </c>
      <c r="AF354" t="n">
        <v>0</v>
      </c>
      <c r="AG354" t="n">
        <v>0</v>
      </c>
      <c r="AH354" t="n">
        <v>2</v>
      </c>
      <c r="AI354" t="n">
        <v>2</v>
      </c>
      <c r="AJ354" t="n">
        <v>2</v>
      </c>
      <c r="AK354" t="n">
        <v>2</v>
      </c>
      <c r="AL354" t="n">
        <v>1</v>
      </c>
      <c r="AM354" t="n">
        <v>1</v>
      </c>
      <c r="AN354" t="n">
        <v>0</v>
      </c>
      <c r="AO354" t="n">
        <v>0</v>
      </c>
      <c r="AP354" t="inlineStr">
        <is>
          <t>No</t>
        </is>
      </c>
      <c r="AQ354" t="inlineStr">
        <is>
          <t>Yes</t>
        </is>
      </c>
      <c r="AR354">
        <f>HYPERLINK("http://catalog.hathitrust.org/Record/000103590","HathiTrust Record")</f>
        <v/>
      </c>
      <c r="AS354">
        <f>HYPERLINK("https://creighton-primo.hosted.exlibrisgroup.com/primo-explore/search?tab=default_tab&amp;search_scope=EVERYTHING&amp;vid=01CRU&amp;lang=en_US&amp;offset=0&amp;query=any,contains,991005242689702656","Catalog Record")</f>
        <v/>
      </c>
      <c r="AT354">
        <f>HYPERLINK("http://www.worldcat.org/oclc/8431240","WorldCat Record")</f>
        <v/>
      </c>
      <c r="AU354" t="inlineStr">
        <is>
          <t>409206:eng</t>
        </is>
      </c>
      <c r="AV354" t="inlineStr">
        <is>
          <t>8431240</t>
        </is>
      </c>
      <c r="AW354" t="inlineStr">
        <is>
          <t>991005242689702656</t>
        </is>
      </c>
      <c r="AX354" t="inlineStr">
        <is>
          <t>991005242689702656</t>
        </is>
      </c>
      <c r="AY354" t="inlineStr">
        <is>
          <t>2260228170002656</t>
        </is>
      </c>
      <c r="AZ354" t="inlineStr">
        <is>
          <t>BOOK</t>
        </is>
      </c>
      <c r="BB354" t="inlineStr">
        <is>
          <t>9780123571809</t>
        </is>
      </c>
      <c r="BC354" t="inlineStr">
        <is>
          <t>32285001687002</t>
        </is>
      </c>
      <c r="BD354" t="inlineStr">
        <is>
          <t>893332650</t>
        </is>
      </c>
    </row>
    <row r="355">
      <c r="A355" t="inlineStr">
        <is>
          <t>No</t>
        </is>
      </c>
      <c r="B355" t="inlineStr">
        <is>
          <t>QL468.7 .E96</t>
        </is>
      </c>
      <c r="C355" t="inlineStr">
        <is>
          <t>0                      QL 0468700E  96</t>
        </is>
      </c>
      <c r="D355" t="inlineStr">
        <is>
          <t>Evolution of insect migration and diapause / edited by Hugh Dingle ; with contributions by H. Dingle ... [et al.].</t>
        </is>
      </c>
      <c r="F355" t="inlineStr">
        <is>
          <t>No</t>
        </is>
      </c>
      <c r="G355" t="inlineStr">
        <is>
          <t>1</t>
        </is>
      </c>
      <c r="H355" t="inlineStr">
        <is>
          <t>No</t>
        </is>
      </c>
      <c r="I355" t="inlineStr">
        <is>
          <t>No</t>
        </is>
      </c>
      <c r="J355" t="inlineStr">
        <is>
          <t>0</t>
        </is>
      </c>
      <c r="L355" t="inlineStr">
        <is>
          <t>New York : Springer-Verlag, c1978.</t>
        </is>
      </c>
      <c r="M355" t="inlineStr">
        <is>
          <t>1978</t>
        </is>
      </c>
      <c r="O355" t="inlineStr">
        <is>
          <t>eng</t>
        </is>
      </c>
      <c r="P355" t="inlineStr">
        <is>
          <t>nyu</t>
        </is>
      </c>
      <c r="Q355" t="inlineStr">
        <is>
          <t>Proceedings in life sciences</t>
        </is>
      </c>
      <c r="R355" t="inlineStr">
        <is>
          <t xml:space="preserve">QL </t>
        </is>
      </c>
      <c r="S355" t="n">
        <v>5</v>
      </c>
      <c r="T355" t="n">
        <v>5</v>
      </c>
      <c r="U355" t="inlineStr">
        <is>
          <t>2008-02-19</t>
        </is>
      </c>
      <c r="V355" t="inlineStr">
        <is>
          <t>2008-02-19</t>
        </is>
      </c>
      <c r="W355" t="inlineStr">
        <is>
          <t>1993-05-26</t>
        </is>
      </c>
      <c r="X355" t="inlineStr">
        <is>
          <t>1993-05-26</t>
        </is>
      </c>
      <c r="Y355" t="n">
        <v>387</v>
      </c>
      <c r="Z355" t="n">
        <v>286</v>
      </c>
      <c r="AA355" t="n">
        <v>307</v>
      </c>
      <c r="AB355" t="n">
        <v>4</v>
      </c>
      <c r="AC355" t="n">
        <v>4</v>
      </c>
      <c r="AD355" t="n">
        <v>10</v>
      </c>
      <c r="AE355" t="n">
        <v>12</v>
      </c>
      <c r="AF355" t="n">
        <v>2</v>
      </c>
      <c r="AG355" t="n">
        <v>4</v>
      </c>
      <c r="AH355" t="n">
        <v>3</v>
      </c>
      <c r="AI355" t="n">
        <v>4</v>
      </c>
      <c r="AJ355" t="n">
        <v>4</v>
      </c>
      <c r="AK355" t="n">
        <v>5</v>
      </c>
      <c r="AL355" t="n">
        <v>3</v>
      </c>
      <c r="AM355" t="n">
        <v>3</v>
      </c>
      <c r="AN355" t="n">
        <v>0</v>
      </c>
      <c r="AO355" t="n">
        <v>0</v>
      </c>
      <c r="AP355" t="inlineStr">
        <is>
          <t>No</t>
        </is>
      </c>
      <c r="AQ355" t="inlineStr">
        <is>
          <t>Yes</t>
        </is>
      </c>
      <c r="AR355">
        <f>HYPERLINK("http://catalog.hathitrust.org/Record/000690337","HathiTrust Record")</f>
        <v/>
      </c>
      <c r="AS355">
        <f>HYPERLINK("https://creighton-primo.hosted.exlibrisgroup.com/primo-explore/search?tab=default_tab&amp;search_scope=EVERYTHING&amp;vid=01CRU&amp;lang=en_US&amp;offset=0&amp;query=any,contains,991004438259702656","Catalog Record")</f>
        <v/>
      </c>
      <c r="AT355">
        <f>HYPERLINK("http://www.worldcat.org/oclc/3447405","WorldCat Record")</f>
        <v/>
      </c>
      <c r="AU355" t="inlineStr">
        <is>
          <t>368028264:eng</t>
        </is>
      </c>
      <c r="AV355" t="inlineStr">
        <is>
          <t>3447405</t>
        </is>
      </c>
      <c r="AW355" t="inlineStr">
        <is>
          <t>991004438259702656</t>
        </is>
      </c>
      <c r="AX355" t="inlineStr">
        <is>
          <t>991004438259702656</t>
        </is>
      </c>
      <c r="AY355" t="inlineStr">
        <is>
          <t>2268763310002656</t>
        </is>
      </c>
      <c r="AZ355" t="inlineStr">
        <is>
          <t>BOOK</t>
        </is>
      </c>
      <c r="BB355" t="inlineStr">
        <is>
          <t>9780387902944</t>
        </is>
      </c>
      <c r="BC355" t="inlineStr">
        <is>
          <t>32285001687010</t>
        </is>
      </c>
      <c r="BD355" t="inlineStr">
        <is>
          <t>893343835</t>
        </is>
      </c>
    </row>
    <row r="356">
      <c r="A356" t="inlineStr">
        <is>
          <t>No</t>
        </is>
      </c>
      <c r="B356" t="inlineStr">
        <is>
          <t>QL468.7 .H4513</t>
        </is>
      </c>
      <c r="C356" t="inlineStr">
        <is>
          <t>0                      QL 0468700H  4513</t>
        </is>
      </c>
      <c r="D356" t="inlineStr">
        <is>
          <t>Insect phylogeny / by Willi Hennig ; translated and edited by Adrian C. Pont ; revisionary notes by Dieter Schlee, with the collaboration of Michael Achtelig ... [et al.].</t>
        </is>
      </c>
      <c r="F356" t="inlineStr">
        <is>
          <t>No</t>
        </is>
      </c>
      <c r="G356" t="inlineStr">
        <is>
          <t>1</t>
        </is>
      </c>
      <c r="H356" t="inlineStr">
        <is>
          <t>No</t>
        </is>
      </c>
      <c r="I356" t="inlineStr">
        <is>
          <t>No</t>
        </is>
      </c>
      <c r="J356" t="inlineStr">
        <is>
          <t>0</t>
        </is>
      </c>
      <c r="K356" t="inlineStr">
        <is>
          <t>Hennig, Willi, 1913-1976.</t>
        </is>
      </c>
      <c r="L356" t="inlineStr">
        <is>
          <t>Chichester [Eng.] ; New York : J. Wiley, c1981.</t>
        </is>
      </c>
      <c r="M356" t="inlineStr">
        <is>
          <t>1981</t>
        </is>
      </c>
      <c r="O356" t="inlineStr">
        <is>
          <t>eng</t>
        </is>
      </c>
      <c r="P356" t="inlineStr">
        <is>
          <t>enk</t>
        </is>
      </c>
      <c r="R356" t="inlineStr">
        <is>
          <t xml:space="preserve">QL </t>
        </is>
      </c>
      <c r="S356" t="n">
        <v>2</v>
      </c>
      <c r="T356" t="n">
        <v>2</v>
      </c>
      <c r="U356" t="inlineStr">
        <is>
          <t>2009-02-21</t>
        </is>
      </c>
      <c r="V356" t="inlineStr">
        <is>
          <t>2009-02-21</t>
        </is>
      </c>
      <c r="W356" t="inlineStr">
        <is>
          <t>1993-05-26</t>
        </is>
      </c>
      <c r="X356" t="inlineStr">
        <is>
          <t>1993-05-26</t>
        </is>
      </c>
      <c r="Y356" t="n">
        <v>351</v>
      </c>
      <c r="Z356" t="n">
        <v>232</v>
      </c>
      <c r="AA356" t="n">
        <v>233</v>
      </c>
      <c r="AB356" t="n">
        <v>3</v>
      </c>
      <c r="AC356" t="n">
        <v>3</v>
      </c>
      <c r="AD356" t="n">
        <v>6</v>
      </c>
      <c r="AE356" t="n">
        <v>6</v>
      </c>
      <c r="AF356" t="n">
        <v>1</v>
      </c>
      <c r="AG356" t="n">
        <v>1</v>
      </c>
      <c r="AH356" t="n">
        <v>2</v>
      </c>
      <c r="AI356" t="n">
        <v>2</v>
      </c>
      <c r="AJ356" t="n">
        <v>3</v>
      </c>
      <c r="AK356" t="n">
        <v>3</v>
      </c>
      <c r="AL356" t="n">
        <v>2</v>
      </c>
      <c r="AM356" t="n">
        <v>2</v>
      </c>
      <c r="AN356" t="n">
        <v>0</v>
      </c>
      <c r="AO356" t="n">
        <v>0</v>
      </c>
      <c r="AP356" t="inlineStr">
        <is>
          <t>No</t>
        </is>
      </c>
      <c r="AQ356" t="inlineStr">
        <is>
          <t>Yes</t>
        </is>
      </c>
      <c r="AR356">
        <f>HYPERLINK("http://catalog.hathitrust.org/Record/000267644","HathiTrust Record")</f>
        <v/>
      </c>
      <c r="AS356">
        <f>HYPERLINK("https://creighton-primo.hosted.exlibrisgroup.com/primo-explore/search?tab=default_tab&amp;search_scope=EVERYTHING&amp;vid=01CRU&amp;lang=en_US&amp;offset=0&amp;query=any,contains,991005032459702656","Catalog Record")</f>
        <v/>
      </c>
      <c r="AT356">
        <f>HYPERLINK("http://www.worldcat.org/oclc/6734613","WorldCat Record")</f>
        <v/>
      </c>
      <c r="AU356" t="inlineStr">
        <is>
          <t>836883902:eng</t>
        </is>
      </c>
      <c r="AV356" t="inlineStr">
        <is>
          <t>6734613</t>
        </is>
      </c>
      <c r="AW356" t="inlineStr">
        <is>
          <t>991005032459702656</t>
        </is>
      </c>
      <c r="AX356" t="inlineStr">
        <is>
          <t>991005032459702656</t>
        </is>
      </c>
      <c r="AY356" t="inlineStr">
        <is>
          <t>2268479100002656</t>
        </is>
      </c>
      <c r="AZ356" t="inlineStr">
        <is>
          <t>BOOK</t>
        </is>
      </c>
      <c r="BB356" t="inlineStr">
        <is>
          <t>9780471278481</t>
        </is>
      </c>
      <c r="BC356" t="inlineStr">
        <is>
          <t>32285001687028</t>
        </is>
      </c>
      <c r="BD356" t="inlineStr">
        <is>
          <t>893319918</t>
        </is>
      </c>
    </row>
    <row r="357">
      <c r="A357" t="inlineStr">
        <is>
          <t>No</t>
        </is>
      </c>
      <c r="B357" t="inlineStr">
        <is>
          <t>QL468.7 .J6513 1992</t>
        </is>
      </c>
      <c r="C357" t="inlineStr">
        <is>
          <t>0                      QL 0468700J  6513        1992</t>
        </is>
      </c>
      <c r="D357" t="inlineStr">
        <is>
          <t>Insects and plants : parallel evolution and adaptations / by Pierre Jolivet.</t>
        </is>
      </c>
      <c r="F357" t="inlineStr">
        <is>
          <t>No</t>
        </is>
      </c>
      <c r="G357" t="inlineStr">
        <is>
          <t>1</t>
        </is>
      </c>
      <c r="H357" t="inlineStr">
        <is>
          <t>No</t>
        </is>
      </c>
      <c r="I357" t="inlineStr">
        <is>
          <t>No</t>
        </is>
      </c>
      <c r="J357" t="inlineStr">
        <is>
          <t>0</t>
        </is>
      </c>
      <c r="K357" t="inlineStr">
        <is>
          <t>Jolivet, Pierre, 1922-</t>
        </is>
      </c>
      <c r="L357" t="inlineStr">
        <is>
          <t>Gainesville, Fla., U.S.A. : Sandhill Crane Press, 1992.</t>
        </is>
      </c>
      <c r="M357" t="inlineStr">
        <is>
          <t>1992</t>
        </is>
      </c>
      <c r="N357" t="inlineStr">
        <is>
          <t>2nd ed.</t>
        </is>
      </c>
      <c r="O357" t="inlineStr">
        <is>
          <t>eng</t>
        </is>
      </c>
      <c r="P357" t="inlineStr">
        <is>
          <t>flu</t>
        </is>
      </c>
      <c r="Q357" t="inlineStr">
        <is>
          <t>Flora &amp; Fauna handbook ; no. 2</t>
        </is>
      </c>
      <c r="R357" t="inlineStr">
        <is>
          <t xml:space="preserve">QL </t>
        </is>
      </c>
      <c r="S357" t="n">
        <v>5</v>
      </c>
      <c r="T357" t="n">
        <v>5</v>
      </c>
      <c r="U357" t="inlineStr">
        <is>
          <t>2006-10-18</t>
        </is>
      </c>
      <c r="V357" t="inlineStr">
        <is>
          <t>2006-10-18</t>
        </is>
      </c>
      <c r="W357" t="inlineStr">
        <is>
          <t>1995-07-14</t>
        </is>
      </c>
      <c r="X357" t="inlineStr">
        <is>
          <t>1995-07-14</t>
        </is>
      </c>
      <c r="Y357" t="n">
        <v>296</v>
      </c>
      <c r="Z357" t="n">
        <v>238</v>
      </c>
      <c r="AA357" t="n">
        <v>377</v>
      </c>
      <c r="AB357" t="n">
        <v>3</v>
      </c>
      <c r="AC357" t="n">
        <v>4</v>
      </c>
      <c r="AD357" t="n">
        <v>9</v>
      </c>
      <c r="AE357" t="n">
        <v>14</v>
      </c>
      <c r="AF357" t="n">
        <v>3</v>
      </c>
      <c r="AG357" t="n">
        <v>7</v>
      </c>
      <c r="AH357" t="n">
        <v>1</v>
      </c>
      <c r="AI357" t="n">
        <v>1</v>
      </c>
      <c r="AJ357" t="n">
        <v>5</v>
      </c>
      <c r="AK357" t="n">
        <v>7</v>
      </c>
      <c r="AL357" t="n">
        <v>2</v>
      </c>
      <c r="AM357" t="n">
        <v>3</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HYPERLINK("https://creighton-primo.hosted.exlibrisgroup.com/primo-explore/search?tab=default_tab&amp;search_scope=EVERYTHING&amp;vid=01CRU&amp;lang=en_US&amp;offset=0&amp;query=any,contains,991002041739702656","Catalog Record")</f>
        <v/>
      </c>
      <c r="AT357">
        <f>HYPERLINK("http://www.worldcat.org/oclc/26054512","WorldCat Record")</f>
        <v/>
      </c>
      <c r="AU357" t="inlineStr">
        <is>
          <t>3205759:eng</t>
        </is>
      </c>
      <c r="AV357" t="inlineStr">
        <is>
          <t>26054512</t>
        </is>
      </c>
      <c r="AW357" t="inlineStr">
        <is>
          <t>991002041739702656</t>
        </is>
      </c>
      <c r="AX357" t="inlineStr">
        <is>
          <t>991002041739702656</t>
        </is>
      </c>
      <c r="AY357" t="inlineStr">
        <is>
          <t>2256422840002656</t>
        </is>
      </c>
      <c r="AZ357" t="inlineStr">
        <is>
          <t>BOOK</t>
        </is>
      </c>
      <c r="BB357" t="inlineStr">
        <is>
          <t>9781877743108</t>
        </is>
      </c>
      <c r="BC357" t="inlineStr">
        <is>
          <t>32285002054228</t>
        </is>
      </c>
      <c r="BD357" t="inlineStr">
        <is>
          <t>893444925</t>
        </is>
      </c>
    </row>
    <row r="358">
      <c r="A358" t="inlineStr">
        <is>
          <t>No</t>
        </is>
      </c>
      <c r="B358" t="inlineStr">
        <is>
          <t>QL468.7 .S56 2001</t>
        </is>
      </c>
      <c r="C358" t="inlineStr">
        <is>
          <t>0                      QL 0468700S  56          2001</t>
        </is>
      </c>
      <c r="D358" t="inlineStr">
        <is>
          <t>Sperm competition and its evolutionary consequences in the insects / Leigh W. Simmons.</t>
        </is>
      </c>
      <c r="F358" t="inlineStr">
        <is>
          <t>No</t>
        </is>
      </c>
      <c r="G358" t="inlineStr">
        <is>
          <t>1</t>
        </is>
      </c>
      <c r="H358" t="inlineStr">
        <is>
          <t>No</t>
        </is>
      </c>
      <c r="I358" t="inlineStr">
        <is>
          <t>No</t>
        </is>
      </c>
      <c r="J358" t="inlineStr">
        <is>
          <t>0</t>
        </is>
      </c>
      <c r="K358" t="inlineStr">
        <is>
          <t>Simmons, Leigh W., 1960-</t>
        </is>
      </c>
      <c r="L358" t="inlineStr">
        <is>
          <t>Princeton, N.J. : Princeton University Press, c2001.</t>
        </is>
      </c>
      <c r="M358" t="inlineStr">
        <is>
          <t>2001</t>
        </is>
      </c>
      <c r="O358" t="inlineStr">
        <is>
          <t>eng</t>
        </is>
      </c>
      <c r="P358" t="inlineStr">
        <is>
          <t>nju</t>
        </is>
      </c>
      <c r="Q358" t="inlineStr">
        <is>
          <t>Monographs in behavior and ecology</t>
        </is>
      </c>
      <c r="R358" t="inlineStr">
        <is>
          <t xml:space="preserve">QL </t>
        </is>
      </c>
      <c r="S358" t="n">
        <v>5</v>
      </c>
      <c r="T358" t="n">
        <v>5</v>
      </c>
      <c r="U358" t="inlineStr">
        <is>
          <t>2004-02-15</t>
        </is>
      </c>
      <c r="V358" t="inlineStr">
        <is>
          <t>2004-02-15</t>
        </is>
      </c>
      <c r="W358" t="inlineStr">
        <is>
          <t>2001-12-20</t>
        </is>
      </c>
      <c r="X358" t="inlineStr">
        <is>
          <t>2001-12-20</t>
        </is>
      </c>
      <c r="Y358" t="n">
        <v>395</v>
      </c>
      <c r="Z358" t="n">
        <v>310</v>
      </c>
      <c r="AA358" t="n">
        <v>489</v>
      </c>
      <c r="AB358" t="n">
        <v>2</v>
      </c>
      <c r="AC358" t="n">
        <v>2</v>
      </c>
      <c r="AD358" t="n">
        <v>15</v>
      </c>
      <c r="AE358" t="n">
        <v>27</v>
      </c>
      <c r="AF358" t="n">
        <v>5</v>
      </c>
      <c r="AG358" t="n">
        <v>12</v>
      </c>
      <c r="AH358" t="n">
        <v>4</v>
      </c>
      <c r="AI358" t="n">
        <v>7</v>
      </c>
      <c r="AJ358" t="n">
        <v>10</v>
      </c>
      <c r="AK358" t="n">
        <v>16</v>
      </c>
      <c r="AL358" t="n">
        <v>1</v>
      </c>
      <c r="AM358" t="n">
        <v>1</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HYPERLINK("https://creighton-primo.hosted.exlibrisgroup.com/primo-explore/search?tab=default_tab&amp;search_scope=EVERYTHING&amp;vid=01CRU&amp;lang=en_US&amp;offset=0&amp;query=any,contains,991003671169702656","Catalog Record")</f>
        <v/>
      </c>
      <c r="AT358">
        <f>HYPERLINK("http://www.worldcat.org/oclc/45804827","WorldCat Record")</f>
        <v/>
      </c>
      <c r="AU358" t="inlineStr">
        <is>
          <t>892483:eng</t>
        </is>
      </c>
      <c r="AV358" t="inlineStr">
        <is>
          <t>45804827</t>
        </is>
      </c>
      <c r="AW358" t="inlineStr">
        <is>
          <t>991003671169702656</t>
        </is>
      </c>
      <c r="AX358" t="inlineStr">
        <is>
          <t>991003671169702656</t>
        </is>
      </c>
      <c r="AY358" t="inlineStr">
        <is>
          <t>2269347360002656</t>
        </is>
      </c>
      <c r="AZ358" t="inlineStr">
        <is>
          <t>BOOK</t>
        </is>
      </c>
      <c r="BB358" t="inlineStr">
        <is>
          <t>9780691059877</t>
        </is>
      </c>
      <c r="BC358" t="inlineStr">
        <is>
          <t>32285004429824</t>
        </is>
      </c>
      <c r="BD358" t="inlineStr">
        <is>
          <t>893693010</t>
        </is>
      </c>
    </row>
    <row r="359">
      <c r="A359" t="inlineStr">
        <is>
          <t>No</t>
        </is>
      </c>
      <c r="B359" t="inlineStr">
        <is>
          <t>QL47 .C8 1938</t>
        </is>
      </c>
      <c r="C359" t="inlineStr">
        <is>
          <t>0                      QL 0047000C  8           1938</t>
        </is>
      </c>
      <c r="D359" t="inlineStr">
        <is>
          <t>Textbook of general zoölogy, by Winterton C. Curtis ... and Mary J. Guthrie ...</t>
        </is>
      </c>
      <c r="F359" t="inlineStr">
        <is>
          <t>No</t>
        </is>
      </c>
      <c r="G359" t="inlineStr">
        <is>
          <t>1</t>
        </is>
      </c>
      <c r="H359" t="inlineStr">
        <is>
          <t>No</t>
        </is>
      </c>
      <c r="I359" t="inlineStr">
        <is>
          <t>No</t>
        </is>
      </c>
      <c r="J359" t="inlineStr">
        <is>
          <t>0</t>
        </is>
      </c>
      <c r="K359" t="inlineStr">
        <is>
          <t>Curtis, Winterton C. (Winterton Conway), 1875-1965.</t>
        </is>
      </c>
      <c r="L359" t="inlineStr">
        <is>
          <t>New York, J. Wiley &amp; sons, inc.; London, Chapman &amp; Hall, limited, 1938.</t>
        </is>
      </c>
      <c r="M359" t="inlineStr">
        <is>
          <t>1938</t>
        </is>
      </c>
      <c r="N359" t="inlineStr">
        <is>
          <t>3d ed., rewritten and reset.</t>
        </is>
      </c>
      <c r="O359" t="inlineStr">
        <is>
          <t>eng</t>
        </is>
      </c>
      <c r="P359" t="inlineStr">
        <is>
          <t xml:space="preserve">xx </t>
        </is>
      </c>
      <c r="R359" t="inlineStr">
        <is>
          <t xml:space="preserve">QL </t>
        </is>
      </c>
      <c r="S359" t="n">
        <v>2</v>
      </c>
      <c r="T359" t="n">
        <v>2</v>
      </c>
      <c r="U359" t="inlineStr">
        <is>
          <t>1998-01-30</t>
        </is>
      </c>
      <c r="V359" t="inlineStr">
        <is>
          <t>1998-01-30</t>
        </is>
      </c>
      <c r="W359" t="inlineStr">
        <is>
          <t>1997-07-18</t>
        </is>
      </c>
      <c r="X359" t="inlineStr">
        <is>
          <t>1997-07-18</t>
        </is>
      </c>
      <c r="Y359" t="n">
        <v>92</v>
      </c>
      <c r="Z359" t="n">
        <v>79</v>
      </c>
      <c r="AA359" t="n">
        <v>248</v>
      </c>
      <c r="AB359" t="n">
        <v>1</v>
      </c>
      <c r="AC359" t="n">
        <v>3</v>
      </c>
      <c r="AD359" t="n">
        <v>3</v>
      </c>
      <c r="AE359" t="n">
        <v>10</v>
      </c>
      <c r="AF359" t="n">
        <v>2</v>
      </c>
      <c r="AG359" t="n">
        <v>3</v>
      </c>
      <c r="AH359" t="n">
        <v>0</v>
      </c>
      <c r="AI359" t="n">
        <v>1</v>
      </c>
      <c r="AJ359" t="n">
        <v>2</v>
      </c>
      <c r="AK359" t="n">
        <v>6</v>
      </c>
      <c r="AL359" t="n">
        <v>0</v>
      </c>
      <c r="AM359" t="n">
        <v>2</v>
      </c>
      <c r="AN359" t="n">
        <v>0</v>
      </c>
      <c r="AO359" t="n">
        <v>0</v>
      </c>
      <c r="AP359" t="inlineStr">
        <is>
          <t>No</t>
        </is>
      </c>
      <c r="AQ359" t="inlineStr">
        <is>
          <t>No</t>
        </is>
      </c>
      <c r="AR359">
        <f>HYPERLINK("http://catalog.hathitrust.org/Record/009072549","HathiTrust Record")</f>
        <v/>
      </c>
      <c r="AS359">
        <f>HYPERLINK("https://creighton-primo.hosted.exlibrisgroup.com/primo-explore/search?tab=default_tab&amp;search_scope=EVERYTHING&amp;vid=01CRU&amp;lang=en_US&amp;offset=0&amp;query=any,contains,991000958159702656","Catalog Record")</f>
        <v/>
      </c>
      <c r="AT359">
        <f>HYPERLINK("http://www.worldcat.org/oclc/14729640","WorldCat Record")</f>
        <v/>
      </c>
      <c r="AU359" t="inlineStr">
        <is>
          <t>1897955:eng</t>
        </is>
      </c>
      <c r="AV359" t="inlineStr">
        <is>
          <t>14729640</t>
        </is>
      </c>
      <c r="AW359" t="inlineStr">
        <is>
          <t>991000958159702656</t>
        </is>
      </c>
      <c r="AX359" t="inlineStr">
        <is>
          <t>991000958159702656</t>
        </is>
      </c>
      <c r="AY359" t="inlineStr">
        <is>
          <t>2272255210002656</t>
        </is>
      </c>
      <c r="AZ359" t="inlineStr">
        <is>
          <t>BOOK</t>
        </is>
      </c>
      <c r="BC359" t="inlineStr">
        <is>
          <t>32285002938610</t>
        </is>
      </c>
      <c r="BD359" t="inlineStr">
        <is>
          <t>893419923</t>
        </is>
      </c>
    </row>
    <row r="360">
      <c r="A360" t="inlineStr">
        <is>
          <t>No</t>
        </is>
      </c>
      <c r="B360" t="inlineStr">
        <is>
          <t>QL47 .H52 1942</t>
        </is>
      </c>
      <c r="C360" t="inlineStr">
        <is>
          <t>0                      QL 0047000H  52          1942</t>
        </is>
      </c>
      <c r="D360" t="inlineStr">
        <is>
          <t>College zoology / by Robert W. Hegner.</t>
        </is>
      </c>
      <c r="F360" t="inlineStr">
        <is>
          <t>No</t>
        </is>
      </c>
      <c r="G360" t="inlineStr">
        <is>
          <t>1</t>
        </is>
      </c>
      <c r="H360" t="inlineStr">
        <is>
          <t>No</t>
        </is>
      </c>
      <c r="I360" t="inlineStr">
        <is>
          <t>No</t>
        </is>
      </c>
      <c r="J360" t="inlineStr">
        <is>
          <t>0</t>
        </is>
      </c>
      <c r="K360" t="inlineStr">
        <is>
          <t>Hegner, Robert W. (Robert William), 1880-1942.</t>
        </is>
      </c>
      <c r="L360" t="inlineStr">
        <is>
          <t>New York : Macmillan, [1942]</t>
        </is>
      </c>
      <c r="M360" t="inlineStr">
        <is>
          <t>1942</t>
        </is>
      </c>
      <c r="N360" t="inlineStr">
        <is>
          <t>5th ed.</t>
        </is>
      </c>
      <c r="O360" t="inlineStr">
        <is>
          <t>eng</t>
        </is>
      </c>
      <c r="P360" t="inlineStr">
        <is>
          <t xml:space="preserve">xx </t>
        </is>
      </c>
      <c r="R360" t="inlineStr">
        <is>
          <t xml:space="preserve">QL </t>
        </is>
      </c>
      <c r="S360" t="n">
        <v>4</v>
      </c>
      <c r="T360" t="n">
        <v>4</v>
      </c>
      <c r="U360" t="inlineStr">
        <is>
          <t>1998-01-30</t>
        </is>
      </c>
      <c r="V360" t="inlineStr">
        <is>
          <t>1998-01-30</t>
        </is>
      </c>
      <c r="W360" t="inlineStr">
        <is>
          <t>1994-05-10</t>
        </is>
      </c>
      <c r="X360" t="inlineStr">
        <is>
          <t>1994-05-10</t>
        </is>
      </c>
      <c r="Y360" t="n">
        <v>103</v>
      </c>
      <c r="Z360" t="n">
        <v>90</v>
      </c>
      <c r="AA360" t="n">
        <v>731</v>
      </c>
      <c r="AB360" t="n">
        <v>2</v>
      </c>
      <c r="AC360" t="n">
        <v>5</v>
      </c>
      <c r="AD360" t="n">
        <v>1</v>
      </c>
      <c r="AE360" t="n">
        <v>16</v>
      </c>
      <c r="AF360" t="n">
        <v>0</v>
      </c>
      <c r="AG360" t="n">
        <v>7</v>
      </c>
      <c r="AH360" t="n">
        <v>0</v>
      </c>
      <c r="AI360" t="n">
        <v>2</v>
      </c>
      <c r="AJ360" t="n">
        <v>0</v>
      </c>
      <c r="AK360" t="n">
        <v>8</v>
      </c>
      <c r="AL360" t="n">
        <v>1</v>
      </c>
      <c r="AM360" t="n">
        <v>4</v>
      </c>
      <c r="AN360" t="n">
        <v>0</v>
      </c>
      <c r="AO360" t="n">
        <v>0</v>
      </c>
      <c r="AP360" t="inlineStr">
        <is>
          <t>No</t>
        </is>
      </c>
      <c r="AQ360" t="inlineStr">
        <is>
          <t>Yes</t>
        </is>
      </c>
      <c r="AR360">
        <f>HYPERLINK("http://catalog.hathitrust.org/Record/002542826","HathiTrust Record")</f>
        <v/>
      </c>
      <c r="AS360">
        <f>HYPERLINK("https://creighton-primo.hosted.exlibrisgroup.com/primo-explore/search?tab=default_tab&amp;search_scope=EVERYTHING&amp;vid=01CRU&amp;lang=en_US&amp;offset=0&amp;query=any,contains,991003347629702656","Catalog Record")</f>
        <v/>
      </c>
      <c r="AT360">
        <f>HYPERLINK("http://www.worldcat.org/oclc/879719","WorldCat Record")</f>
        <v/>
      </c>
      <c r="AU360" t="inlineStr">
        <is>
          <t>1624550:eng</t>
        </is>
      </c>
      <c r="AV360" t="inlineStr">
        <is>
          <t>879719</t>
        </is>
      </c>
      <c r="AW360" t="inlineStr">
        <is>
          <t>991003347629702656</t>
        </is>
      </c>
      <c r="AX360" t="inlineStr">
        <is>
          <t>991003347629702656</t>
        </is>
      </c>
      <c r="AY360" t="inlineStr">
        <is>
          <t>2271662780002656</t>
        </is>
      </c>
      <c r="AZ360" t="inlineStr">
        <is>
          <t>BOOK</t>
        </is>
      </c>
      <c r="BC360" t="inlineStr">
        <is>
          <t>32285001909505</t>
        </is>
      </c>
      <c r="BD360" t="inlineStr">
        <is>
          <t>893422490</t>
        </is>
      </c>
    </row>
    <row r="361">
      <c r="A361" t="inlineStr">
        <is>
          <t>No</t>
        </is>
      </c>
      <c r="B361" t="inlineStr">
        <is>
          <t>QL47 .M66 1967</t>
        </is>
      </c>
      <c r="C361" t="inlineStr">
        <is>
          <t>0                      QL 0047000M  66          1967</t>
        </is>
      </c>
      <c r="D361" t="inlineStr">
        <is>
          <t>General zoology / [by] Gairdner B. Moment. --</t>
        </is>
      </c>
      <c r="F361" t="inlineStr">
        <is>
          <t>No</t>
        </is>
      </c>
      <c r="G361" t="inlineStr">
        <is>
          <t>1</t>
        </is>
      </c>
      <c r="H361" t="inlineStr">
        <is>
          <t>No</t>
        </is>
      </c>
      <c r="I361" t="inlineStr">
        <is>
          <t>No</t>
        </is>
      </c>
      <c r="J361" t="inlineStr">
        <is>
          <t>0</t>
        </is>
      </c>
      <c r="K361" t="inlineStr">
        <is>
          <t>Moment, Gairdner Bostwick, 1905-1990.</t>
        </is>
      </c>
      <c r="L361" t="inlineStr">
        <is>
          <t>Boston, Houghton Mifflin [1967]</t>
        </is>
      </c>
      <c r="M361" t="inlineStr">
        <is>
          <t>1967</t>
        </is>
      </c>
      <c r="N361" t="inlineStr">
        <is>
          <t>2d ed. --</t>
        </is>
      </c>
      <c r="O361" t="inlineStr">
        <is>
          <t>eng</t>
        </is>
      </c>
      <c r="P361" t="inlineStr">
        <is>
          <t>mau</t>
        </is>
      </c>
      <c r="R361" t="inlineStr">
        <is>
          <t xml:space="preserve">QL </t>
        </is>
      </c>
      <c r="S361" t="n">
        <v>9</v>
      </c>
      <c r="T361" t="n">
        <v>9</v>
      </c>
      <c r="U361" t="inlineStr">
        <is>
          <t>1998-02-25</t>
        </is>
      </c>
      <c r="V361" t="inlineStr">
        <is>
          <t>1998-02-25</t>
        </is>
      </c>
      <c r="W361" t="inlineStr">
        <is>
          <t>1991-09-04</t>
        </is>
      </c>
      <c r="X361" t="inlineStr">
        <is>
          <t>1991-09-04</t>
        </is>
      </c>
      <c r="Y361" t="n">
        <v>191</v>
      </c>
      <c r="Z361" t="n">
        <v>160</v>
      </c>
      <c r="AA361" t="n">
        <v>223</v>
      </c>
      <c r="AB361" t="n">
        <v>2</v>
      </c>
      <c r="AC361" t="n">
        <v>3</v>
      </c>
      <c r="AD361" t="n">
        <v>6</v>
      </c>
      <c r="AE361" t="n">
        <v>8</v>
      </c>
      <c r="AF361" t="n">
        <v>2</v>
      </c>
      <c r="AG361" t="n">
        <v>3</v>
      </c>
      <c r="AH361" t="n">
        <v>2</v>
      </c>
      <c r="AI361" t="n">
        <v>2</v>
      </c>
      <c r="AJ361" t="n">
        <v>2</v>
      </c>
      <c r="AK361" t="n">
        <v>2</v>
      </c>
      <c r="AL361" t="n">
        <v>1</v>
      </c>
      <c r="AM361" t="n">
        <v>2</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HYPERLINK("https://creighton-primo.hosted.exlibrisgroup.com/primo-explore/search?tab=default_tab&amp;search_scope=EVERYTHING&amp;vid=01CRU&amp;lang=en_US&amp;offset=0&amp;query=any,contains,991003755459702656","Catalog Record")</f>
        <v/>
      </c>
      <c r="AT361">
        <f>HYPERLINK("http://www.worldcat.org/oclc/1435647","WorldCat Record")</f>
        <v/>
      </c>
      <c r="AU361" t="inlineStr">
        <is>
          <t>321758533:eng</t>
        </is>
      </c>
      <c r="AV361" t="inlineStr">
        <is>
          <t>1435647</t>
        </is>
      </c>
      <c r="AW361" t="inlineStr">
        <is>
          <t>991003755459702656</t>
        </is>
      </c>
      <c r="AX361" t="inlineStr">
        <is>
          <t>991003755459702656</t>
        </is>
      </c>
      <c r="AY361" t="inlineStr">
        <is>
          <t>2267208260002656</t>
        </is>
      </c>
      <c r="AZ361" t="inlineStr">
        <is>
          <t>BOOK</t>
        </is>
      </c>
      <c r="BC361" t="inlineStr">
        <is>
          <t>32285000736552</t>
        </is>
      </c>
      <c r="BD361" t="inlineStr">
        <is>
          <t>893228420</t>
        </is>
      </c>
    </row>
    <row r="362">
      <c r="A362" t="inlineStr">
        <is>
          <t>No</t>
        </is>
      </c>
      <c r="B362" t="inlineStr">
        <is>
          <t>QL47 .M68</t>
        </is>
      </c>
      <c r="C362" t="inlineStr">
        <is>
          <t>0                      QL 0047000M  68</t>
        </is>
      </c>
      <c r="D362" t="inlineStr">
        <is>
          <t>Kinships of animals and man : a textbook of animal biology.</t>
        </is>
      </c>
      <c r="F362" t="inlineStr">
        <is>
          <t>No</t>
        </is>
      </c>
      <c r="G362" t="inlineStr">
        <is>
          <t>1</t>
        </is>
      </c>
      <c r="H362" t="inlineStr">
        <is>
          <t>No</t>
        </is>
      </c>
      <c r="I362" t="inlineStr">
        <is>
          <t>No</t>
        </is>
      </c>
      <c r="J362" t="inlineStr">
        <is>
          <t>0</t>
        </is>
      </c>
      <c r="K362" t="inlineStr">
        <is>
          <t>Morgan, Ann Haven, 1882-1966.</t>
        </is>
      </c>
      <c r="L362" t="inlineStr">
        <is>
          <t>New York : McGraw-Hill, 1955.</t>
        </is>
      </c>
      <c r="M362" t="inlineStr">
        <is>
          <t>1955</t>
        </is>
      </c>
      <c r="O362" t="inlineStr">
        <is>
          <t>eng</t>
        </is>
      </c>
      <c r="P362" t="inlineStr">
        <is>
          <t>nyu</t>
        </is>
      </c>
      <c r="R362" t="inlineStr">
        <is>
          <t xml:space="preserve">QL </t>
        </is>
      </c>
      <c r="S362" t="n">
        <v>4</v>
      </c>
      <c r="T362" t="n">
        <v>4</v>
      </c>
      <c r="U362" t="inlineStr">
        <is>
          <t>1998-02-25</t>
        </is>
      </c>
      <c r="V362" t="inlineStr">
        <is>
          <t>1998-02-25</t>
        </is>
      </c>
      <c r="W362" t="inlineStr">
        <is>
          <t>1994-11-02</t>
        </is>
      </c>
      <c r="X362" t="inlineStr">
        <is>
          <t>1994-11-02</t>
        </is>
      </c>
      <c r="Y362" t="n">
        <v>338</v>
      </c>
      <c r="Z362" t="n">
        <v>304</v>
      </c>
      <c r="AA362" t="n">
        <v>329</v>
      </c>
      <c r="AB362" t="n">
        <v>2</v>
      </c>
      <c r="AC362" t="n">
        <v>2</v>
      </c>
      <c r="AD362" t="n">
        <v>14</v>
      </c>
      <c r="AE362" t="n">
        <v>14</v>
      </c>
      <c r="AF362" t="n">
        <v>6</v>
      </c>
      <c r="AG362" t="n">
        <v>6</v>
      </c>
      <c r="AH362" t="n">
        <v>2</v>
      </c>
      <c r="AI362" t="n">
        <v>2</v>
      </c>
      <c r="AJ362" t="n">
        <v>7</v>
      </c>
      <c r="AK362" t="n">
        <v>7</v>
      </c>
      <c r="AL362" t="n">
        <v>1</v>
      </c>
      <c r="AM362" t="n">
        <v>1</v>
      </c>
      <c r="AN362" t="n">
        <v>0</v>
      </c>
      <c r="AO362" t="n">
        <v>0</v>
      </c>
      <c r="AP362" t="inlineStr">
        <is>
          <t>No</t>
        </is>
      </c>
      <c r="AQ362" t="inlineStr">
        <is>
          <t>No</t>
        </is>
      </c>
      <c r="AR362">
        <f>HYPERLINK("http://catalog.hathitrust.org/Record/001498728","HathiTrust Record")</f>
        <v/>
      </c>
      <c r="AS362">
        <f>HYPERLINK("https://creighton-primo.hosted.exlibrisgroup.com/primo-explore/search?tab=default_tab&amp;search_scope=EVERYTHING&amp;vid=01CRU&amp;lang=en_US&amp;offset=0&amp;query=any,contains,991002986999702656","Catalog Record")</f>
        <v/>
      </c>
      <c r="AT362">
        <f>HYPERLINK("http://www.worldcat.org/oclc/558080","WorldCat Record")</f>
        <v/>
      </c>
      <c r="AU362" t="inlineStr">
        <is>
          <t>291703073:eng</t>
        </is>
      </c>
      <c r="AV362" t="inlineStr">
        <is>
          <t>558080</t>
        </is>
      </c>
      <c r="AW362" t="inlineStr">
        <is>
          <t>991002986999702656</t>
        </is>
      </c>
      <c r="AX362" t="inlineStr">
        <is>
          <t>991002986999702656</t>
        </is>
      </c>
      <c r="AY362" t="inlineStr">
        <is>
          <t>2258321850002656</t>
        </is>
      </c>
      <c r="AZ362" t="inlineStr">
        <is>
          <t>BOOK</t>
        </is>
      </c>
      <c r="BC362" t="inlineStr">
        <is>
          <t>32285001963866</t>
        </is>
      </c>
      <c r="BD362" t="inlineStr">
        <is>
          <t>893227546</t>
        </is>
      </c>
    </row>
    <row r="363">
      <c r="A363" t="inlineStr">
        <is>
          <t>No</t>
        </is>
      </c>
      <c r="B363" t="inlineStr">
        <is>
          <t>QL47 .P23 1940</t>
        </is>
      </c>
      <c r="C363" t="inlineStr">
        <is>
          <t>0                      QL 0047000P  23          1940</t>
        </is>
      </c>
      <c r="D363" t="inlineStr">
        <is>
          <t>A text-book of zoology, by the late T. Jeffery Parker ... and the late William A. Haswell ...</t>
        </is>
      </c>
      <c r="E363" t="inlineStr">
        <is>
          <t>V.1</t>
        </is>
      </c>
      <c r="F363" t="inlineStr">
        <is>
          <t>Yes</t>
        </is>
      </c>
      <c r="G363" t="inlineStr">
        <is>
          <t>1</t>
        </is>
      </c>
      <c r="H363" t="inlineStr">
        <is>
          <t>No</t>
        </is>
      </c>
      <c r="I363" t="inlineStr">
        <is>
          <t>No</t>
        </is>
      </c>
      <c r="J363" t="inlineStr">
        <is>
          <t>0</t>
        </is>
      </c>
      <c r="K363" t="inlineStr">
        <is>
          <t>Parker, T. Jeffery (Thomas Jeffery), 1850-1897.</t>
        </is>
      </c>
      <c r="L363" t="inlineStr">
        <is>
          <t>London, Macmillan and Co., limited, 1940.</t>
        </is>
      </c>
      <c r="M363" t="inlineStr">
        <is>
          <t>1940</t>
        </is>
      </c>
      <c r="N363" t="inlineStr">
        <is>
          <t>6th ed. ...</t>
        </is>
      </c>
      <c r="O363" t="inlineStr">
        <is>
          <t>eng</t>
        </is>
      </c>
      <c r="P363" t="inlineStr">
        <is>
          <t>enk</t>
        </is>
      </c>
      <c r="R363" t="inlineStr">
        <is>
          <t xml:space="preserve">QL </t>
        </is>
      </c>
      <c r="S363" t="n">
        <v>0</v>
      </c>
      <c r="T363" t="n">
        <v>2</v>
      </c>
      <c r="V363" t="inlineStr">
        <is>
          <t>2009-03-24</t>
        </is>
      </c>
      <c r="W363" t="inlineStr">
        <is>
          <t>1997-07-18</t>
        </is>
      </c>
      <c r="X363" t="inlineStr">
        <is>
          <t>1997-07-18</t>
        </is>
      </c>
      <c r="Y363" t="n">
        <v>353</v>
      </c>
      <c r="Z363" t="n">
        <v>262</v>
      </c>
      <c r="AA363" t="n">
        <v>607</v>
      </c>
      <c r="AB363" t="n">
        <v>3</v>
      </c>
      <c r="AC363" t="n">
        <v>6</v>
      </c>
      <c r="AD363" t="n">
        <v>10</v>
      </c>
      <c r="AE363" t="n">
        <v>21</v>
      </c>
      <c r="AF363" t="n">
        <v>3</v>
      </c>
      <c r="AG363" t="n">
        <v>6</v>
      </c>
      <c r="AH363" t="n">
        <v>1</v>
      </c>
      <c r="AI363" t="n">
        <v>2</v>
      </c>
      <c r="AJ363" t="n">
        <v>5</v>
      </c>
      <c r="AK363" t="n">
        <v>11</v>
      </c>
      <c r="AL363" t="n">
        <v>2</v>
      </c>
      <c r="AM363" t="n">
        <v>5</v>
      </c>
      <c r="AN363" t="n">
        <v>0</v>
      </c>
      <c r="AO363" t="n">
        <v>0</v>
      </c>
      <c r="AP363" t="inlineStr">
        <is>
          <t>No</t>
        </is>
      </c>
      <c r="AQ363" t="inlineStr">
        <is>
          <t>Yes</t>
        </is>
      </c>
      <c r="AR363">
        <f>HYPERLINK("http://catalog.hathitrust.org/Record/001498734","HathiTrust Record")</f>
        <v/>
      </c>
      <c r="AS363">
        <f>HYPERLINK("https://creighton-primo.hosted.exlibrisgroup.com/primo-explore/search?tab=default_tab&amp;search_scope=EVERYTHING&amp;vid=01CRU&amp;lang=en_US&amp;offset=0&amp;query=any,contains,991003519399702656","Catalog Record")</f>
        <v/>
      </c>
      <c r="AT363">
        <f>HYPERLINK("http://www.worldcat.org/oclc/1078792","WorldCat Record")</f>
        <v/>
      </c>
      <c r="AU363" t="inlineStr">
        <is>
          <t>1624519:eng</t>
        </is>
      </c>
      <c r="AV363" t="inlineStr">
        <is>
          <t>1078792</t>
        </is>
      </c>
      <c r="AW363" t="inlineStr">
        <is>
          <t>991003519399702656</t>
        </is>
      </c>
      <c r="AX363" t="inlineStr">
        <is>
          <t>991003519399702656</t>
        </is>
      </c>
      <c r="AY363" t="inlineStr">
        <is>
          <t>2258676580002656</t>
        </is>
      </c>
      <c r="AZ363" t="inlineStr">
        <is>
          <t>BOOK</t>
        </is>
      </c>
      <c r="BC363" t="inlineStr">
        <is>
          <t>32285002938685</t>
        </is>
      </c>
      <c r="BD363" t="inlineStr">
        <is>
          <t>893900069</t>
        </is>
      </c>
    </row>
    <row r="364">
      <c r="A364" t="inlineStr">
        <is>
          <t>No</t>
        </is>
      </c>
      <c r="B364" t="inlineStr">
        <is>
          <t>QL47 .P23 1940</t>
        </is>
      </c>
      <c r="C364" t="inlineStr">
        <is>
          <t>0                      QL 0047000P  23          1940</t>
        </is>
      </c>
      <c r="D364" t="inlineStr">
        <is>
          <t>A text-book of zoology, by the late T. Jeffery Parker ... and the late William A. Haswell ...</t>
        </is>
      </c>
      <c r="E364" t="inlineStr">
        <is>
          <t>V.2</t>
        </is>
      </c>
      <c r="F364" t="inlineStr">
        <is>
          <t>Yes</t>
        </is>
      </c>
      <c r="G364" t="inlineStr">
        <is>
          <t>1</t>
        </is>
      </c>
      <c r="H364" t="inlineStr">
        <is>
          <t>No</t>
        </is>
      </c>
      <c r="I364" t="inlineStr">
        <is>
          <t>No</t>
        </is>
      </c>
      <c r="J364" t="inlineStr">
        <is>
          <t>0</t>
        </is>
      </c>
      <c r="K364" t="inlineStr">
        <is>
          <t>Parker, T. Jeffery (Thomas Jeffery), 1850-1897.</t>
        </is>
      </c>
      <c r="L364" t="inlineStr">
        <is>
          <t>London, Macmillan and Co., limited, 1940.</t>
        </is>
      </c>
      <c r="M364" t="inlineStr">
        <is>
          <t>1940</t>
        </is>
      </c>
      <c r="N364" t="inlineStr">
        <is>
          <t>6th ed. ...</t>
        </is>
      </c>
      <c r="O364" t="inlineStr">
        <is>
          <t>eng</t>
        </is>
      </c>
      <c r="P364" t="inlineStr">
        <is>
          <t>enk</t>
        </is>
      </c>
      <c r="R364" t="inlineStr">
        <is>
          <t xml:space="preserve">QL </t>
        </is>
      </c>
      <c r="S364" t="n">
        <v>2</v>
      </c>
      <c r="T364" t="n">
        <v>2</v>
      </c>
      <c r="U364" t="inlineStr">
        <is>
          <t>2009-03-24</t>
        </is>
      </c>
      <c r="V364" t="inlineStr">
        <is>
          <t>2009-03-24</t>
        </is>
      </c>
      <c r="W364" t="inlineStr">
        <is>
          <t>1997-07-18</t>
        </is>
      </c>
      <c r="X364" t="inlineStr">
        <is>
          <t>1997-07-18</t>
        </is>
      </c>
      <c r="Y364" t="n">
        <v>353</v>
      </c>
      <c r="Z364" t="n">
        <v>262</v>
      </c>
      <c r="AA364" t="n">
        <v>607</v>
      </c>
      <c r="AB364" t="n">
        <v>3</v>
      </c>
      <c r="AC364" t="n">
        <v>6</v>
      </c>
      <c r="AD364" t="n">
        <v>10</v>
      </c>
      <c r="AE364" t="n">
        <v>21</v>
      </c>
      <c r="AF364" t="n">
        <v>3</v>
      </c>
      <c r="AG364" t="n">
        <v>6</v>
      </c>
      <c r="AH364" t="n">
        <v>1</v>
      </c>
      <c r="AI364" t="n">
        <v>2</v>
      </c>
      <c r="AJ364" t="n">
        <v>5</v>
      </c>
      <c r="AK364" t="n">
        <v>11</v>
      </c>
      <c r="AL364" t="n">
        <v>2</v>
      </c>
      <c r="AM364" t="n">
        <v>5</v>
      </c>
      <c r="AN364" t="n">
        <v>0</v>
      </c>
      <c r="AO364" t="n">
        <v>0</v>
      </c>
      <c r="AP364" t="inlineStr">
        <is>
          <t>No</t>
        </is>
      </c>
      <c r="AQ364" t="inlineStr">
        <is>
          <t>Yes</t>
        </is>
      </c>
      <c r="AR364">
        <f>HYPERLINK("http://catalog.hathitrust.org/Record/001498734","HathiTrust Record")</f>
        <v/>
      </c>
      <c r="AS364">
        <f>HYPERLINK("https://creighton-primo.hosted.exlibrisgroup.com/primo-explore/search?tab=default_tab&amp;search_scope=EVERYTHING&amp;vid=01CRU&amp;lang=en_US&amp;offset=0&amp;query=any,contains,991003519399702656","Catalog Record")</f>
        <v/>
      </c>
      <c r="AT364">
        <f>HYPERLINK("http://www.worldcat.org/oclc/1078792","WorldCat Record")</f>
        <v/>
      </c>
      <c r="AU364" t="inlineStr">
        <is>
          <t>1624519:eng</t>
        </is>
      </c>
      <c r="AV364" t="inlineStr">
        <is>
          <t>1078792</t>
        </is>
      </c>
      <c r="AW364" t="inlineStr">
        <is>
          <t>991003519399702656</t>
        </is>
      </c>
      <c r="AX364" t="inlineStr">
        <is>
          <t>991003519399702656</t>
        </is>
      </c>
      <c r="AY364" t="inlineStr">
        <is>
          <t>2258676580002656</t>
        </is>
      </c>
      <c r="AZ364" t="inlineStr">
        <is>
          <t>BOOK</t>
        </is>
      </c>
      <c r="BC364" t="inlineStr">
        <is>
          <t>32285002938693</t>
        </is>
      </c>
      <c r="BD364" t="inlineStr">
        <is>
          <t>893900068</t>
        </is>
      </c>
    </row>
    <row r="365">
      <c r="A365" t="inlineStr">
        <is>
          <t>No</t>
        </is>
      </c>
      <c r="B365" t="inlineStr">
        <is>
          <t>QL47 .P59</t>
        </is>
      </c>
      <c r="C365" t="inlineStr">
        <is>
          <t>0                      QL 0047000P  59</t>
        </is>
      </c>
      <c r="D365" t="inlineStr">
        <is>
          <t>Essentials of zoology : emphasizing principles of animal biology.</t>
        </is>
      </c>
      <c r="F365" t="inlineStr">
        <is>
          <t>No</t>
        </is>
      </c>
      <c r="G365" t="inlineStr">
        <is>
          <t>1</t>
        </is>
      </c>
      <c r="H365" t="inlineStr">
        <is>
          <t>No</t>
        </is>
      </c>
      <c r="I365" t="inlineStr">
        <is>
          <t>No</t>
        </is>
      </c>
      <c r="J365" t="inlineStr">
        <is>
          <t>0</t>
        </is>
      </c>
      <c r="K365" t="inlineStr">
        <is>
          <t>Potter, George Edwin, 1898-1962.</t>
        </is>
      </c>
      <c r="L365" t="inlineStr">
        <is>
          <t>St. Louis : Mosby, 1940.</t>
        </is>
      </c>
      <c r="M365" t="inlineStr">
        <is>
          <t>1940</t>
        </is>
      </c>
      <c r="O365" t="inlineStr">
        <is>
          <t>eng</t>
        </is>
      </c>
      <c r="P365" t="inlineStr">
        <is>
          <t>mou</t>
        </is>
      </c>
      <c r="R365" t="inlineStr">
        <is>
          <t xml:space="preserve">QL </t>
        </is>
      </c>
      <c r="S365" t="n">
        <v>2</v>
      </c>
      <c r="T365" t="n">
        <v>2</v>
      </c>
      <c r="U365" t="inlineStr">
        <is>
          <t>1996-02-23</t>
        </is>
      </c>
      <c r="V365" t="inlineStr">
        <is>
          <t>1996-02-23</t>
        </is>
      </c>
      <c r="W365" t="inlineStr">
        <is>
          <t>1992-02-26</t>
        </is>
      </c>
      <c r="X365" t="inlineStr">
        <is>
          <t>1992-02-26</t>
        </is>
      </c>
      <c r="Y365" t="n">
        <v>37</v>
      </c>
      <c r="Z365" t="n">
        <v>31</v>
      </c>
      <c r="AA365" t="n">
        <v>87</v>
      </c>
      <c r="AB365" t="n">
        <v>1</v>
      </c>
      <c r="AC365" t="n">
        <v>1</v>
      </c>
      <c r="AD365" t="n">
        <v>0</v>
      </c>
      <c r="AE365" t="n">
        <v>0</v>
      </c>
      <c r="AF365" t="n">
        <v>0</v>
      </c>
      <c r="AG365" t="n">
        <v>0</v>
      </c>
      <c r="AH365" t="n">
        <v>0</v>
      </c>
      <c r="AI365" t="n">
        <v>0</v>
      </c>
      <c r="AJ365" t="n">
        <v>0</v>
      </c>
      <c r="AK365" t="n">
        <v>0</v>
      </c>
      <c r="AL365" t="n">
        <v>0</v>
      </c>
      <c r="AM365" t="n">
        <v>0</v>
      </c>
      <c r="AN365" t="n">
        <v>0</v>
      </c>
      <c r="AO365" t="n">
        <v>0</v>
      </c>
      <c r="AP365" t="inlineStr">
        <is>
          <t>Yes</t>
        </is>
      </c>
      <c r="AQ365" t="inlineStr">
        <is>
          <t>No</t>
        </is>
      </c>
      <c r="AR365">
        <f>HYPERLINK("http://catalog.hathitrust.org/Record/006127622","HathiTrust Record")</f>
        <v/>
      </c>
      <c r="AS365">
        <f>HYPERLINK("https://creighton-primo.hosted.exlibrisgroup.com/primo-explore/search?tab=default_tab&amp;search_scope=EVERYTHING&amp;vid=01CRU&amp;lang=en_US&amp;offset=0&amp;query=any,contains,991004094409702656","Catalog Record")</f>
        <v/>
      </c>
      <c r="AT365">
        <f>HYPERLINK("http://www.worldcat.org/oclc/2354547","WorldCat Record")</f>
        <v/>
      </c>
      <c r="AU365" t="inlineStr">
        <is>
          <t>4503188:eng</t>
        </is>
      </c>
      <c r="AV365" t="inlineStr">
        <is>
          <t>2354547</t>
        </is>
      </c>
      <c r="AW365" t="inlineStr">
        <is>
          <t>991004094409702656</t>
        </is>
      </c>
      <c r="AX365" t="inlineStr">
        <is>
          <t>991004094409702656</t>
        </is>
      </c>
      <c r="AY365" t="inlineStr">
        <is>
          <t>2267676750002656</t>
        </is>
      </c>
      <c r="AZ365" t="inlineStr">
        <is>
          <t>BOOK</t>
        </is>
      </c>
      <c r="BC365" t="inlineStr">
        <is>
          <t>32285000975556</t>
        </is>
      </c>
      <c r="BD365" t="inlineStr">
        <is>
          <t>893687359</t>
        </is>
      </c>
    </row>
    <row r="366">
      <c r="A366" t="inlineStr">
        <is>
          <t>No</t>
        </is>
      </c>
      <c r="B366" t="inlineStr">
        <is>
          <t>QL47 .P6</t>
        </is>
      </c>
      <c r="C366" t="inlineStr">
        <is>
          <t>0                      QL 0047000P  6</t>
        </is>
      </c>
      <c r="D366" t="inlineStr">
        <is>
          <t>Textbook of zoology, by George Edwin Potter ... with 440 text illustrations and 15 color plates.</t>
        </is>
      </c>
      <c r="F366" t="inlineStr">
        <is>
          <t>No</t>
        </is>
      </c>
      <c r="G366" t="inlineStr">
        <is>
          <t>1</t>
        </is>
      </c>
      <c r="H366" t="inlineStr">
        <is>
          <t>No</t>
        </is>
      </c>
      <c r="I366" t="inlineStr">
        <is>
          <t>No</t>
        </is>
      </c>
      <c r="J366" t="inlineStr">
        <is>
          <t>0</t>
        </is>
      </c>
      <c r="K366" t="inlineStr">
        <is>
          <t>Potter, George Edwin, 1898-1962.</t>
        </is>
      </c>
      <c r="L366" t="inlineStr">
        <is>
          <t>St. Louis, The C.V. Mosby company, 1938.</t>
        </is>
      </c>
      <c r="M366" t="inlineStr">
        <is>
          <t>1938</t>
        </is>
      </c>
      <c r="O366" t="inlineStr">
        <is>
          <t>eng</t>
        </is>
      </c>
      <c r="P366" t="inlineStr">
        <is>
          <t xml:space="preserve">xx </t>
        </is>
      </c>
      <c r="R366" t="inlineStr">
        <is>
          <t xml:space="preserve">QL </t>
        </is>
      </c>
      <c r="S366" t="n">
        <v>3</v>
      </c>
      <c r="T366" t="n">
        <v>3</v>
      </c>
      <c r="U366" t="inlineStr">
        <is>
          <t>1999-10-05</t>
        </is>
      </c>
      <c r="V366" t="inlineStr">
        <is>
          <t>1999-10-05</t>
        </is>
      </c>
      <c r="W366" t="inlineStr">
        <is>
          <t>1997-07-18</t>
        </is>
      </c>
      <c r="X366" t="inlineStr">
        <is>
          <t>1997-07-18</t>
        </is>
      </c>
      <c r="Y366" t="n">
        <v>69</v>
      </c>
      <c r="Z366" t="n">
        <v>64</v>
      </c>
      <c r="AA366" t="n">
        <v>119</v>
      </c>
      <c r="AB366" t="n">
        <v>2</v>
      </c>
      <c r="AC366" t="n">
        <v>2</v>
      </c>
      <c r="AD366" t="n">
        <v>2</v>
      </c>
      <c r="AE366" t="n">
        <v>4</v>
      </c>
      <c r="AF366" t="n">
        <v>1</v>
      </c>
      <c r="AG366" t="n">
        <v>2</v>
      </c>
      <c r="AH366" t="n">
        <v>0</v>
      </c>
      <c r="AI366" t="n">
        <v>0</v>
      </c>
      <c r="AJ366" t="n">
        <v>1</v>
      </c>
      <c r="AK366" t="n">
        <v>2</v>
      </c>
      <c r="AL366" t="n">
        <v>1</v>
      </c>
      <c r="AM366" t="n">
        <v>1</v>
      </c>
      <c r="AN366" t="n">
        <v>0</v>
      </c>
      <c r="AO366" t="n">
        <v>0</v>
      </c>
      <c r="AP366" t="inlineStr">
        <is>
          <t>Yes</t>
        </is>
      </c>
      <c r="AQ366" t="inlineStr">
        <is>
          <t>No</t>
        </is>
      </c>
      <c r="AR366">
        <f>HYPERLINK("http://catalog.hathitrust.org/Record/006127624","HathiTrust Record")</f>
        <v/>
      </c>
      <c r="AS366">
        <f>HYPERLINK("https://creighton-primo.hosted.exlibrisgroup.com/primo-explore/search?tab=default_tab&amp;search_scope=EVERYTHING&amp;vid=01CRU&amp;lang=en_US&amp;offset=0&amp;query=any,contains,991003452429702656","Catalog Record")</f>
        <v/>
      </c>
      <c r="AT366">
        <f>HYPERLINK("http://www.worldcat.org/oclc/991294","WorldCat Record")</f>
        <v/>
      </c>
      <c r="AU366" t="inlineStr">
        <is>
          <t>3856343946:eng</t>
        </is>
      </c>
      <c r="AV366" t="inlineStr">
        <is>
          <t>991294</t>
        </is>
      </c>
      <c r="AW366" t="inlineStr">
        <is>
          <t>991003452429702656</t>
        </is>
      </c>
      <c r="AX366" t="inlineStr">
        <is>
          <t>991003452429702656</t>
        </is>
      </c>
      <c r="AY366" t="inlineStr">
        <is>
          <t>2256502570002656</t>
        </is>
      </c>
      <c r="AZ366" t="inlineStr">
        <is>
          <t>BOOK</t>
        </is>
      </c>
      <c r="BC366" t="inlineStr">
        <is>
          <t>32285002938701</t>
        </is>
      </c>
      <c r="BD366" t="inlineStr">
        <is>
          <t>893352830</t>
        </is>
      </c>
    </row>
    <row r="367">
      <c r="A367" t="inlineStr">
        <is>
          <t>No</t>
        </is>
      </c>
      <c r="B367" t="inlineStr">
        <is>
          <t>QL47 .S88</t>
        </is>
      </c>
      <c r="C367" t="inlineStr">
        <is>
          <t>0                      QL 0047000S  88</t>
        </is>
      </c>
      <c r="D367" t="inlineStr">
        <is>
          <t>General zoology / by Tracy I. Storer ; 551 figures, 5 colored plates.</t>
        </is>
      </c>
      <c r="F367" t="inlineStr">
        <is>
          <t>No</t>
        </is>
      </c>
      <c r="G367" t="inlineStr">
        <is>
          <t>1</t>
        </is>
      </c>
      <c r="H367" t="inlineStr">
        <is>
          <t>No</t>
        </is>
      </c>
      <c r="I367" t="inlineStr">
        <is>
          <t>No</t>
        </is>
      </c>
      <c r="J367" t="inlineStr">
        <is>
          <t>0</t>
        </is>
      </c>
      <c r="K367" t="inlineStr">
        <is>
          <t>Storer, Tracy I. (Tracy Irwin), 1889-1973.</t>
        </is>
      </c>
      <c r="L367" t="inlineStr">
        <is>
          <t>New York ; London : McGraw-Hill Book Company, Inc., [c1943]</t>
        </is>
      </c>
      <c r="M367" t="inlineStr">
        <is>
          <t>1943</t>
        </is>
      </c>
      <c r="N367" t="inlineStr">
        <is>
          <t>1st ed.</t>
        </is>
      </c>
      <c r="O367" t="inlineStr">
        <is>
          <t>eng</t>
        </is>
      </c>
      <c r="P367" t="inlineStr">
        <is>
          <t>nyu</t>
        </is>
      </c>
      <c r="Q367" t="inlineStr">
        <is>
          <t>McGraw-Hill publications in the zoological sciences</t>
        </is>
      </c>
      <c r="R367" t="inlineStr">
        <is>
          <t xml:space="preserve">QL </t>
        </is>
      </c>
      <c r="S367" t="n">
        <v>7</v>
      </c>
      <c r="T367" t="n">
        <v>7</v>
      </c>
      <c r="U367" t="inlineStr">
        <is>
          <t>1998-01-30</t>
        </is>
      </c>
      <c r="V367" t="inlineStr">
        <is>
          <t>1998-01-30</t>
        </is>
      </c>
      <c r="W367" t="inlineStr">
        <is>
          <t>1992-02-26</t>
        </is>
      </c>
      <c r="X367" t="inlineStr">
        <is>
          <t>1992-02-26</t>
        </is>
      </c>
      <c r="Y367" t="n">
        <v>197</v>
      </c>
      <c r="Z367" t="n">
        <v>142</v>
      </c>
      <c r="AA367" t="n">
        <v>887</v>
      </c>
      <c r="AB367" t="n">
        <v>3</v>
      </c>
      <c r="AC367" t="n">
        <v>5</v>
      </c>
      <c r="AD367" t="n">
        <v>4</v>
      </c>
      <c r="AE367" t="n">
        <v>22</v>
      </c>
      <c r="AF367" t="n">
        <v>2</v>
      </c>
      <c r="AG367" t="n">
        <v>9</v>
      </c>
      <c r="AH367" t="n">
        <v>0</v>
      </c>
      <c r="AI367" t="n">
        <v>3</v>
      </c>
      <c r="AJ367" t="n">
        <v>2</v>
      </c>
      <c r="AK367" t="n">
        <v>12</v>
      </c>
      <c r="AL367" t="n">
        <v>2</v>
      </c>
      <c r="AM367" t="n">
        <v>3</v>
      </c>
      <c r="AN367" t="n">
        <v>0</v>
      </c>
      <c r="AO367" t="n">
        <v>0</v>
      </c>
      <c r="AP367" t="inlineStr">
        <is>
          <t>No</t>
        </is>
      </c>
      <c r="AQ367" t="inlineStr">
        <is>
          <t>Yes</t>
        </is>
      </c>
      <c r="AR367">
        <f>HYPERLINK("http://catalog.hathitrust.org/Record/001507973","HathiTrust Record")</f>
        <v/>
      </c>
      <c r="AS367">
        <f>HYPERLINK("https://creighton-primo.hosted.exlibrisgroup.com/primo-explore/search?tab=default_tab&amp;search_scope=EVERYTHING&amp;vid=01CRU&amp;lang=en_US&amp;offset=0&amp;query=any,contains,991003778339702656","Catalog Record")</f>
        <v/>
      </c>
      <c r="AT367">
        <f>HYPERLINK("http://www.worldcat.org/oclc/1488685","WorldCat Record")</f>
        <v/>
      </c>
      <c r="AU367" t="inlineStr">
        <is>
          <t>1744970967:eng</t>
        </is>
      </c>
      <c r="AV367" t="inlineStr">
        <is>
          <t>1488685</t>
        </is>
      </c>
      <c r="AW367" t="inlineStr">
        <is>
          <t>991003778339702656</t>
        </is>
      </c>
      <c r="AX367" t="inlineStr">
        <is>
          <t>991003778339702656</t>
        </is>
      </c>
      <c r="AY367" t="inlineStr">
        <is>
          <t>2257449920002656</t>
        </is>
      </c>
      <c r="AZ367" t="inlineStr">
        <is>
          <t>BOOK</t>
        </is>
      </c>
      <c r="BC367" t="inlineStr">
        <is>
          <t>32285000975549</t>
        </is>
      </c>
      <c r="BD367" t="inlineStr">
        <is>
          <t>893429211</t>
        </is>
      </c>
    </row>
    <row r="368">
      <c r="A368" t="inlineStr">
        <is>
          <t>No</t>
        </is>
      </c>
      <c r="B368" t="inlineStr">
        <is>
          <t>QL473 .E8</t>
        </is>
      </c>
      <c r="C368" t="inlineStr">
        <is>
          <t>0                      QL 0473000E  8</t>
        </is>
      </c>
      <c r="D368" t="inlineStr">
        <is>
          <t>Insects of western North America : a manual and textbook for students in colleges and universities and a handbook for county, state and federal entomologists and agriculturists as well as for foresters, farmers, gardeners, travelers, and lovers of nature / by E. O. Essig.</t>
        </is>
      </c>
      <c r="F368" t="inlineStr">
        <is>
          <t>No</t>
        </is>
      </c>
      <c r="G368" t="inlineStr">
        <is>
          <t>1</t>
        </is>
      </c>
      <c r="H368" t="inlineStr">
        <is>
          <t>No</t>
        </is>
      </c>
      <c r="I368" t="inlineStr">
        <is>
          <t>No</t>
        </is>
      </c>
      <c r="J368" t="inlineStr">
        <is>
          <t>0</t>
        </is>
      </c>
      <c r="K368" t="inlineStr">
        <is>
          <t>Essig, E. O. (Edward Oliver), 1884-1964.</t>
        </is>
      </c>
      <c r="L368" t="inlineStr">
        <is>
          <t>New York : The Macmillan company, 1926.</t>
        </is>
      </c>
      <c r="M368" t="inlineStr">
        <is>
          <t>1926</t>
        </is>
      </c>
      <c r="O368" t="inlineStr">
        <is>
          <t>eng</t>
        </is>
      </c>
      <c r="P368" t="inlineStr">
        <is>
          <t xml:space="preserve">xx </t>
        </is>
      </c>
      <c r="R368" t="inlineStr">
        <is>
          <t xml:space="preserve">QL </t>
        </is>
      </c>
      <c r="S368" t="n">
        <v>5</v>
      </c>
      <c r="T368" t="n">
        <v>5</v>
      </c>
      <c r="U368" t="inlineStr">
        <is>
          <t>2005-02-20</t>
        </is>
      </c>
      <c r="V368" t="inlineStr">
        <is>
          <t>2005-02-20</t>
        </is>
      </c>
      <c r="W368" t="inlineStr">
        <is>
          <t>1993-05-05</t>
        </is>
      </c>
      <c r="X368" t="inlineStr">
        <is>
          <t>1993-05-05</t>
        </is>
      </c>
      <c r="Y368" t="n">
        <v>259</v>
      </c>
      <c r="Z368" t="n">
        <v>237</v>
      </c>
      <c r="AA368" t="n">
        <v>270</v>
      </c>
      <c r="AB368" t="n">
        <v>2</v>
      </c>
      <c r="AC368" t="n">
        <v>2</v>
      </c>
      <c r="AD368" t="n">
        <v>8</v>
      </c>
      <c r="AE368" t="n">
        <v>8</v>
      </c>
      <c r="AF368" t="n">
        <v>3</v>
      </c>
      <c r="AG368" t="n">
        <v>3</v>
      </c>
      <c r="AH368" t="n">
        <v>2</v>
      </c>
      <c r="AI368" t="n">
        <v>2</v>
      </c>
      <c r="AJ368" t="n">
        <v>4</v>
      </c>
      <c r="AK368" t="n">
        <v>4</v>
      </c>
      <c r="AL368" t="n">
        <v>1</v>
      </c>
      <c r="AM368" t="n">
        <v>1</v>
      </c>
      <c r="AN368" t="n">
        <v>0</v>
      </c>
      <c r="AO368" t="n">
        <v>0</v>
      </c>
      <c r="AP368" t="inlineStr">
        <is>
          <t>No</t>
        </is>
      </c>
      <c r="AQ368" t="inlineStr">
        <is>
          <t>Yes</t>
        </is>
      </c>
      <c r="AR368">
        <f>HYPERLINK("http://catalog.hathitrust.org/Record/001500058","HathiTrust Record")</f>
        <v/>
      </c>
      <c r="AS368">
        <f>HYPERLINK("https://creighton-primo.hosted.exlibrisgroup.com/primo-explore/search?tab=default_tab&amp;search_scope=EVERYTHING&amp;vid=01CRU&amp;lang=en_US&amp;offset=0&amp;query=any,contains,991003307379702656","Catalog Record")</f>
        <v/>
      </c>
      <c r="AT368">
        <f>HYPERLINK("http://www.worldcat.org/oclc/830856","WorldCat Record")</f>
        <v/>
      </c>
      <c r="AU368" t="inlineStr">
        <is>
          <t>1741018:eng</t>
        </is>
      </c>
      <c r="AV368" t="inlineStr">
        <is>
          <t>830856</t>
        </is>
      </c>
      <c r="AW368" t="inlineStr">
        <is>
          <t>991003307379702656</t>
        </is>
      </c>
      <c r="AX368" t="inlineStr">
        <is>
          <t>991003307379702656</t>
        </is>
      </c>
      <c r="AY368" t="inlineStr">
        <is>
          <t>2269811860002656</t>
        </is>
      </c>
      <c r="AZ368" t="inlineStr">
        <is>
          <t>BOOK</t>
        </is>
      </c>
      <c r="BC368" t="inlineStr">
        <is>
          <t>32285001634186</t>
        </is>
      </c>
      <c r="BD368" t="inlineStr">
        <is>
          <t>893893596</t>
        </is>
      </c>
    </row>
    <row r="369">
      <c r="A369" t="inlineStr">
        <is>
          <t>No</t>
        </is>
      </c>
      <c r="B369" t="inlineStr">
        <is>
          <t>QL473 .H67 1996</t>
        </is>
      </c>
      <c r="C369" t="inlineStr">
        <is>
          <t>0                      QL 0473000H  67          1996</t>
        </is>
      </c>
      <c r="D369" t="inlineStr">
        <is>
          <t>That gunk on your car : a unique guide to insects of the United States / written by Mark Hostetler ; illustrated by Rebekah McClean ; book design by Meryl Klein.</t>
        </is>
      </c>
      <c r="F369" t="inlineStr">
        <is>
          <t>No</t>
        </is>
      </c>
      <c r="G369" t="inlineStr">
        <is>
          <t>1</t>
        </is>
      </c>
      <c r="H369" t="inlineStr">
        <is>
          <t>No</t>
        </is>
      </c>
      <c r="I369" t="inlineStr">
        <is>
          <t>No</t>
        </is>
      </c>
      <c r="J369" t="inlineStr">
        <is>
          <t>0</t>
        </is>
      </c>
      <c r="K369" t="inlineStr">
        <is>
          <t>Hostetler, Mark.</t>
        </is>
      </c>
      <c r="L369" t="inlineStr">
        <is>
          <t>Gainesville, Fl. : Brazen Cockroaches, Inc., c1996.</t>
        </is>
      </c>
      <c r="M369" t="inlineStr">
        <is>
          <t>1996</t>
        </is>
      </c>
      <c r="O369" t="inlineStr">
        <is>
          <t>eng</t>
        </is>
      </c>
      <c r="P369" t="inlineStr">
        <is>
          <t>flu</t>
        </is>
      </c>
      <c r="R369" t="inlineStr">
        <is>
          <t xml:space="preserve">QL </t>
        </is>
      </c>
      <c r="S369" t="n">
        <v>1</v>
      </c>
      <c r="T369" t="n">
        <v>1</v>
      </c>
      <c r="U369" t="inlineStr">
        <is>
          <t>2008-05-19</t>
        </is>
      </c>
      <c r="V369" t="inlineStr">
        <is>
          <t>2008-05-19</t>
        </is>
      </c>
      <c r="W369" t="inlineStr">
        <is>
          <t>1997-06-05</t>
        </is>
      </c>
      <c r="X369" t="inlineStr">
        <is>
          <t>1997-06-05</t>
        </is>
      </c>
      <c r="Y369" t="n">
        <v>21</v>
      </c>
      <c r="Z369" t="n">
        <v>20</v>
      </c>
      <c r="AA369" t="n">
        <v>20</v>
      </c>
      <c r="AB369" t="n">
        <v>1</v>
      </c>
      <c r="AC369" t="n">
        <v>1</v>
      </c>
      <c r="AD369" t="n">
        <v>0</v>
      </c>
      <c r="AE369" t="n">
        <v>0</v>
      </c>
      <c r="AF369" t="n">
        <v>0</v>
      </c>
      <c r="AG369" t="n">
        <v>0</v>
      </c>
      <c r="AH369" t="n">
        <v>0</v>
      </c>
      <c r="AI369" t="n">
        <v>0</v>
      </c>
      <c r="AJ369" t="n">
        <v>0</v>
      </c>
      <c r="AK369" t="n">
        <v>0</v>
      </c>
      <c r="AL369" t="n">
        <v>0</v>
      </c>
      <c r="AM369" t="n">
        <v>0</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HYPERLINK("https://creighton-primo.hosted.exlibrisgroup.com/primo-explore/search?tab=default_tab&amp;search_scope=EVERYTHING&amp;vid=01CRU&amp;lang=en_US&amp;offset=0&amp;query=any,contains,991002782219702656","Catalog Record")</f>
        <v/>
      </c>
      <c r="AT369">
        <f>HYPERLINK("http://www.worldcat.org/oclc/36525809","WorldCat Record")</f>
        <v/>
      </c>
      <c r="AU369" t="inlineStr">
        <is>
          <t>3858030600:eng</t>
        </is>
      </c>
      <c r="AV369" t="inlineStr">
        <is>
          <t>36525809</t>
        </is>
      </c>
      <c r="AW369" t="inlineStr">
        <is>
          <t>991002782219702656</t>
        </is>
      </c>
      <c r="AX369" t="inlineStr">
        <is>
          <t>991002782219702656</t>
        </is>
      </c>
      <c r="AY369" t="inlineStr">
        <is>
          <t>2271916990002656</t>
        </is>
      </c>
      <c r="AZ369" t="inlineStr">
        <is>
          <t>BOOK</t>
        </is>
      </c>
      <c r="BB369" t="inlineStr">
        <is>
          <t>9780965378802</t>
        </is>
      </c>
      <c r="BC369" t="inlineStr">
        <is>
          <t>32285002614575</t>
        </is>
      </c>
      <c r="BD369" t="inlineStr">
        <is>
          <t>893323371</t>
        </is>
      </c>
    </row>
    <row r="370">
      <c r="A370" t="inlineStr">
        <is>
          <t>No</t>
        </is>
      </c>
      <c r="B370" t="inlineStr">
        <is>
          <t>QL473 .M34 2006</t>
        </is>
      </c>
      <c r="C370" t="inlineStr">
        <is>
          <t>0                      QL 0473000M  34          2006</t>
        </is>
      </c>
      <c r="D370" t="inlineStr">
        <is>
          <t>Insects : their natural history and diversity : with a photographic guide to insects of eastern North America / Stephen A. Marshall.</t>
        </is>
      </c>
      <c r="F370" t="inlineStr">
        <is>
          <t>No</t>
        </is>
      </c>
      <c r="G370" t="inlineStr">
        <is>
          <t>1</t>
        </is>
      </c>
      <c r="H370" t="inlineStr">
        <is>
          <t>No</t>
        </is>
      </c>
      <c r="I370" t="inlineStr">
        <is>
          <t>No</t>
        </is>
      </c>
      <c r="J370" t="inlineStr">
        <is>
          <t>0</t>
        </is>
      </c>
      <c r="K370" t="inlineStr">
        <is>
          <t>Marshall, S. A. (Stephen A.)</t>
        </is>
      </c>
      <c r="L370" t="inlineStr">
        <is>
          <t>Buffalo, N.Y. : Firefly Books, 2006.</t>
        </is>
      </c>
      <c r="M370" t="inlineStr">
        <is>
          <t>2006</t>
        </is>
      </c>
      <c r="O370" t="inlineStr">
        <is>
          <t>eng</t>
        </is>
      </c>
      <c r="P370" t="inlineStr">
        <is>
          <t>nyu</t>
        </is>
      </c>
      <c r="R370" t="inlineStr">
        <is>
          <t xml:space="preserve">QL </t>
        </is>
      </c>
      <c r="S370" t="n">
        <v>9</v>
      </c>
      <c r="T370" t="n">
        <v>9</v>
      </c>
      <c r="U370" t="inlineStr">
        <is>
          <t>2010-09-29</t>
        </is>
      </c>
      <c r="V370" t="inlineStr">
        <is>
          <t>2010-09-29</t>
        </is>
      </c>
      <c r="W370" t="inlineStr">
        <is>
          <t>2007-03-26</t>
        </is>
      </c>
      <c r="X370" t="inlineStr">
        <is>
          <t>2007-03-26</t>
        </is>
      </c>
      <c r="Y370" t="n">
        <v>1454</v>
      </c>
      <c r="Z370" t="n">
        <v>1363</v>
      </c>
      <c r="AA370" t="n">
        <v>1584</v>
      </c>
      <c r="AB370" t="n">
        <v>10</v>
      </c>
      <c r="AC370" t="n">
        <v>14</v>
      </c>
      <c r="AD370" t="n">
        <v>33</v>
      </c>
      <c r="AE370" t="n">
        <v>44</v>
      </c>
      <c r="AF370" t="n">
        <v>15</v>
      </c>
      <c r="AG370" t="n">
        <v>19</v>
      </c>
      <c r="AH370" t="n">
        <v>5</v>
      </c>
      <c r="AI370" t="n">
        <v>7</v>
      </c>
      <c r="AJ370" t="n">
        <v>14</v>
      </c>
      <c r="AK370" t="n">
        <v>17</v>
      </c>
      <c r="AL370" t="n">
        <v>6</v>
      </c>
      <c r="AM370" t="n">
        <v>10</v>
      </c>
      <c r="AN370" t="n">
        <v>0</v>
      </c>
      <c r="AO370" t="n">
        <v>0</v>
      </c>
      <c r="AP370" t="inlineStr">
        <is>
          <t>No</t>
        </is>
      </c>
      <c r="AQ370" t="inlineStr">
        <is>
          <t>Yes</t>
        </is>
      </c>
      <c r="AR370">
        <f>HYPERLINK("http://catalog.hathitrust.org/Record/005236134","HathiTrust Record")</f>
        <v/>
      </c>
      <c r="AS370">
        <f>HYPERLINK("https://creighton-primo.hosted.exlibrisgroup.com/primo-explore/search?tab=default_tab&amp;search_scope=EVERYTHING&amp;vid=01CRU&amp;lang=en_US&amp;offset=0&amp;query=any,contains,991005038229702656","Catalog Record")</f>
        <v/>
      </c>
      <c r="AT370">
        <f>HYPERLINK("http://www.worldcat.org/oclc/58454955","WorldCat Record")</f>
        <v/>
      </c>
      <c r="AU370" t="inlineStr">
        <is>
          <t>837762923:eng</t>
        </is>
      </c>
      <c r="AV370" t="inlineStr">
        <is>
          <t>58454955</t>
        </is>
      </c>
      <c r="AW370" t="inlineStr">
        <is>
          <t>991005038229702656</t>
        </is>
      </c>
      <c r="AX370" t="inlineStr">
        <is>
          <t>991005038229702656</t>
        </is>
      </c>
      <c r="AY370" t="inlineStr">
        <is>
          <t>2266305740002656</t>
        </is>
      </c>
      <c r="AZ370" t="inlineStr">
        <is>
          <t>BOOK</t>
        </is>
      </c>
      <c r="BB370" t="inlineStr">
        <is>
          <t>9781552979006</t>
        </is>
      </c>
      <c r="BC370" t="inlineStr">
        <is>
          <t>32285005283006</t>
        </is>
      </c>
      <c r="BD370" t="inlineStr">
        <is>
          <t>893437051</t>
        </is>
      </c>
    </row>
    <row r="371">
      <c r="A371" t="inlineStr">
        <is>
          <t>No</t>
        </is>
      </c>
      <c r="B371" t="inlineStr">
        <is>
          <t>QL474 .A76 2000</t>
        </is>
      </c>
      <c r="C371" t="inlineStr">
        <is>
          <t>0                      QL 0474000A  76          2000</t>
        </is>
      </c>
      <c r="D371" t="inlineStr">
        <is>
          <t>American insects : a handbook of the insects of America north of Mexico / Ross H. Arnett, Jr.</t>
        </is>
      </c>
      <c r="F371" t="inlineStr">
        <is>
          <t>No</t>
        </is>
      </c>
      <c r="G371" t="inlineStr">
        <is>
          <t>1</t>
        </is>
      </c>
      <c r="H371" t="inlineStr">
        <is>
          <t>No</t>
        </is>
      </c>
      <c r="I371" t="inlineStr">
        <is>
          <t>No</t>
        </is>
      </c>
      <c r="J371" t="inlineStr">
        <is>
          <t>0</t>
        </is>
      </c>
      <c r="K371" t="inlineStr">
        <is>
          <t>Arnett, Ross H.</t>
        </is>
      </c>
      <c r="L371" t="inlineStr">
        <is>
          <t>Boca Raton, Fla. : CRC Press, c2000.</t>
        </is>
      </c>
      <c r="M371" t="inlineStr">
        <is>
          <t>2000</t>
        </is>
      </c>
      <c r="N371" t="inlineStr">
        <is>
          <t>2nd ed.</t>
        </is>
      </c>
      <c r="O371" t="inlineStr">
        <is>
          <t>eng</t>
        </is>
      </c>
      <c r="P371" t="inlineStr">
        <is>
          <t>flu</t>
        </is>
      </c>
      <c r="R371" t="inlineStr">
        <is>
          <t xml:space="preserve">QL </t>
        </is>
      </c>
      <c r="S371" t="n">
        <v>14</v>
      </c>
      <c r="T371" t="n">
        <v>14</v>
      </c>
      <c r="U371" t="inlineStr">
        <is>
          <t>2009-02-19</t>
        </is>
      </c>
      <c r="V371" t="inlineStr">
        <is>
          <t>2009-02-19</t>
        </is>
      </c>
      <c r="W371" t="inlineStr">
        <is>
          <t>2002-01-07</t>
        </is>
      </c>
      <c r="X371" t="inlineStr">
        <is>
          <t>2002-01-07</t>
        </is>
      </c>
      <c r="Y371" t="n">
        <v>924</v>
      </c>
      <c r="Z371" t="n">
        <v>840</v>
      </c>
      <c r="AA371" t="n">
        <v>1341</v>
      </c>
      <c r="AB371" t="n">
        <v>9</v>
      </c>
      <c r="AC371" t="n">
        <v>14</v>
      </c>
      <c r="AD371" t="n">
        <v>31</v>
      </c>
      <c r="AE371" t="n">
        <v>46</v>
      </c>
      <c r="AF371" t="n">
        <v>11</v>
      </c>
      <c r="AG371" t="n">
        <v>17</v>
      </c>
      <c r="AH371" t="n">
        <v>6</v>
      </c>
      <c r="AI371" t="n">
        <v>9</v>
      </c>
      <c r="AJ371" t="n">
        <v>13</v>
      </c>
      <c r="AK371" t="n">
        <v>21</v>
      </c>
      <c r="AL371" t="n">
        <v>7</v>
      </c>
      <c r="AM371" t="n">
        <v>10</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HYPERLINK("https://creighton-primo.hosted.exlibrisgroup.com/primo-explore/search?tab=default_tab&amp;search_scope=EVERYTHING&amp;vid=01CRU&amp;lang=en_US&amp;offset=0&amp;query=any,contains,991003661839702656","Catalog Record")</f>
        <v/>
      </c>
      <c r="AT371">
        <f>HYPERLINK("http://www.worldcat.org/oclc/43311873","WorldCat Record")</f>
        <v/>
      </c>
      <c r="AU371" t="inlineStr">
        <is>
          <t>799451631:eng</t>
        </is>
      </c>
      <c r="AV371" t="inlineStr">
        <is>
          <t>43311873</t>
        </is>
      </c>
      <c r="AW371" t="inlineStr">
        <is>
          <t>991003661839702656</t>
        </is>
      </c>
      <c r="AX371" t="inlineStr">
        <is>
          <t>991003661839702656</t>
        </is>
      </c>
      <c r="AY371" t="inlineStr">
        <is>
          <t>2270288530002656</t>
        </is>
      </c>
      <c r="AZ371" t="inlineStr">
        <is>
          <t>BOOK</t>
        </is>
      </c>
      <c r="BB371" t="inlineStr">
        <is>
          <t>9780849302121</t>
        </is>
      </c>
      <c r="BC371" t="inlineStr">
        <is>
          <t>32285004445135</t>
        </is>
      </c>
      <c r="BD371" t="inlineStr">
        <is>
          <t>893252600</t>
        </is>
      </c>
    </row>
    <row r="372">
      <c r="A372" t="inlineStr">
        <is>
          <t>No</t>
        </is>
      </c>
      <c r="B372" t="inlineStr">
        <is>
          <t>QL475.C3 P68</t>
        </is>
      </c>
      <c r="C372" t="inlineStr">
        <is>
          <t>0                      QL 0475000C  3                  P  68</t>
        </is>
      </c>
      <c r="D372" t="inlineStr">
        <is>
          <t>California insects / by Jerry A. Powell and Charles L. Hogue ; drawings by Charles L. Hogue.</t>
        </is>
      </c>
      <c r="F372" t="inlineStr">
        <is>
          <t>No</t>
        </is>
      </c>
      <c r="G372" t="inlineStr">
        <is>
          <t>1</t>
        </is>
      </c>
      <c r="H372" t="inlineStr">
        <is>
          <t>No</t>
        </is>
      </c>
      <c r="I372" t="inlineStr">
        <is>
          <t>No</t>
        </is>
      </c>
      <c r="J372" t="inlineStr">
        <is>
          <t>0</t>
        </is>
      </c>
      <c r="K372" t="inlineStr">
        <is>
          <t>Powell, Jerry A.</t>
        </is>
      </c>
      <c r="L372" t="inlineStr">
        <is>
          <t>Berkeley : University of California Press, c1979.</t>
        </is>
      </c>
      <c r="M372" t="inlineStr">
        <is>
          <t>1979</t>
        </is>
      </c>
      <c r="O372" t="inlineStr">
        <is>
          <t>eng</t>
        </is>
      </c>
      <c r="P372" t="inlineStr">
        <is>
          <t>cau</t>
        </is>
      </c>
      <c r="Q372" t="inlineStr">
        <is>
          <t>California natural history guides ; 44</t>
        </is>
      </c>
      <c r="R372" t="inlineStr">
        <is>
          <t xml:space="preserve">QL </t>
        </is>
      </c>
      <c r="S372" t="n">
        <v>2</v>
      </c>
      <c r="T372" t="n">
        <v>2</v>
      </c>
      <c r="U372" t="inlineStr">
        <is>
          <t>2005-02-27</t>
        </is>
      </c>
      <c r="V372" t="inlineStr">
        <is>
          <t>2005-02-27</t>
        </is>
      </c>
      <c r="W372" t="inlineStr">
        <is>
          <t>1993-05-26</t>
        </is>
      </c>
      <c r="X372" t="inlineStr">
        <is>
          <t>1993-05-26</t>
        </is>
      </c>
      <c r="Y372" t="n">
        <v>393</v>
      </c>
      <c r="Z372" t="n">
        <v>365</v>
      </c>
      <c r="AA372" t="n">
        <v>382</v>
      </c>
      <c r="AB372" t="n">
        <v>2</v>
      </c>
      <c r="AC372" t="n">
        <v>2</v>
      </c>
      <c r="AD372" t="n">
        <v>7</v>
      </c>
      <c r="AE372" t="n">
        <v>7</v>
      </c>
      <c r="AF372" t="n">
        <v>1</v>
      </c>
      <c r="AG372" t="n">
        <v>1</v>
      </c>
      <c r="AH372" t="n">
        <v>2</v>
      </c>
      <c r="AI372" t="n">
        <v>2</v>
      </c>
      <c r="AJ372" t="n">
        <v>5</v>
      </c>
      <c r="AK372" t="n">
        <v>5</v>
      </c>
      <c r="AL372" t="n">
        <v>1</v>
      </c>
      <c r="AM372" t="n">
        <v>1</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HYPERLINK("https://creighton-primo.hosted.exlibrisgroup.com/primo-explore/search?tab=default_tab&amp;search_scope=EVERYTHING&amp;vid=01CRU&amp;lang=en_US&amp;offset=0&amp;query=any,contains,991005000459702656","Catalog Record")</f>
        <v/>
      </c>
      <c r="AT372">
        <f>HYPERLINK("http://www.worldcat.org/oclc/6539734","WorldCat Record")</f>
        <v/>
      </c>
      <c r="AU372" t="inlineStr">
        <is>
          <t>503055909:eng</t>
        </is>
      </c>
      <c r="AV372" t="inlineStr">
        <is>
          <t>6539734</t>
        </is>
      </c>
      <c r="AW372" t="inlineStr">
        <is>
          <t>991005000459702656</t>
        </is>
      </c>
      <c r="AX372" t="inlineStr">
        <is>
          <t>991005000459702656</t>
        </is>
      </c>
      <c r="AY372" t="inlineStr">
        <is>
          <t>2261650930002656</t>
        </is>
      </c>
      <c r="AZ372" t="inlineStr">
        <is>
          <t>BOOK</t>
        </is>
      </c>
      <c r="BB372" t="inlineStr">
        <is>
          <t>9780520038066</t>
        </is>
      </c>
      <c r="BC372" t="inlineStr">
        <is>
          <t>32285001687044</t>
        </is>
      </c>
      <c r="BD372" t="inlineStr">
        <is>
          <t>893719640</t>
        </is>
      </c>
    </row>
    <row r="373">
      <c r="A373" t="inlineStr">
        <is>
          <t>No</t>
        </is>
      </c>
      <c r="B373" t="inlineStr">
        <is>
          <t>QL482.G8 G52 1995</t>
        </is>
      </c>
      <c r="C373" t="inlineStr">
        <is>
          <t>0                      QL 0482000G  8                  G  52          1995</t>
        </is>
      </c>
      <c r="D373" t="inlineStr">
        <is>
          <t>Field guide to the insects of Britain &amp; northern Europe / Bob Gibbons.</t>
        </is>
      </c>
      <c r="F373" t="inlineStr">
        <is>
          <t>No</t>
        </is>
      </c>
      <c r="G373" t="inlineStr">
        <is>
          <t>1</t>
        </is>
      </c>
      <c r="H373" t="inlineStr">
        <is>
          <t>No</t>
        </is>
      </c>
      <c r="I373" t="inlineStr">
        <is>
          <t>No</t>
        </is>
      </c>
      <c r="J373" t="inlineStr">
        <is>
          <t>0</t>
        </is>
      </c>
      <c r="K373" t="inlineStr">
        <is>
          <t>Gibbons, Bob, 1949-</t>
        </is>
      </c>
      <c r="L373" t="inlineStr">
        <is>
          <t>Marlborough, Wiltshire [England] : Crowood Press, 1995.</t>
        </is>
      </c>
      <c r="M373" t="inlineStr">
        <is>
          <t>1995</t>
        </is>
      </c>
      <c r="O373" t="inlineStr">
        <is>
          <t>eng</t>
        </is>
      </c>
      <c r="P373" t="inlineStr">
        <is>
          <t>enk</t>
        </is>
      </c>
      <c r="R373" t="inlineStr">
        <is>
          <t xml:space="preserve">QL </t>
        </is>
      </c>
      <c r="S373" t="n">
        <v>9</v>
      </c>
      <c r="T373" t="n">
        <v>9</v>
      </c>
      <c r="U373" t="inlineStr">
        <is>
          <t>2000-04-29</t>
        </is>
      </c>
      <c r="V373" t="inlineStr">
        <is>
          <t>2000-04-29</t>
        </is>
      </c>
      <c r="W373" t="inlineStr">
        <is>
          <t>1997-04-22</t>
        </is>
      </c>
      <c r="X373" t="inlineStr">
        <is>
          <t>1997-04-22</t>
        </is>
      </c>
      <c r="Y373" t="n">
        <v>94</v>
      </c>
      <c r="Z373" t="n">
        <v>34</v>
      </c>
      <c r="AA373" t="n">
        <v>49</v>
      </c>
      <c r="AB373" t="n">
        <v>1</v>
      </c>
      <c r="AC373" t="n">
        <v>2</v>
      </c>
      <c r="AD373" t="n">
        <v>0</v>
      </c>
      <c r="AE373" t="n">
        <v>2</v>
      </c>
      <c r="AF373" t="n">
        <v>0</v>
      </c>
      <c r="AG373" t="n">
        <v>1</v>
      </c>
      <c r="AH373" t="n">
        <v>0</v>
      </c>
      <c r="AI373" t="n">
        <v>1</v>
      </c>
      <c r="AJ373" t="n">
        <v>0</v>
      </c>
      <c r="AK373" t="n">
        <v>0</v>
      </c>
      <c r="AL373" t="n">
        <v>0</v>
      </c>
      <c r="AM373" t="n">
        <v>1</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HYPERLINK("https://creighton-primo.hosted.exlibrisgroup.com/primo-explore/search?tab=default_tab&amp;search_scope=EVERYTHING&amp;vid=01CRU&amp;lang=en_US&amp;offset=0&amp;query=any,contains,991002596019702656","Catalog Record")</f>
        <v/>
      </c>
      <c r="AT373">
        <f>HYPERLINK("http://www.worldcat.org/oclc/34596384","WorldCat Record")</f>
        <v/>
      </c>
      <c r="AU373" t="inlineStr">
        <is>
          <t>355495621:eng</t>
        </is>
      </c>
      <c r="AV373" t="inlineStr">
        <is>
          <t>34596384</t>
        </is>
      </c>
      <c r="AW373" t="inlineStr">
        <is>
          <t>991002596019702656</t>
        </is>
      </c>
      <c r="AX373" t="inlineStr">
        <is>
          <t>991002596019702656</t>
        </is>
      </c>
      <c r="AY373" t="inlineStr">
        <is>
          <t>2255165190002656</t>
        </is>
      </c>
      <c r="AZ373" t="inlineStr">
        <is>
          <t>BOOK</t>
        </is>
      </c>
      <c r="BB373" t="inlineStr">
        <is>
          <t>9781852238957</t>
        </is>
      </c>
      <c r="BC373" t="inlineStr">
        <is>
          <t>32285002499373</t>
        </is>
      </c>
      <c r="BD373" t="inlineStr">
        <is>
          <t>893898964</t>
        </is>
      </c>
    </row>
    <row r="374">
      <c r="A374" t="inlineStr">
        <is>
          <t>No</t>
        </is>
      </c>
      <c r="B374" t="inlineStr">
        <is>
          <t>QL482.G9 B42 1988</t>
        </is>
      </c>
      <c r="C374" t="inlineStr">
        <is>
          <t>0                      QL 0482000G  9                  B  42          1988</t>
        </is>
      </c>
      <c r="D374" t="inlineStr">
        <is>
          <t>Insects and other invertebrates in classical antiquity / by Ian C. Beavis.</t>
        </is>
      </c>
      <c r="F374" t="inlineStr">
        <is>
          <t>No</t>
        </is>
      </c>
      <c r="G374" t="inlineStr">
        <is>
          <t>1</t>
        </is>
      </c>
      <c r="H374" t="inlineStr">
        <is>
          <t>No</t>
        </is>
      </c>
      <c r="I374" t="inlineStr">
        <is>
          <t>No</t>
        </is>
      </c>
      <c r="J374" t="inlineStr">
        <is>
          <t>0</t>
        </is>
      </c>
      <c r="K374" t="inlineStr">
        <is>
          <t>Beavis, Ian C.</t>
        </is>
      </c>
      <c r="L374" t="inlineStr">
        <is>
          <t>Exeter, Devonshire : University of Exeter, 1988.</t>
        </is>
      </c>
      <c r="M374" t="inlineStr">
        <is>
          <t>1988</t>
        </is>
      </c>
      <c r="O374" t="inlineStr">
        <is>
          <t>eng</t>
        </is>
      </c>
      <c r="P374" t="inlineStr">
        <is>
          <t>enk</t>
        </is>
      </c>
      <c r="R374" t="inlineStr">
        <is>
          <t xml:space="preserve">QL </t>
        </is>
      </c>
      <c r="S374" t="n">
        <v>2</v>
      </c>
      <c r="T374" t="n">
        <v>2</v>
      </c>
      <c r="U374" t="inlineStr">
        <is>
          <t>1994-05-05</t>
        </is>
      </c>
      <c r="V374" t="inlineStr">
        <is>
          <t>1994-05-05</t>
        </is>
      </c>
      <c r="W374" t="inlineStr">
        <is>
          <t>1993-05-26</t>
        </is>
      </c>
      <c r="X374" t="inlineStr">
        <is>
          <t>1993-05-26</t>
        </is>
      </c>
      <c r="Y374" t="n">
        <v>145</v>
      </c>
      <c r="Z374" t="n">
        <v>77</v>
      </c>
      <c r="AA374" t="n">
        <v>294</v>
      </c>
      <c r="AB374" t="n">
        <v>1</v>
      </c>
      <c r="AC374" t="n">
        <v>1</v>
      </c>
      <c r="AD374" t="n">
        <v>3</v>
      </c>
      <c r="AE374" t="n">
        <v>15</v>
      </c>
      <c r="AF374" t="n">
        <v>0</v>
      </c>
      <c r="AG374" t="n">
        <v>7</v>
      </c>
      <c r="AH374" t="n">
        <v>0</v>
      </c>
      <c r="AI374" t="n">
        <v>4</v>
      </c>
      <c r="AJ374" t="n">
        <v>3</v>
      </c>
      <c r="AK374" t="n">
        <v>9</v>
      </c>
      <c r="AL374" t="n">
        <v>0</v>
      </c>
      <c r="AM374" t="n">
        <v>0</v>
      </c>
      <c r="AN374" t="n">
        <v>0</v>
      </c>
      <c r="AO374" t="n">
        <v>0</v>
      </c>
      <c r="AP374" t="inlineStr">
        <is>
          <t>No</t>
        </is>
      </c>
      <c r="AQ374" t="inlineStr">
        <is>
          <t>Yes</t>
        </is>
      </c>
      <c r="AR374">
        <f>HYPERLINK("http://catalog.hathitrust.org/Record/001070245","HathiTrust Record")</f>
        <v/>
      </c>
      <c r="AS374">
        <f>HYPERLINK("https://creighton-primo.hosted.exlibrisgroup.com/primo-explore/search?tab=default_tab&amp;search_scope=EVERYTHING&amp;vid=01CRU&amp;lang=en_US&amp;offset=0&amp;query=any,contains,991001329309702656","Catalog Record")</f>
        <v/>
      </c>
      <c r="AT374">
        <f>HYPERLINK("http://www.worldcat.org/oclc/18307018","WorldCat Record")</f>
        <v/>
      </c>
      <c r="AU374" t="inlineStr">
        <is>
          <t>636944:eng</t>
        </is>
      </c>
      <c r="AV374" t="inlineStr">
        <is>
          <t>18307018</t>
        </is>
      </c>
      <c r="AW374" t="inlineStr">
        <is>
          <t>991001329309702656</t>
        </is>
      </c>
      <c r="AX374" t="inlineStr">
        <is>
          <t>991001329309702656</t>
        </is>
      </c>
      <c r="AY374" t="inlineStr">
        <is>
          <t>2264014390002656</t>
        </is>
      </c>
      <c r="AZ374" t="inlineStr">
        <is>
          <t>BOOK</t>
        </is>
      </c>
      <c r="BB374" t="inlineStr">
        <is>
          <t>9780859892841</t>
        </is>
      </c>
      <c r="BC374" t="inlineStr">
        <is>
          <t>32285001687069</t>
        </is>
      </c>
      <c r="BD374" t="inlineStr">
        <is>
          <t>893238046</t>
        </is>
      </c>
    </row>
    <row r="375">
      <c r="A375" t="inlineStr">
        <is>
          <t>No</t>
        </is>
      </c>
      <c r="B375" t="inlineStr">
        <is>
          <t>QL487 .I5 1991</t>
        </is>
      </c>
      <c r="C375" t="inlineStr">
        <is>
          <t>0                      QL 0487000I  5           1991</t>
        </is>
      </c>
      <c r="D375" t="inlineStr">
        <is>
          <t>The Insects of Australia : a textbook for students and research workers / Division of Entomology, Commonwealth Scientific and Industrial Research Organisation.</t>
        </is>
      </c>
      <c r="E375" t="inlineStr">
        <is>
          <t>V.1</t>
        </is>
      </c>
      <c r="F375" t="inlineStr">
        <is>
          <t>Yes</t>
        </is>
      </c>
      <c r="G375" t="inlineStr">
        <is>
          <t>1</t>
        </is>
      </c>
      <c r="H375" t="inlineStr">
        <is>
          <t>No</t>
        </is>
      </c>
      <c r="I375" t="inlineStr">
        <is>
          <t>No</t>
        </is>
      </c>
      <c r="J375" t="inlineStr">
        <is>
          <t>0</t>
        </is>
      </c>
      <c r="L375" t="inlineStr">
        <is>
          <t>Ithaca, N.Y. : Cornell University Press, 1991.</t>
        </is>
      </c>
      <c r="M375" t="inlineStr">
        <is>
          <t>1991</t>
        </is>
      </c>
      <c r="N375" t="inlineStr">
        <is>
          <t>2nd ed.</t>
        </is>
      </c>
      <c r="O375" t="inlineStr">
        <is>
          <t>eng</t>
        </is>
      </c>
      <c r="P375" t="inlineStr">
        <is>
          <t>nyu</t>
        </is>
      </c>
      <c r="R375" t="inlineStr">
        <is>
          <t xml:space="preserve">QL </t>
        </is>
      </c>
      <c r="S375" t="n">
        <v>3</v>
      </c>
      <c r="T375" t="n">
        <v>5</v>
      </c>
      <c r="U375" t="inlineStr">
        <is>
          <t>1996-02-12</t>
        </is>
      </c>
      <c r="V375" t="inlineStr">
        <is>
          <t>1996-02-12</t>
        </is>
      </c>
      <c r="W375" t="inlineStr">
        <is>
          <t>1992-09-23</t>
        </is>
      </c>
      <c r="X375" t="inlineStr">
        <is>
          <t>1992-09-23</t>
        </is>
      </c>
      <c r="Y375" t="n">
        <v>160</v>
      </c>
      <c r="Z375" t="n">
        <v>127</v>
      </c>
      <c r="AA375" t="n">
        <v>353</v>
      </c>
      <c r="AB375" t="n">
        <v>3</v>
      </c>
      <c r="AC375" t="n">
        <v>7</v>
      </c>
      <c r="AD375" t="n">
        <v>8</v>
      </c>
      <c r="AE375" t="n">
        <v>18</v>
      </c>
      <c r="AF375" t="n">
        <v>0</v>
      </c>
      <c r="AG375" t="n">
        <v>5</v>
      </c>
      <c r="AH375" t="n">
        <v>2</v>
      </c>
      <c r="AI375" t="n">
        <v>2</v>
      </c>
      <c r="AJ375" t="n">
        <v>5</v>
      </c>
      <c r="AK375" t="n">
        <v>8</v>
      </c>
      <c r="AL375" t="n">
        <v>2</v>
      </c>
      <c r="AM375" t="n">
        <v>6</v>
      </c>
      <c r="AN375" t="n">
        <v>0</v>
      </c>
      <c r="AO375" t="n">
        <v>0</v>
      </c>
      <c r="AP375" t="inlineStr">
        <is>
          <t>No</t>
        </is>
      </c>
      <c r="AQ375" t="inlineStr">
        <is>
          <t>Yes</t>
        </is>
      </c>
      <c r="AR375">
        <f>HYPERLINK("http://catalog.hathitrust.org/Record/002505419","HathiTrust Record")</f>
        <v/>
      </c>
      <c r="AS375">
        <f>HYPERLINK("https://creighton-primo.hosted.exlibrisgroup.com/primo-explore/search?tab=default_tab&amp;search_scope=EVERYTHING&amp;vid=01CRU&amp;lang=en_US&amp;offset=0&amp;query=any,contains,991001846289702656","Catalog Record")</f>
        <v/>
      </c>
      <c r="AT375">
        <f>HYPERLINK("http://www.worldcat.org/oclc/23178975","WorldCat Record")</f>
        <v/>
      </c>
      <c r="AU375" t="inlineStr">
        <is>
          <t>824140382:eng</t>
        </is>
      </c>
      <c r="AV375" t="inlineStr">
        <is>
          <t>23178975</t>
        </is>
      </c>
      <c r="AW375" t="inlineStr">
        <is>
          <t>991001846289702656</t>
        </is>
      </c>
      <c r="AX375" t="inlineStr">
        <is>
          <t>991001846289702656</t>
        </is>
      </c>
      <c r="AY375" t="inlineStr">
        <is>
          <t>2262497840002656</t>
        </is>
      </c>
      <c r="AZ375" t="inlineStr">
        <is>
          <t>BOOK</t>
        </is>
      </c>
      <c r="BB375" t="inlineStr">
        <is>
          <t>9780801426704</t>
        </is>
      </c>
      <c r="BC375" t="inlineStr">
        <is>
          <t>32285001289098</t>
        </is>
      </c>
      <c r="BD375" t="inlineStr">
        <is>
          <t>893316109</t>
        </is>
      </c>
    </row>
    <row r="376">
      <c r="A376" t="inlineStr">
        <is>
          <t>No</t>
        </is>
      </c>
      <c r="B376" t="inlineStr">
        <is>
          <t>QL487 .I5 1991</t>
        </is>
      </c>
      <c r="C376" t="inlineStr">
        <is>
          <t>0                      QL 0487000I  5           1991</t>
        </is>
      </c>
      <c r="D376" t="inlineStr">
        <is>
          <t>The Insects of Australia : a textbook for students and research workers / Division of Entomology, Commonwealth Scientific and Industrial Research Organisation.</t>
        </is>
      </c>
      <c r="E376" t="inlineStr">
        <is>
          <t>V.2</t>
        </is>
      </c>
      <c r="F376" t="inlineStr">
        <is>
          <t>Yes</t>
        </is>
      </c>
      <c r="G376" t="inlineStr">
        <is>
          <t>1</t>
        </is>
      </c>
      <c r="H376" t="inlineStr">
        <is>
          <t>No</t>
        </is>
      </c>
      <c r="I376" t="inlineStr">
        <is>
          <t>No</t>
        </is>
      </c>
      <c r="J376" t="inlineStr">
        <is>
          <t>0</t>
        </is>
      </c>
      <c r="L376" t="inlineStr">
        <is>
          <t>Ithaca, N.Y. : Cornell University Press, 1991.</t>
        </is>
      </c>
      <c r="M376" t="inlineStr">
        <is>
          <t>1991</t>
        </is>
      </c>
      <c r="N376" t="inlineStr">
        <is>
          <t>2nd ed.</t>
        </is>
      </c>
      <c r="O376" t="inlineStr">
        <is>
          <t>eng</t>
        </is>
      </c>
      <c r="P376" t="inlineStr">
        <is>
          <t>nyu</t>
        </is>
      </c>
      <c r="R376" t="inlineStr">
        <is>
          <t xml:space="preserve">QL </t>
        </is>
      </c>
      <c r="S376" t="n">
        <v>2</v>
      </c>
      <c r="T376" t="n">
        <v>5</v>
      </c>
      <c r="U376" t="inlineStr">
        <is>
          <t>1996-02-12</t>
        </is>
      </c>
      <c r="V376" t="inlineStr">
        <is>
          <t>1996-02-12</t>
        </is>
      </c>
      <c r="W376" t="inlineStr">
        <is>
          <t>1992-09-23</t>
        </is>
      </c>
      <c r="X376" t="inlineStr">
        <is>
          <t>1992-09-23</t>
        </is>
      </c>
      <c r="Y376" t="n">
        <v>160</v>
      </c>
      <c r="Z376" t="n">
        <v>127</v>
      </c>
      <c r="AA376" t="n">
        <v>353</v>
      </c>
      <c r="AB376" t="n">
        <v>3</v>
      </c>
      <c r="AC376" t="n">
        <v>7</v>
      </c>
      <c r="AD376" t="n">
        <v>8</v>
      </c>
      <c r="AE376" t="n">
        <v>18</v>
      </c>
      <c r="AF376" t="n">
        <v>0</v>
      </c>
      <c r="AG376" t="n">
        <v>5</v>
      </c>
      <c r="AH376" t="n">
        <v>2</v>
      </c>
      <c r="AI376" t="n">
        <v>2</v>
      </c>
      <c r="AJ376" t="n">
        <v>5</v>
      </c>
      <c r="AK376" t="n">
        <v>8</v>
      </c>
      <c r="AL376" t="n">
        <v>2</v>
      </c>
      <c r="AM376" t="n">
        <v>6</v>
      </c>
      <c r="AN376" t="n">
        <v>0</v>
      </c>
      <c r="AO376" t="n">
        <v>0</v>
      </c>
      <c r="AP376" t="inlineStr">
        <is>
          <t>No</t>
        </is>
      </c>
      <c r="AQ376" t="inlineStr">
        <is>
          <t>Yes</t>
        </is>
      </c>
      <c r="AR376">
        <f>HYPERLINK("http://catalog.hathitrust.org/Record/002505419","HathiTrust Record")</f>
        <v/>
      </c>
      <c r="AS376">
        <f>HYPERLINK("https://creighton-primo.hosted.exlibrisgroup.com/primo-explore/search?tab=default_tab&amp;search_scope=EVERYTHING&amp;vid=01CRU&amp;lang=en_US&amp;offset=0&amp;query=any,contains,991001846289702656","Catalog Record")</f>
        <v/>
      </c>
      <c r="AT376">
        <f>HYPERLINK("http://www.worldcat.org/oclc/23178975","WorldCat Record")</f>
        <v/>
      </c>
      <c r="AU376" t="inlineStr">
        <is>
          <t>824140382:eng</t>
        </is>
      </c>
      <c r="AV376" t="inlineStr">
        <is>
          <t>23178975</t>
        </is>
      </c>
      <c r="AW376" t="inlineStr">
        <is>
          <t>991001846289702656</t>
        </is>
      </c>
      <c r="AX376" t="inlineStr">
        <is>
          <t>991001846289702656</t>
        </is>
      </c>
      <c r="AY376" t="inlineStr">
        <is>
          <t>2262497840002656</t>
        </is>
      </c>
      <c r="AZ376" t="inlineStr">
        <is>
          <t>BOOK</t>
        </is>
      </c>
      <c r="BB376" t="inlineStr">
        <is>
          <t>9780801426704</t>
        </is>
      </c>
      <c r="BC376" t="inlineStr">
        <is>
          <t>32285001289106</t>
        </is>
      </c>
      <c r="BD376" t="inlineStr">
        <is>
          <t>893316108</t>
        </is>
      </c>
    </row>
    <row r="377">
      <c r="A377" t="inlineStr">
        <is>
          <t>No</t>
        </is>
      </c>
      <c r="B377" t="inlineStr">
        <is>
          <t>QL487 .N48 1984</t>
        </is>
      </c>
      <c r="C377" t="inlineStr">
        <is>
          <t>0                      QL 0487000N  48          1984</t>
        </is>
      </c>
      <c r="D377" t="inlineStr">
        <is>
          <t>Insect conservation : an Australian perspective / by T.R. New.</t>
        </is>
      </c>
      <c r="F377" t="inlineStr">
        <is>
          <t>No</t>
        </is>
      </c>
      <c r="G377" t="inlineStr">
        <is>
          <t>1</t>
        </is>
      </c>
      <c r="H377" t="inlineStr">
        <is>
          <t>No</t>
        </is>
      </c>
      <c r="I377" t="inlineStr">
        <is>
          <t>No</t>
        </is>
      </c>
      <c r="J377" t="inlineStr">
        <is>
          <t>0</t>
        </is>
      </c>
      <c r="K377" t="inlineStr">
        <is>
          <t>New, T. R.</t>
        </is>
      </c>
      <c r="L377" t="inlineStr">
        <is>
          <t>Dordrecht [Netherlands] ; Boston : W. Junk ; Hingham, MA, USA : Distributors for the U.S. and Canada, 1984.</t>
        </is>
      </c>
      <c r="M377" t="inlineStr">
        <is>
          <t>1984</t>
        </is>
      </c>
      <c r="O377" t="inlineStr">
        <is>
          <t>eng</t>
        </is>
      </c>
      <c r="P377" t="inlineStr">
        <is>
          <t xml:space="preserve">ne </t>
        </is>
      </c>
      <c r="Q377" t="inlineStr">
        <is>
          <t>Series entomologica ; vol. 32</t>
        </is>
      </c>
      <c r="R377" t="inlineStr">
        <is>
          <t xml:space="preserve">QL </t>
        </is>
      </c>
      <c r="S377" t="n">
        <v>10</v>
      </c>
      <c r="T377" t="n">
        <v>10</v>
      </c>
      <c r="U377" t="inlineStr">
        <is>
          <t>1999-12-05</t>
        </is>
      </c>
      <c r="V377" t="inlineStr">
        <is>
          <t>1999-12-05</t>
        </is>
      </c>
      <c r="W377" t="inlineStr">
        <is>
          <t>1996-11-01</t>
        </is>
      </c>
      <c r="X377" t="inlineStr">
        <is>
          <t>1996-11-01</t>
        </is>
      </c>
      <c r="Y377" t="n">
        <v>175</v>
      </c>
      <c r="Z377" t="n">
        <v>100</v>
      </c>
      <c r="AA377" t="n">
        <v>102</v>
      </c>
      <c r="AB377" t="n">
        <v>2</v>
      </c>
      <c r="AC377" t="n">
        <v>2</v>
      </c>
      <c r="AD377" t="n">
        <v>3</v>
      </c>
      <c r="AE377" t="n">
        <v>3</v>
      </c>
      <c r="AF377" t="n">
        <v>0</v>
      </c>
      <c r="AG377" t="n">
        <v>0</v>
      </c>
      <c r="AH377" t="n">
        <v>2</v>
      </c>
      <c r="AI377" t="n">
        <v>2</v>
      </c>
      <c r="AJ377" t="n">
        <v>1</v>
      </c>
      <c r="AK377" t="n">
        <v>1</v>
      </c>
      <c r="AL377" t="n">
        <v>1</v>
      </c>
      <c r="AM377" t="n">
        <v>1</v>
      </c>
      <c r="AN377" t="n">
        <v>0</v>
      </c>
      <c r="AO377" t="n">
        <v>0</v>
      </c>
      <c r="AP377" t="inlineStr">
        <is>
          <t>No</t>
        </is>
      </c>
      <c r="AQ377" t="inlineStr">
        <is>
          <t>Yes</t>
        </is>
      </c>
      <c r="AR377">
        <f>HYPERLINK("http://catalog.hathitrust.org/Record/000406116","HathiTrust Record")</f>
        <v/>
      </c>
      <c r="AS377">
        <f>HYPERLINK("https://creighton-primo.hosted.exlibrisgroup.com/primo-explore/search?tab=default_tab&amp;search_scope=EVERYTHING&amp;vid=01CRU&amp;lang=en_US&amp;offset=0&amp;query=any,contains,991000475509702656","Catalog Record")</f>
        <v/>
      </c>
      <c r="AT377">
        <f>HYPERLINK("http://www.worldcat.org/oclc/11029579","WorldCat Record")</f>
        <v/>
      </c>
      <c r="AU377" t="inlineStr">
        <is>
          <t>2260835925:eng</t>
        </is>
      </c>
      <c r="AV377" t="inlineStr">
        <is>
          <t>11029579</t>
        </is>
      </c>
      <c r="AW377" t="inlineStr">
        <is>
          <t>991000475509702656</t>
        </is>
      </c>
      <c r="AX377" t="inlineStr">
        <is>
          <t>991000475509702656</t>
        </is>
      </c>
      <c r="AY377" t="inlineStr">
        <is>
          <t>2266026860002656</t>
        </is>
      </c>
      <c r="AZ377" t="inlineStr">
        <is>
          <t>BOOK</t>
        </is>
      </c>
      <c r="BB377" t="inlineStr">
        <is>
          <t>9789061935070</t>
        </is>
      </c>
      <c r="BC377" t="inlineStr">
        <is>
          <t>32285002370889</t>
        </is>
      </c>
      <c r="BD377" t="inlineStr">
        <is>
          <t>893339575</t>
        </is>
      </c>
    </row>
    <row r="378">
      <c r="A378" t="inlineStr">
        <is>
          <t>No</t>
        </is>
      </c>
      <c r="B378" t="inlineStr">
        <is>
          <t>QL487 .N49 1996</t>
        </is>
      </c>
      <c r="C378" t="inlineStr">
        <is>
          <t>0                      QL 0487000N  49          1996</t>
        </is>
      </c>
      <c r="D378" t="inlineStr">
        <is>
          <t>Name that insect : a guide to the insects of Southeastern Australia / T.R. New.</t>
        </is>
      </c>
      <c r="F378" t="inlineStr">
        <is>
          <t>No</t>
        </is>
      </c>
      <c r="G378" t="inlineStr">
        <is>
          <t>1</t>
        </is>
      </c>
      <c r="H378" t="inlineStr">
        <is>
          <t>No</t>
        </is>
      </c>
      <c r="I378" t="inlineStr">
        <is>
          <t>No</t>
        </is>
      </c>
      <c r="J378" t="inlineStr">
        <is>
          <t>0</t>
        </is>
      </c>
      <c r="K378" t="inlineStr">
        <is>
          <t>New, T. R.</t>
        </is>
      </c>
      <c r="L378" t="inlineStr">
        <is>
          <t>Melbourne ; New York : Oxford University Press, 1996.</t>
        </is>
      </c>
      <c r="M378" t="inlineStr">
        <is>
          <t>1996</t>
        </is>
      </c>
      <c r="O378" t="inlineStr">
        <is>
          <t>eng</t>
        </is>
      </c>
      <c r="P378" t="inlineStr">
        <is>
          <t xml:space="preserve">at </t>
        </is>
      </c>
      <c r="R378" t="inlineStr">
        <is>
          <t xml:space="preserve">QL </t>
        </is>
      </c>
      <c r="S378" t="n">
        <v>2</v>
      </c>
      <c r="T378" t="n">
        <v>2</v>
      </c>
      <c r="U378" t="inlineStr">
        <is>
          <t>2008-05-19</t>
        </is>
      </c>
      <c r="V378" t="inlineStr">
        <is>
          <t>2008-05-19</t>
        </is>
      </c>
      <c r="W378" t="inlineStr">
        <is>
          <t>1997-05-06</t>
        </is>
      </c>
      <c r="X378" t="inlineStr">
        <is>
          <t>1997-05-06</t>
        </is>
      </c>
      <c r="Y378" t="n">
        <v>130</v>
      </c>
      <c r="Z378" t="n">
        <v>43</v>
      </c>
      <c r="AA378" t="n">
        <v>44</v>
      </c>
      <c r="AB378" t="n">
        <v>1</v>
      </c>
      <c r="AC378" t="n">
        <v>1</v>
      </c>
      <c r="AD378" t="n">
        <v>1</v>
      </c>
      <c r="AE378" t="n">
        <v>1</v>
      </c>
      <c r="AF378" t="n">
        <v>0</v>
      </c>
      <c r="AG378" t="n">
        <v>0</v>
      </c>
      <c r="AH378" t="n">
        <v>0</v>
      </c>
      <c r="AI378" t="n">
        <v>0</v>
      </c>
      <c r="AJ378" t="n">
        <v>1</v>
      </c>
      <c r="AK378" t="n">
        <v>1</v>
      </c>
      <c r="AL378" t="n">
        <v>0</v>
      </c>
      <c r="AM378" t="n">
        <v>0</v>
      </c>
      <c r="AN378" t="n">
        <v>0</v>
      </c>
      <c r="AO378" t="n">
        <v>0</v>
      </c>
      <c r="AP378" t="inlineStr">
        <is>
          <t>No</t>
        </is>
      </c>
      <c r="AQ378" t="inlineStr">
        <is>
          <t>Yes</t>
        </is>
      </c>
      <c r="AR378">
        <f>HYPERLINK("http://catalog.hathitrust.org/Record/004044466","HathiTrust Record")</f>
        <v/>
      </c>
      <c r="AS378">
        <f>HYPERLINK("https://creighton-primo.hosted.exlibrisgroup.com/primo-explore/search?tab=default_tab&amp;search_scope=EVERYTHING&amp;vid=01CRU&amp;lang=en_US&amp;offset=0&amp;query=any,contains,991002768709702656","Catalog Record")</f>
        <v/>
      </c>
      <c r="AT378">
        <f>HYPERLINK("http://www.worldcat.org/oclc/36332716","WorldCat Record")</f>
        <v/>
      </c>
      <c r="AU378" t="inlineStr">
        <is>
          <t>923584823:eng</t>
        </is>
      </c>
      <c r="AV378" t="inlineStr">
        <is>
          <t>36332716</t>
        </is>
      </c>
      <c r="AW378" t="inlineStr">
        <is>
          <t>991002768709702656</t>
        </is>
      </c>
      <c r="AX378" t="inlineStr">
        <is>
          <t>991002768709702656</t>
        </is>
      </c>
      <c r="AY378" t="inlineStr">
        <is>
          <t>2269831100002656</t>
        </is>
      </c>
      <c r="AZ378" t="inlineStr">
        <is>
          <t>BOOK</t>
        </is>
      </c>
      <c r="BB378" t="inlineStr">
        <is>
          <t>9780195537826</t>
        </is>
      </c>
      <c r="BC378" t="inlineStr">
        <is>
          <t>32285002544897</t>
        </is>
      </c>
      <c r="BD378" t="inlineStr">
        <is>
          <t>893892979</t>
        </is>
      </c>
    </row>
    <row r="379">
      <c r="A379" t="inlineStr">
        <is>
          <t>No</t>
        </is>
      </c>
      <c r="B379" t="inlineStr">
        <is>
          <t>QL489.H3 Z5</t>
        </is>
      </c>
      <c r="C379" t="inlineStr">
        <is>
          <t>0                      QL 0489000H  3                  Z  5</t>
        </is>
      </c>
      <c r="D379" t="inlineStr">
        <is>
          <t>Insects of Hawaii; a manual of the insects of the Hawaiian Islands, including an enumeration of the species and notes on their origin, distribution, hosts, parasites, etc.</t>
        </is>
      </c>
      <c r="E379" t="inlineStr">
        <is>
          <t>V.17</t>
        </is>
      </c>
      <c r="F379" t="inlineStr">
        <is>
          <t>Yes</t>
        </is>
      </c>
      <c r="G379" t="inlineStr">
        <is>
          <t>1</t>
        </is>
      </c>
      <c r="H379" t="inlineStr">
        <is>
          <t>No</t>
        </is>
      </c>
      <c r="I379" t="inlineStr">
        <is>
          <t>No</t>
        </is>
      </c>
      <c r="J379" t="inlineStr">
        <is>
          <t>0</t>
        </is>
      </c>
      <c r="L379" t="inlineStr">
        <is>
          <t>Honolulu, University of Hawaii Press, 1948-&lt;c2003&gt;</t>
        </is>
      </c>
      <c r="M379" t="inlineStr">
        <is>
          <t>1948</t>
        </is>
      </c>
      <c r="O379" t="inlineStr">
        <is>
          <t>eng</t>
        </is>
      </c>
      <c r="P379" t="inlineStr">
        <is>
          <t>hiu</t>
        </is>
      </c>
      <c r="R379" t="inlineStr">
        <is>
          <t xml:space="preserve">QL </t>
        </is>
      </c>
      <c r="S379" t="n">
        <v>2</v>
      </c>
      <c r="T379" t="n">
        <v>4</v>
      </c>
      <c r="U379" t="inlineStr">
        <is>
          <t>2010-04-11</t>
        </is>
      </c>
      <c r="V379" t="inlineStr">
        <is>
          <t>2010-04-11</t>
        </is>
      </c>
      <c r="W379" t="inlineStr">
        <is>
          <t>2010-04-06</t>
        </is>
      </c>
      <c r="X379" t="inlineStr">
        <is>
          <t>2010-04-06</t>
        </is>
      </c>
      <c r="Y379" t="n">
        <v>299</v>
      </c>
      <c r="Z379" t="n">
        <v>243</v>
      </c>
      <c r="AA379" t="n">
        <v>279</v>
      </c>
      <c r="AB379" t="n">
        <v>2</v>
      </c>
      <c r="AC379" t="n">
        <v>2</v>
      </c>
      <c r="AD379" t="n">
        <v>4</v>
      </c>
      <c r="AE379" t="n">
        <v>4</v>
      </c>
      <c r="AF379" t="n">
        <v>1</v>
      </c>
      <c r="AG379" t="n">
        <v>1</v>
      </c>
      <c r="AH379" t="n">
        <v>1</v>
      </c>
      <c r="AI379" t="n">
        <v>1</v>
      </c>
      <c r="AJ379" t="n">
        <v>1</v>
      </c>
      <c r="AK379" t="n">
        <v>1</v>
      </c>
      <c r="AL379" t="n">
        <v>1</v>
      </c>
      <c r="AM379" t="n">
        <v>1</v>
      </c>
      <c r="AN379" t="n">
        <v>0</v>
      </c>
      <c r="AO379" t="n">
        <v>0</v>
      </c>
      <c r="AP379" t="inlineStr">
        <is>
          <t>Yes</t>
        </is>
      </c>
      <c r="AQ379" t="inlineStr">
        <is>
          <t>Yes</t>
        </is>
      </c>
      <c r="AR379">
        <f>HYPERLINK("http://catalog.hathitrust.org/Record/001500088","HathiTrust Record")</f>
        <v/>
      </c>
      <c r="AS379">
        <f>HYPERLINK("https://creighton-primo.hosted.exlibrisgroup.com/primo-explore/search?tab=default_tab&amp;search_scope=EVERYTHING&amp;vid=01CRU&amp;lang=en_US&amp;offset=0&amp;query=any,contains,991003506949702656","Catalog Record")</f>
        <v/>
      </c>
      <c r="AT379">
        <f>HYPERLINK("http://www.worldcat.org/oclc/1059198","WorldCat Record")</f>
        <v/>
      </c>
      <c r="AU379" t="inlineStr">
        <is>
          <t>910812081:eng</t>
        </is>
      </c>
      <c r="AV379" t="inlineStr">
        <is>
          <t>1059198</t>
        </is>
      </c>
      <c r="AW379" t="inlineStr">
        <is>
          <t>991003506949702656</t>
        </is>
      </c>
      <c r="AX379" t="inlineStr">
        <is>
          <t>991003506949702656</t>
        </is>
      </c>
      <c r="AY379" t="inlineStr">
        <is>
          <t>2262728440002656</t>
        </is>
      </c>
      <c r="AZ379" t="inlineStr">
        <is>
          <t>BOOK</t>
        </is>
      </c>
      <c r="BB379" t="inlineStr">
        <is>
          <t>9780824823566</t>
        </is>
      </c>
      <c r="BC379" t="inlineStr">
        <is>
          <t>32285005562185</t>
        </is>
      </c>
      <c r="BD379" t="inlineStr">
        <is>
          <t>893904391</t>
        </is>
      </c>
    </row>
    <row r="380">
      <c r="A380" t="inlineStr">
        <is>
          <t>No</t>
        </is>
      </c>
      <c r="B380" t="inlineStr">
        <is>
          <t>QL489.H3 Z5</t>
        </is>
      </c>
      <c r="C380" t="inlineStr">
        <is>
          <t>0                      QL 0489000H  3                  Z  5</t>
        </is>
      </c>
      <c r="D380" t="inlineStr">
        <is>
          <t>Insects of Hawaii; a manual of the insects of the Hawaiian Islands, including an enumeration of the species and notes on their origin, distribution, hosts, parasites, etc.</t>
        </is>
      </c>
      <c r="E380" t="inlineStr">
        <is>
          <t>V.13</t>
        </is>
      </c>
      <c r="F380" t="inlineStr">
        <is>
          <t>Yes</t>
        </is>
      </c>
      <c r="G380" t="inlineStr">
        <is>
          <t>1</t>
        </is>
      </c>
      <c r="H380" t="inlineStr">
        <is>
          <t>No</t>
        </is>
      </c>
      <c r="I380" t="inlineStr">
        <is>
          <t>No</t>
        </is>
      </c>
      <c r="J380" t="inlineStr">
        <is>
          <t>0</t>
        </is>
      </c>
      <c r="L380" t="inlineStr">
        <is>
          <t>Honolulu, University of Hawaii Press, 1948-&lt;c2003&gt;</t>
        </is>
      </c>
      <c r="M380" t="inlineStr">
        <is>
          <t>1948</t>
        </is>
      </c>
      <c r="O380" t="inlineStr">
        <is>
          <t>eng</t>
        </is>
      </c>
      <c r="P380" t="inlineStr">
        <is>
          <t>hiu</t>
        </is>
      </c>
      <c r="R380" t="inlineStr">
        <is>
          <t xml:space="preserve">QL </t>
        </is>
      </c>
      <c r="S380" t="n">
        <v>2</v>
      </c>
      <c r="T380" t="n">
        <v>4</v>
      </c>
      <c r="U380" t="inlineStr">
        <is>
          <t>2007-02-05</t>
        </is>
      </c>
      <c r="V380" t="inlineStr">
        <is>
          <t>2010-04-11</t>
        </is>
      </c>
      <c r="W380" t="inlineStr">
        <is>
          <t>1993-05-27</t>
        </is>
      </c>
      <c r="X380" t="inlineStr">
        <is>
          <t>2010-04-06</t>
        </is>
      </c>
      <c r="Y380" t="n">
        <v>299</v>
      </c>
      <c r="Z380" t="n">
        <v>243</v>
      </c>
      <c r="AA380" t="n">
        <v>279</v>
      </c>
      <c r="AB380" t="n">
        <v>2</v>
      </c>
      <c r="AC380" t="n">
        <v>2</v>
      </c>
      <c r="AD380" t="n">
        <v>4</v>
      </c>
      <c r="AE380" t="n">
        <v>4</v>
      </c>
      <c r="AF380" t="n">
        <v>1</v>
      </c>
      <c r="AG380" t="n">
        <v>1</v>
      </c>
      <c r="AH380" t="n">
        <v>1</v>
      </c>
      <c r="AI380" t="n">
        <v>1</v>
      </c>
      <c r="AJ380" t="n">
        <v>1</v>
      </c>
      <c r="AK380" t="n">
        <v>1</v>
      </c>
      <c r="AL380" t="n">
        <v>1</v>
      </c>
      <c r="AM380" t="n">
        <v>1</v>
      </c>
      <c r="AN380" t="n">
        <v>0</v>
      </c>
      <c r="AO380" t="n">
        <v>0</v>
      </c>
      <c r="AP380" t="inlineStr">
        <is>
          <t>Yes</t>
        </is>
      </c>
      <c r="AQ380" t="inlineStr">
        <is>
          <t>Yes</t>
        </is>
      </c>
      <c r="AR380">
        <f>HYPERLINK("http://catalog.hathitrust.org/Record/001500088","HathiTrust Record")</f>
        <v/>
      </c>
      <c r="AS380">
        <f>HYPERLINK("https://creighton-primo.hosted.exlibrisgroup.com/primo-explore/search?tab=default_tab&amp;search_scope=EVERYTHING&amp;vid=01CRU&amp;lang=en_US&amp;offset=0&amp;query=any,contains,991003506949702656","Catalog Record")</f>
        <v/>
      </c>
      <c r="AT380">
        <f>HYPERLINK("http://www.worldcat.org/oclc/1059198","WorldCat Record")</f>
        <v/>
      </c>
      <c r="AU380" t="inlineStr">
        <is>
          <t>910812081:eng</t>
        </is>
      </c>
      <c r="AV380" t="inlineStr">
        <is>
          <t>1059198</t>
        </is>
      </c>
      <c r="AW380" t="inlineStr">
        <is>
          <t>991003506949702656</t>
        </is>
      </c>
      <c r="AX380" t="inlineStr">
        <is>
          <t>991003506949702656</t>
        </is>
      </c>
      <c r="AY380" t="inlineStr">
        <is>
          <t>2262728440002656</t>
        </is>
      </c>
      <c r="AZ380" t="inlineStr">
        <is>
          <t>BOOK</t>
        </is>
      </c>
      <c r="BB380" t="inlineStr">
        <is>
          <t>9780824823566</t>
        </is>
      </c>
      <c r="BC380" t="inlineStr">
        <is>
          <t>32285001687093</t>
        </is>
      </c>
      <c r="BD380" t="inlineStr">
        <is>
          <t>893900041</t>
        </is>
      </c>
    </row>
    <row r="381">
      <c r="A381" t="inlineStr">
        <is>
          <t>No</t>
        </is>
      </c>
      <c r="B381" t="inlineStr">
        <is>
          <t>QL491.6 .Y68 1982</t>
        </is>
      </c>
      <c r="C381" t="inlineStr">
        <is>
          <t>0                      QL 0491600Y  68          1982</t>
        </is>
      </c>
      <c r="D381" t="inlineStr">
        <is>
          <t>Population biology of tropical insects / Allen M. Young.</t>
        </is>
      </c>
      <c r="F381" t="inlineStr">
        <is>
          <t>No</t>
        </is>
      </c>
      <c r="G381" t="inlineStr">
        <is>
          <t>1</t>
        </is>
      </c>
      <c r="H381" t="inlineStr">
        <is>
          <t>No</t>
        </is>
      </c>
      <c r="I381" t="inlineStr">
        <is>
          <t>No</t>
        </is>
      </c>
      <c r="J381" t="inlineStr">
        <is>
          <t>0</t>
        </is>
      </c>
      <c r="K381" t="inlineStr">
        <is>
          <t>Young, Allen M.</t>
        </is>
      </c>
      <c r="L381" t="inlineStr">
        <is>
          <t>New York : Plenum Press, c1982.</t>
        </is>
      </c>
      <c r="M381" t="inlineStr">
        <is>
          <t>1982</t>
        </is>
      </c>
      <c r="O381" t="inlineStr">
        <is>
          <t>eng</t>
        </is>
      </c>
      <c r="P381" t="inlineStr">
        <is>
          <t>nyu</t>
        </is>
      </c>
      <c r="R381" t="inlineStr">
        <is>
          <t xml:space="preserve">QL </t>
        </is>
      </c>
      <c r="S381" t="n">
        <v>1</v>
      </c>
      <c r="T381" t="n">
        <v>1</v>
      </c>
      <c r="U381" t="inlineStr">
        <is>
          <t>1995-02-19</t>
        </is>
      </c>
      <c r="V381" t="inlineStr">
        <is>
          <t>1995-02-19</t>
        </is>
      </c>
      <c r="W381" t="inlineStr">
        <is>
          <t>1993-05-27</t>
        </is>
      </c>
      <c r="X381" t="inlineStr">
        <is>
          <t>1993-05-27</t>
        </is>
      </c>
      <c r="Y381" t="n">
        <v>335</v>
      </c>
      <c r="Z381" t="n">
        <v>234</v>
      </c>
      <c r="AA381" t="n">
        <v>258</v>
      </c>
      <c r="AB381" t="n">
        <v>2</v>
      </c>
      <c r="AC381" t="n">
        <v>2</v>
      </c>
      <c r="AD381" t="n">
        <v>6</v>
      </c>
      <c r="AE381" t="n">
        <v>7</v>
      </c>
      <c r="AF381" t="n">
        <v>3</v>
      </c>
      <c r="AG381" t="n">
        <v>4</v>
      </c>
      <c r="AH381" t="n">
        <v>2</v>
      </c>
      <c r="AI381" t="n">
        <v>2</v>
      </c>
      <c r="AJ381" t="n">
        <v>2</v>
      </c>
      <c r="AK381" t="n">
        <v>3</v>
      </c>
      <c r="AL381" t="n">
        <v>1</v>
      </c>
      <c r="AM381" t="n">
        <v>1</v>
      </c>
      <c r="AN381" t="n">
        <v>0</v>
      </c>
      <c r="AO381" t="n">
        <v>0</v>
      </c>
      <c r="AP381" t="inlineStr">
        <is>
          <t>No</t>
        </is>
      </c>
      <c r="AQ381" t="inlineStr">
        <is>
          <t>Yes</t>
        </is>
      </c>
      <c r="AR381">
        <f>HYPERLINK("http://catalog.hathitrust.org/Record/000108923","HathiTrust Record")</f>
        <v/>
      </c>
      <c r="AS381">
        <f>HYPERLINK("https://creighton-primo.hosted.exlibrisgroup.com/primo-explore/search?tab=default_tab&amp;search_scope=EVERYTHING&amp;vid=01CRU&amp;lang=en_US&amp;offset=0&amp;query=any,contains,991005240869702656","Catalog Record")</f>
        <v/>
      </c>
      <c r="AT381">
        <f>HYPERLINK("http://www.worldcat.org/oclc/8411125","WorldCat Record")</f>
        <v/>
      </c>
      <c r="AU381" t="inlineStr">
        <is>
          <t>438121:eng</t>
        </is>
      </c>
      <c r="AV381" t="inlineStr">
        <is>
          <t>8411125</t>
        </is>
      </c>
      <c r="AW381" t="inlineStr">
        <is>
          <t>991005240869702656</t>
        </is>
      </c>
      <c r="AX381" t="inlineStr">
        <is>
          <t>991005240869702656</t>
        </is>
      </c>
      <c r="AY381" t="inlineStr">
        <is>
          <t>2257258800002656</t>
        </is>
      </c>
      <c r="AZ381" t="inlineStr">
        <is>
          <t>BOOK</t>
        </is>
      </c>
      <c r="BB381" t="inlineStr">
        <is>
          <t>9780306408434</t>
        </is>
      </c>
      <c r="BC381" t="inlineStr">
        <is>
          <t>32285001687101</t>
        </is>
      </c>
      <c r="BD381" t="inlineStr">
        <is>
          <t>893810953</t>
        </is>
      </c>
    </row>
    <row r="382">
      <c r="A382" t="inlineStr">
        <is>
          <t>No</t>
        </is>
      </c>
      <c r="B382" t="inlineStr">
        <is>
          <t>QL493 .E96 1986</t>
        </is>
      </c>
      <c r="C382" t="inlineStr">
        <is>
          <t>0                      QL 0493000E  96          1986</t>
        </is>
      </c>
      <c r="D382" t="inlineStr">
        <is>
          <t>Evolutionary genetics of invertebrate behavior : progress and prospects / edited by Milton Davis Huettel.</t>
        </is>
      </c>
      <c r="F382" t="inlineStr">
        <is>
          <t>No</t>
        </is>
      </c>
      <c r="G382" t="inlineStr">
        <is>
          <t>1</t>
        </is>
      </c>
      <c r="H382" t="inlineStr">
        <is>
          <t>No</t>
        </is>
      </c>
      <c r="I382" t="inlineStr">
        <is>
          <t>No</t>
        </is>
      </c>
      <c r="J382" t="inlineStr">
        <is>
          <t>0</t>
        </is>
      </c>
      <c r="L382" t="inlineStr">
        <is>
          <t>New York : Plenum Press, c1986.</t>
        </is>
      </c>
      <c r="M382" t="inlineStr">
        <is>
          <t>1986</t>
        </is>
      </c>
      <c r="O382" t="inlineStr">
        <is>
          <t>eng</t>
        </is>
      </c>
      <c r="P382" t="inlineStr">
        <is>
          <t>nyu</t>
        </is>
      </c>
      <c r="R382" t="inlineStr">
        <is>
          <t xml:space="preserve">QL </t>
        </is>
      </c>
      <c r="S382" t="n">
        <v>7</v>
      </c>
      <c r="T382" t="n">
        <v>7</v>
      </c>
      <c r="U382" t="inlineStr">
        <is>
          <t>1997-10-11</t>
        </is>
      </c>
      <c r="V382" t="inlineStr">
        <is>
          <t>1997-10-11</t>
        </is>
      </c>
      <c r="W382" t="inlineStr">
        <is>
          <t>1993-05-27</t>
        </is>
      </c>
      <c r="X382" t="inlineStr">
        <is>
          <t>1993-05-27</t>
        </is>
      </c>
      <c r="Y382" t="n">
        <v>191</v>
      </c>
      <c r="Z382" t="n">
        <v>140</v>
      </c>
      <c r="AA382" t="n">
        <v>158</v>
      </c>
      <c r="AB382" t="n">
        <v>2</v>
      </c>
      <c r="AC382" t="n">
        <v>2</v>
      </c>
      <c r="AD382" t="n">
        <v>4</v>
      </c>
      <c r="AE382" t="n">
        <v>5</v>
      </c>
      <c r="AF382" t="n">
        <v>0</v>
      </c>
      <c r="AG382" t="n">
        <v>1</v>
      </c>
      <c r="AH382" t="n">
        <v>2</v>
      </c>
      <c r="AI382" t="n">
        <v>2</v>
      </c>
      <c r="AJ382" t="n">
        <v>2</v>
      </c>
      <c r="AK382" t="n">
        <v>3</v>
      </c>
      <c r="AL382" t="n">
        <v>1</v>
      </c>
      <c r="AM382" t="n">
        <v>1</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HYPERLINK("https://creighton-primo.hosted.exlibrisgroup.com/primo-explore/search?tab=default_tab&amp;search_scope=EVERYTHING&amp;vid=01CRU&amp;lang=en_US&amp;offset=0&amp;query=any,contains,991001055629702656","Catalog Record")</f>
        <v/>
      </c>
      <c r="AT382">
        <f>HYPERLINK("http://www.worldcat.org/oclc/15695977","WorldCat Record")</f>
        <v/>
      </c>
      <c r="AU382" t="inlineStr">
        <is>
          <t>836625988:eng</t>
        </is>
      </c>
      <c r="AV382" t="inlineStr">
        <is>
          <t>15695977</t>
        </is>
      </c>
      <c r="AW382" t="inlineStr">
        <is>
          <t>991001055629702656</t>
        </is>
      </c>
      <c r="AX382" t="inlineStr">
        <is>
          <t>991001055629702656</t>
        </is>
      </c>
      <c r="AY382" t="inlineStr">
        <is>
          <t>2263932950002656</t>
        </is>
      </c>
      <c r="AZ382" t="inlineStr">
        <is>
          <t>BOOK</t>
        </is>
      </c>
      <c r="BB382" t="inlineStr">
        <is>
          <t>9780306424885</t>
        </is>
      </c>
      <c r="BC382" t="inlineStr">
        <is>
          <t>32285001687119</t>
        </is>
      </c>
      <c r="BD382" t="inlineStr">
        <is>
          <t>893413917</t>
        </is>
      </c>
    </row>
    <row r="383">
      <c r="A383" t="inlineStr">
        <is>
          <t>No</t>
        </is>
      </c>
      <c r="B383" t="inlineStr">
        <is>
          <t>QL493 .G46 1989</t>
        </is>
      </c>
      <c r="C383" t="inlineStr">
        <is>
          <t>0                      QL 0493000G  46          1989</t>
        </is>
      </c>
      <c r="D383" t="inlineStr">
        <is>
          <t>The Genetics of social evolution / edited by Michael D. Breed and Robert E. Page, Jr.</t>
        </is>
      </c>
      <c r="F383" t="inlineStr">
        <is>
          <t>No</t>
        </is>
      </c>
      <c r="G383" t="inlineStr">
        <is>
          <t>1</t>
        </is>
      </c>
      <c r="H383" t="inlineStr">
        <is>
          <t>No</t>
        </is>
      </c>
      <c r="I383" t="inlineStr">
        <is>
          <t>No</t>
        </is>
      </c>
      <c r="J383" t="inlineStr">
        <is>
          <t>0</t>
        </is>
      </c>
      <c r="L383" t="inlineStr">
        <is>
          <t>Boulder : Westview Press, 1989.</t>
        </is>
      </c>
      <c r="M383" t="inlineStr">
        <is>
          <t>1989</t>
        </is>
      </c>
      <c r="O383" t="inlineStr">
        <is>
          <t>eng</t>
        </is>
      </c>
      <c r="P383" t="inlineStr">
        <is>
          <t>cou</t>
        </is>
      </c>
      <c r="Q383" t="inlineStr">
        <is>
          <t>Westview studies in insect biology</t>
        </is>
      </c>
      <c r="R383" t="inlineStr">
        <is>
          <t xml:space="preserve">QL </t>
        </is>
      </c>
      <c r="S383" t="n">
        <v>5</v>
      </c>
      <c r="T383" t="n">
        <v>5</v>
      </c>
      <c r="U383" t="inlineStr">
        <is>
          <t>2004-11-30</t>
        </is>
      </c>
      <c r="V383" t="inlineStr">
        <is>
          <t>2004-11-30</t>
        </is>
      </c>
      <c r="W383" t="inlineStr">
        <is>
          <t>1989-10-23</t>
        </is>
      </c>
      <c r="X383" t="inlineStr">
        <is>
          <t>1989-10-23</t>
        </is>
      </c>
      <c r="Y383" t="n">
        <v>218</v>
      </c>
      <c r="Z383" t="n">
        <v>160</v>
      </c>
      <c r="AA383" t="n">
        <v>184</v>
      </c>
      <c r="AB383" t="n">
        <v>1</v>
      </c>
      <c r="AC383" t="n">
        <v>1</v>
      </c>
      <c r="AD383" t="n">
        <v>4</v>
      </c>
      <c r="AE383" t="n">
        <v>4</v>
      </c>
      <c r="AF383" t="n">
        <v>0</v>
      </c>
      <c r="AG383" t="n">
        <v>0</v>
      </c>
      <c r="AH383" t="n">
        <v>2</v>
      </c>
      <c r="AI383" t="n">
        <v>2</v>
      </c>
      <c r="AJ383" t="n">
        <v>3</v>
      </c>
      <c r="AK383" t="n">
        <v>3</v>
      </c>
      <c r="AL383" t="n">
        <v>0</v>
      </c>
      <c r="AM383" t="n">
        <v>0</v>
      </c>
      <c r="AN383" t="n">
        <v>0</v>
      </c>
      <c r="AO383" t="n">
        <v>0</v>
      </c>
      <c r="AP383" t="inlineStr">
        <is>
          <t>No</t>
        </is>
      </c>
      <c r="AQ383" t="inlineStr">
        <is>
          <t>Yes</t>
        </is>
      </c>
      <c r="AR383">
        <f>HYPERLINK("http://catalog.hathitrust.org/Record/001081106","HathiTrust Record")</f>
        <v/>
      </c>
      <c r="AS383">
        <f>HYPERLINK("https://creighton-primo.hosted.exlibrisgroup.com/primo-explore/search?tab=default_tab&amp;search_scope=EVERYTHING&amp;vid=01CRU&amp;lang=en_US&amp;offset=0&amp;query=any,contains,991001271159702656","Catalog Record")</f>
        <v/>
      </c>
      <c r="AT383">
        <f>HYPERLINK("http://www.worldcat.org/oclc/17841351","WorldCat Record")</f>
        <v/>
      </c>
      <c r="AU383" t="inlineStr">
        <is>
          <t>355896462:eng</t>
        </is>
      </c>
      <c r="AV383" t="inlineStr">
        <is>
          <t>17841351</t>
        </is>
      </c>
      <c r="AW383" t="inlineStr">
        <is>
          <t>991001271159702656</t>
        </is>
      </c>
      <c r="AX383" t="inlineStr">
        <is>
          <t>991001271159702656</t>
        </is>
      </c>
      <c r="AY383" t="inlineStr">
        <is>
          <t>2269031990002656</t>
        </is>
      </c>
      <c r="AZ383" t="inlineStr">
        <is>
          <t>BOOK</t>
        </is>
      </c>
      <c r="BB383" t="inlineStr">
        <is>
          <t>9780813376189</t>
        </is>
      </c>
      <c r="BC383" t="inlineStr">
        <is>
          <t>32285000001825</t>
        </is>
      </c>
      <c r="BD383" t="inlineStr">
        <is>
          <t>893414119</t>
        </is>
      </c>
    </row>
    <row r="384">
      <c r="A384" t="inlineStr">
        <is>
          <t>No</t>
        </is>
      </c>
      <c r="B384" t="inlineStr">
        <is>
          <t>QL494 .J26 1999</t>
        </is>
      </c>
      <c r="C384" t="inlineStr">
        <is>
          <t>0                      QL 0494000J  26          1999</t>
        </is>
      </c>
      <c r="D384" t="inlineStr">
        <is>
          <t>Insects : their spermatozoa and phylogeny / Barrie G.M. Jamieson, Romano Dallai, Bj*rn A. Afzelius.</t>
        </is>
      </c>
      <c r="F384" t="inlineStr">
        <is>
          <t>No</t>
        </is>
      </c>
      <c r="G384" t="inlineStr">
        <is>
          <t>1</t>
        </is>
      </c>
      <c r="H384" t="inlineStr">
        <is>
          <t>No</t>
        </is>
      </c>
      <c r="I384" t="inlineStr">
        <is>
          <t>No</t>
        </is>
      </c>
      <c r="J384" t="inlineStr">
        <is>
          <t>0</t>
        </is>
      </c>
      <c r="K384" t="inlineStr">
        <is>
          <t>Jamieson, Barrie G. M. (Barrie Gillean Molyneux)</t>
        </is>
      </c>
      <c r="L384" t="inlineStr">
        <is>
          <t>Enfield, N.H. : Science Publishers, c1999.</t>
        </is>
      </c>
      <c r="M384" t="inlineStr">
        <is>
          <t>1999</t>
        </is>
      </c>
      <c r="O384" t="inlineStr">
        <is>
          <t>eng</t>
        </is>
      </c>
      <c r="P384" t="inlineStr">
        <is>
          <t>nhu</t>
        </is>
      </c>
      <c r="R384" t="inlineStr">
        <is>
          <t xml:space="preserve">QL </t>
        </is>
      </c>
      <c r="S384" t="n">
        <v>3</v>
      </c>
      <c r="T384" t="n">
        <v>3</v>
      </c>
      <c r="U384" t="inlineStr">
        <is>
          <t>2009-02-24</t>
        </is>
      </c>
      <c r="V384" t="inlineStr">
        <is>
          <t>2009-02-24</t>
        </is>
      </c>
      <c r="W384" t="inlineStr">
        <is>
          <t>2001-05-03</t>
        </is>
      </c>
      <c r="X384" t="inlineStr">
        <is>
          <t>2001-05-03</t>
        </is>
      </c>
      <c r="Y384" t="n">
        <v>147</v>
      </c>
      <c r="Z384" t="n">
        <v>113</v>
      </c>
      <c r="AA384" t="n">
        <v>113</v>
      </c>
      <c r="AB384" t="n">
        <v>1</v>
      </c>
      <c r="AC384" t="n">
        <v>1</v>
      </c>
      <c r="AD384" t="n">
        <v>2</v>
      </c>
      <c r="AE384" t="n">
        <v>2</v>
      </c>
      <c r="AF384" t="n">
        <v>0</v>
      </c>
      <c r="AG384" t="n">
        <v>0</v>
      </c>
      <c r="AH384" t="n">
        <v>1</v>
      </c>
      <c r="AI384" t="n">
        <v>1</v>
      </c>
      <c r="AJ384" t="n">
        <v>1</v>
      </c>
      <c r="AK384" t="n">
        <v>1</v>
      </c>
      <c r="AL384" t="n">
        <v>0</v>
      </c>
      <c r="AM384" t="n">
        <v>0</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HYPERLINK("https://creighton-primo.hosted.exlibrisgroup.com/primo-explore/search?tab=default_tab&amp;search_scope=EVERYTHING&amp;vid=01CRU&amp;lang=en_US&amp;offset=0&amp;query=any,contains,991003511239702656","Catalog Record")</f>
        <v/>
      </c>
      <c r="AT384">
        <f>HYPERLINK("http://www.worldcat.org/oclc/40588023","WorldCat Record")</f>
        <v/>
      </c>
      <c r="AU384" t="inlineStr">
        <is>
          <t>27690249:eng</t>
        </is>
      </c>
      <c r="AV384" t="inlineStr">
        <is>
          <t>40588023</t>
        </is>
      </c>
      <c r="AW384" t="inlineStr">
        <is>
          <t>991003511239702656</t>
        </is>
      </c>
      <c r="AX384" t="inlineStr">
        <is>
          <t>991003511239702656</t>
        </is>
      </c>
      <c r="AY384" t="inlineStr">
        <is>
          <t>2260592620002656</t>
        </is>
      </c>
      <c r="AZ384" t="inlineStr">
        <is>
          <t>BOOK</t>
        </is>
      </c>
      <c r="BB384" t="inlineStr">
        <is>
          <t>9781578080403</t>
        </is>
      </c>
      <c r="BC384" t="inlineStr">
        <is>
          <t>32285004315999</t>
        </is>
      </c>
      <c r="BD384" t="inlineStr">
        <is>
          <t>893505655</t>
        </is>
      </c>
    </row>
    <row r="385">
      <c r="A385" t="inlineStr">
        <is>
          <t>No</t>
        </is>
      </c>
      <c r="B385" t="inlineStr">
        <is>
          <t>QL494.5 .S94 1971</t>
        </is>
      </c>
      <c r="C385" t="inlineStr">
        <is>
          <t>0                      QL 0494500S  94          1971</t>
        </is>
      </c>
      <c r="D385" t="inlineStr">
        <is>
          <t>Insect juvenile hormones : chemistry and action / edited by Julius J. Menn [and] Morton Beroza.</t>
        </is>
      </c>
      <c r="F385" t="inlineStr">
        <is>
          <t>No</t>
        </is>
      </c>
      <c r="G385" t="inlineStr">
        <is>
          <t>1</t>
        </is>
      </c>
      <c r="H385" t="inlineStr">
        <is>
          <t>No</t>
        </is>
      </c>
      <c r="I385" t="inlineStr">
        <is>
          <t>No</t>
        </is>
      </c>
      <c r="J385" t="inlineStr">
        <is>
          <t>0</t>
        </is>
      </c>
      <c r="K385" t="inlineStr">
        <is>
          <t>Symposium on the Chemistry and Action of Insect Juvenile Hormones (1971 : Washington, D.C.)</t>
        </is>
      </c>
      <c r="L385" t="inlineStr">
        <is>
          <t>New York : Academic Press, 1972.</t>
        </is>
      </c>
      <c r="M385" t="inlineStr">
        <is>
          <t>1972</t>
        </is>
      </c>
      <c r="O385" t="inlineStr">
        <is>
          <t>eng</t>
        </is>
      </c>
      <c r="P385" t="inlineStr">
        <is>
          <t>nyu</t>
        </is>
      </c>
      <c r="R385" t="inlineStr">
        <is>
          <t xml:space="preserve">QL </t>
        </is>
      </c>
      <c r="S385" t="n">
        <v>3</v>
      </c>
      <c r="T385" t="n">
        <v>3</v>
      </c>
      <c r="U385" t="inlineStr">
        <is>
          <t>1996-12-05</t>
        </is>
      </c>
      <c r="V385" t="inlineStr">
        <is>
          <t>1996-12-05</t>
        </is>
      </c>
      <c r="W385" t="inlineStr">
        <is>
          <t>1993-05-05</t>
        </is>
      </c>
      <c r="X385" t="inlineStr">
        <is>
          <t>1993-05-05</t>
        </is>
      </c>
      <c r="Y385" t="n">
        <v>468</v>
      </c>
      <c r="Z385" t="n">
        <v>353</v>
      </c>
      <c r="AA385" t="n">
        <v>396</v>
      </c>
      <c r="AB385" t="n">
        <v>3</v>
      </c>
      <c r="AC385" t="n">
        <v>3</v>
      </c>
      <c r="AD385" t="n">
        <v>18</v>
      </c>
      <c r="AE385" t="n">
        <v>19</v>
      </c>
      <c r="AF385" t="n">
        <v>6</v>
      </c>
      <c r="AG385" t="n">
        <v>6</v>
      </c>
      <c r="AH385" t="n">
        <v>3</v>
      </c>
      <c r="AI385" t="n">
        <v>4</v>
      </c>
      <c r="AJ385" t="n">
        <v>10</v>
      </c>
      <c r="AK385" t="n">
        <v>10</v>
      </c>
      <c r="AL385" t="n">
        <v>2</v>
      </c>
      <c r="AM385" t="n">
        <v>2</v>
      </c>
      <c r="AN385" t="n">
        <v>0</v>
      </c>
      <c r="AO385" t="n">
        <v>0</v>
      </c>
      <c r="AP385" t="inlineStr">
        <is>
          <t>No</t>
        </is>
      </c>
      <c r="AQ385" t="inlineStr">
        <is>
          <t>Yes</t>
        </is>
      </c>
      <c r="AR385">
        <f>HYPERLINK("http://catalog.hathitrust.org/Record/001500103","HathiTrust Record")</f>
        <v/>
      </c>
      <c r="AS385">
        <f>HYPERLINK("https://creighton-primo.hosted.exlibrisgroup.com/primo-explore/search?tab=default_tab&amp;search_scope=EVERYTHING&amp;vid=01CRU&amp;lang=en_US&amp;offset=0&amp;query=any,contains,991002666799702656","Catalog Record")</f>
        <v/>
      </c>
      <c r="AT385">
        <f>HYPERLINK("http://www.worldcat.org/oclc/393481","WorldCat Record")</f>
        <v/>
      </c>
      <c r="AU385" t="inlineStr">
        <is>
          <t>999621849:eng</t>
        </is>
      </c>
      <c r="AV385" t="inlineStr">
        <is>
          <t>393481</t>
        </is>
      </c>
      <c r="AW385" t="inlineStr">
        <is>
          <t>991002666799702656</t>
        </is>
      </c>
      <c r="AX385" t="inlineStr">
        <is>
          <t>991002666799702656</t>
        </is>
      </c>
      <c r="AY385" t="inlineStr">
        <is>
          <t>2259843640002656</t>
        </is>
      </c>
      <c r="AZ385" t="inlineStr">
        <is>
          <t>BOOK</t>
        </is>
      </c>
      <c r="BB385" t="inlineStr">
        <is>
          <t>9780124909502</t>
        </is>
      </c>
      <c r="BC385" t="inlineStr">
        <is>
          <t>32285001634178</t>
        </is>
      </c>
      <c r="BD385" t="inlineStr">
        <is>
          <t>893691855</t>
        </is>
      </c>
    </row>
    <row r="386">
      <c r="A386" t="inlineStr">
        <is>
          <t>No</t>
        </is>
      </c>
      <c r="B386" t="inlineStr">
        <is>
          <t>QL495 .B4</t>
        </is>
      </c>
      <c r="C386" t="inlineStr">
        <is>
          <t>0                      QL 0495000B  4</t>
        </is>
      </c>
      <c r="D386" t="inlineStr">
        <is>
          <t>Insect photoperiodism [by] Stanley D. Beck.</t>
        </is>
      </c>
      <c r="F386" t="inlineStr">
        <is>
          <t>No</t>
        </is>
      </c>
      <c r="G386" t="inlineStr">
        <is>
          <t>1</t>
        </is>
      </c>
      <c r="H386" t="inlineStr">
        <is>
          <t>No</t>
        </is>
      </c>
      <c r="I386" t="inlineStr">
        <is>
          <t>No</t>
        </is>
      </c>
      <c r="J386" t="inlineStr">
        <is>
          <t>0</t>
        </is>
      </c>
      <c r="K386" t="inlineStr">
        <is>
          <t>Beck, Stanley D.</t>
        </is>
      </c>
      <c r="L386" t="inlineStr">
        <is>
          <t>New York, Academic Press, 1968.</t>
        </is>
      </c>
      <c r="M386" t="inlineStr">
        <is>
          <t>1968</t>
        </is>
      </c>
      <c r="O386" t="inlineStr">
        <is>
          <t>eng</t>
        </is>
      </c>
      <c r="P386" t="inlineStr">
        <is>
          <t>nyu</t>
        </is>
      </c>
      <c r="R386" t="inlineStr">
        <is>
          <t xml:space="preserve">QL </t>
        </is>
      </c>
      <c r="S386" t="n">
        <v>2</v>
      </c>
      <c r="T386" t="n">
        <v>2</v>
      </c>
      <c r="U386" t="inlineStr">
        <is>
          <t>2000-03-25</t>
        </is>
      </c>
      <c r="V386" t="inlineStr">
        <is>
          <t>2000-03-25</t>
        </is>
      </c>
      <c r="W386" t="inlineStr">
        <is>
          <t>1997-07-24</t>
        </is>
      </c>
      <c r="X386" t="inlineStr">
        <is>
          <t>1997-07-24</t>
        </is>
      </c>
      <c r="Y386" t="n">
        <v>520</v>
      </c>
      <c r="Z386" t="n">
        <v>390</v>
      </c>
      <c r="AA386" t="n">
        <v>533</v>
      </c>
      <c r="AB386" t="n">
        <v>5</v>
      </c>
      <c r="AC386" t="n">
        <v>6</v>
      </c>
      <c r="AD386" t="n">
        <v>20</v>
      </c>
      <c r="AE386" t="n">
        <v>25</v>
      </c>
      <c r="AF386" t="n">
        <v>8</v>
      </c>
      <c r="AG386" t="n">
        <v>9</v>
      </c>
      <c r="AH386" t="n">
        <v>2</v>
      </c>
      <c r="AI386" t="n">
        <v>5</v>
      </c>
      <c r="AJ386" t="n">
        <v>9</v>
      </c>
      <c r="AK386" t="n">
        <v>11</v>
      </c>
      <c r="AL386" t="n">
        <v>4</v>
      </c>
      <c r="AM386" t="n">
        <v>5</v>
      </c>
      <c r="AN386" t="n">
        <v>0</v>
      </c>
      <c r="AO386" t="n">
        <v>0</v>
      </c>
      <c r="AP386" t="inlineStr">
        <is>
          <t>No</t>
        </is>
      </c>
      <c r="AQ386" t="inlineStr">
        <is>
          <t>Yes</t>
        </is>
      </c>
      <c r="AR386">
        <f>HYPERLINK("http://catalog.hathitrust.org/Record/001500104","HathiTrust Record")</f>
        <v/>
      </c>
      <c r="AS386">
        <f>HYPERLINK("https://creighton-primo.hosted.exlibrisgroup.com/primo-explore/search?tab=default_tab&amp;search_scope=EVERYTHING&amp;vid=01CRU&amp;lang=en_US&amp;offset=0&amp;query=any,contains,991002778509702656","Catalog Record")</f>
        <v/>
      </c>
      <c r="AT386">
        <f>HYPERLINK("http://www.worldcat.org/oclc/439470","WorldCat Record")</f>
        <v/>
      </c>
      <c r="AU386" t="inlineStr">
        <is>
          <t>1563806:eng</t>
        </is>
      </c>
      <c r="AV386" t="inlineStr">
        <is>
          <t>439470</t>
        </is>
      </c>
      <c r="AW386" t="inlineStr">
        <is>
          <t>991002778509702656</t>
        </is>
      </c>
      <c r="AX386" t="inlineStr">
        <is>
          <t>991002778509702656</t>
        </is>
      </c>
      <c r="AY386" t="inlineStr">
        <is>
          <t>2266618440002656</t>
        </is>
      </c>
      <c r="AZ386" t="inlineStr">
        <is>
          <t>BOOK</t>
        </is>
      </c>
      <c r="BC386" t="inlineStr">
        <is>
          <t>32285002980810</t>
        </is>
      </c>
      <c r="BD386" t="inlineStr">
        <is>
          <t>893347917</t>
        </is>
      </c>
    </row>
    <row r="387">
      <c r="A387" t="inlineStr">
        <is>
          <t>No</t>
        </is>
      </c>
      <c r="B387" t="inlineStr">
        <is>
          <t>QL495 .C47 1984</t>
        </is>
      </c>
      <c r="C387" t="inlineStr">
        <is>
          <t>0                      QL 0495000C  47          1984</t>
        </is>
      </c>
      <c r="D387" t="inlineStr">
        <is>
          <t>Chemical ecology of insects / edited by William J. Bell and Ring T. Cardé.</t>
        </is>
      </c>
      <c r="E387" t="inlineStr">
        <is>
          <t>V.1</t>
        </is>
      </c>
      <c r="F387" t="inlineStr">
        <is>
          <t>Yes</t>
        </is>
      </c>
      <c r="G387" t="inlineStr">
        <is>
          <t>1</t>
        </is>
      </c>
      <c r="H387" t="inlineStr">
        <is>
          <t>No</t>
        </is>
      </c>
      <c r="I387" t="inlineStr">
        <is>
          <t>No</t>
        </is>
      </c>
      <c r="J387" t="inlineStr">
        <is>
          <t>0</t>
        </is>
      </c>
      <c r="L387" t="inlineStr">
        <is>
          <t>Sunderland, Mass. : Sinauer Associates, Inc., 1984-1995.</t>
        </is>
      </c>
      <c r="M387" t="inlineStr">
        <is>
          <t>1984</t>
        </is>
      </c>
      <c r="O387" t="inlineStr">
        <is>
          <t>eng</t>
        </is>
      </c>
      <c r="P387" t="inlineStr">
        <is>
          <t>mau</t>
        </is>
      </c>
      <c r="R387" t="inlineStr">
        <is>
          <t xml:space="preserve">QL </t>
        </is>
      </c>
      <c r="S387" t="n">
        <v>1</v>
      </c>
      <c r="T387" t="n">
        <v>4</v>
      </c>
      <c r="V387" t="inlineStr">
        <is>
          <t>2004-12-04</t>
        </is>
      </c>
      <c r="W387" t="inlineStr">
        <is>
          <t>1993-05-27</t>
        </is>
      </c>
      <c r="X387" t="inlineStr">
        <is>
          <t>1997-03-19</t>
        </is>
      </c>
      <c r="Y387" t="n">
        <v>383</v>
      </c>
      <c r="Z387" t="n">
        <v>338</v>
      </c>
      <c r="AA387" t="n">
        <v>406</v>
      </c>
      <c r="AB387" t="n">
        <v>3</v>
      </c>
      <c r="AC387" t="n">
        <v>4</v>
      </c>
      <c r="AD387" t="n">
        <v>15</v>
      </c>
      <c r="AE387" t="n">
        <v>18</v>
      </c>
      <c r="AF387" t="n">
        <v>5</v>
      </c>
      <c r="AG387" t="n">
        <v>6</v>
      </c>
      <c r="AH387" t="n">
        <v>4</v>
      </c>
      <c r="AI387" t="n">
        <v>5</v>
      </c>
      <c r="AJ387" t="n">
        <v>8</v>
      </c>
      <c r="AK387" t="n">
        <v>10</v>
      </c>
      <c r="AL387" t="n">
        <v>2</v>
      </c>
      <c r="AM387" t="n">
        <v>3</v>
      </c>
      <c r="AN387" t="n">
        <v>0</v>
      </c>
      <c r="AO387" t="n">
        <v>0</v>
      </c>
      <c r="AP387" t="inlineStr">
        <is>
          <t>No</t>
        </is>
      </c>
      <c r="AQ387" t="inlineStr">
        <is>
          <t>Yes</t>
        </is>
      </c>
      <c r="AR387">
        <f>HYPERLINK("http://catalog.hathitrust.org/Record/000286103","HathiTrust Record")</f>
        <v/>
      </c>
      <c r="AS387">
        <f>HYPERLINK("https://creighton-primo.hosted.exlibrisgroup.com/primo-explore/search?tab=default_tab&amp;search_scope=EVERYTHING&amp;vid=01CRU&amp;lang=en_US&amp;offset=0&amp;query=any,contains,991000316359702656","Catalog Record")</f>
        <v/>
      </c>
      <c r="AT387">
        <f>HYPERLINK("http://www.worldcat.org/oclc/10122235","WorldCat Record")</f>
        <v/>
      </c>
      <c r="AU387" t="inlineStr">
        <is>
          <t>353785246:eng</t>
        </is>
      </c>
      <c r="AV387" t="inlineStr">
        <is>
          <t>10122235</t>
        </is>
      </c>
      <c r="AW387" t="inlineStr">
        <is>
          <t>991000316359702656</t>
        </is>
      </c>
      <c r="AX387" t="inlineStr">
        <is>
          <t>991000316359702656</t>
        </is>
      </c>
      <c r="AY387" t="inlineStr">
        <is>
          <t>2267316810002656</t>
        </is>
      </c>
      <c r="AZ387" t="inlineStr">
        <is>
          <t>BOOK</t>
        </is>
      </c>
      <c r="BB387" t="inlineStr">
        <is>
          <t>9780878930708</t>
        </is>
      </c>
      <c r="BC387" t="inlineStr">
        <is>
          <t>32285001687218</t>
        </is>
      </c>
      <c r="BD387" t="inlineStr">
        <is>
          <t>893620375</t>
        </is>
      </c>
    </row>
    <row r="388">
      <c r="A388" t="inlineStr">
        <is>
          <t>No</t>
        </is>
      </c>
      <c r="B388" t="inlineStr">
        <is>
          <t>QL495 .C47 1984</t>
        </is>
      </c>
      <c r="C388" t="inlineStr">
        <is>
          <t>0                      QL 0495000C  47          1984</t>
        </is>
      </c>
      <c r="D388" t="inlineStr">
        <is>
          <t>Chemical ecology of insects / edited by William J. Bell and Ring T. Cardé.</t>
        </is>
      </c>
      <c r="E388" t="inlineStr">
        <is>
          <t>V.2</t>
        </is>
      </c>
      <c r="F388" t="inlineStr">
        <is>
          <t>Yes</t>
        </is>
      </c>
      <c r="G388" t="inlineStr">
        <is>
          <t>1</t>
        </is>
      </c>
      <c r="H388" t="inlineStr">
        <is>
          <t>No</t>
        </is>
      </c>
      <c r="I388" t="inlineStr">
        <is>
          <t>No</t>
        </is>
      </c>
      <c r="J388" t="inlineStr">
        <is>
          <t>0</t>
        </is>
      </c>
      <c r="L388" t="inlineStr">
        <is>
          <t>Sunderland, Mass. : Sinauer Associates, Inc., 1984-1995.</t>
        </is>
      </c>
      <c r="M388" t="inlineStr">
        <is>
          <t>1984</t>
        </is>
      </c>
      <c r="O388" t="inlineStr">
        <is>
          <t>eng</t>
        </is>
      </c>
      <c r="P388" t="inlineStr">
        <is>
          <t>mau</t>
        </is>
      </c>
      <c r="R388" t="inlineStr">
        <is>
          <t xml:space="preserve">QL </t>
        </is>
      </c>
      <c r="S388" t="n">
        <v>3</v>
      </c>
      <c r="T388" t="n">
        <v>4</v>
      </c>
      <c r="U388" t="inlineStr">
        <is>
          <t>2004-12-04</t>
        </is>
      </c>
      <c r="V388" t="inlineStr">
        <is>
          <t>2004-12-04</t>
        </is>
      </c>
      <c r="W388" t="inlineStr">
        <is>
          <t>1997-03-19</t>
        </is>
      </c>
      <c r="X388" t="inlineStr">
        <is>
          <t>1997-03-19</t>
        </is>
      </c>
      <c r="Y388" t="n">
        <v>383</v>
      </c>
      <c r="Z388" t="n">
        <v>338</v>
      </c>
      <c r="AA388" t="n">
        <v>406</v>
      </c>
      <c r="AB388" t="n">
        <v>3</v>
      </c>
      <c r="AC388" t="n">
        <v>4</v>
      </c>
      <c r="AD388" t="n">
        <v>15</v>
      </c>
      <c r="AE388" t="n">
        <v>18</v>
      </c>
      <c r="AF388" t="n">
        <v>5</v>
      </c>
      <c r="AG388" t="n">
        <v>6</v>
      </c>
      <c r="AH388" t="n">
        <v>4</v>
      </c>
      <c r="AI388" t="n">
        <v>5</v>
      </c>
      <c r="AJ388" t="n">
        <v>8</v>
      </c>
      <c r="AK388" t="n">
        <v>10</v>
      </c>
      <c r="AL388" t="n">
        <v>2</v>
      </c>
      <c r="AM388" t="n">
        <v>3</v>
      </c>
      <c r="AN388" t="n">
        <v>0</v>
      </c>
      <c r="AO388" t="n">
        <v>0</v>
      </c>
      <c r="AP388" t="inlineStr">
        <is>
          <t>No</t>
        </is>
      </c>
      <c r="AQ388" t="inlineStr">
        <is>
          <t>Yes</t>
        </is>
      </c>
      <c r="AR388">
        <f>HYPERLINK("http://catalog.hathitrust.org/Record/000286103","HathiTrust Record")</f>
        <v/>
      </c>
      <c r="AS388">
        <f>HYPERLINK("https://creighton-primo.hosted.exlibrisgroup.com/primo-explore/search?tab=default_tab&amp;search_scope=EVERYTHING&amp;vid=01CRU&amp;lang=en_US&amp;offset=0&amp;query=any,contains,991000316359702656","Catalog Record")</f>
        <v/>
      </c>
      <c r="AT388">
        <f>HYPERLINK("http://www.worldcat.org/oclc/10122235","WorldCat Record")</f>
        <v/>
      </c>
      <c r="AU388" t="inlineStr">
        <is>
          <t>353785246:eng</t>
        </is>
      </c>
      <c r="AV388" t="inlineStr">
        <is>
          <t>10122235</t>
        </is>
      </c>
      <c r="AW388" t="inlineStr">
        <is>
          <t>991000316359702656</t>
        </is>
      </c>
      <c r="AX388" t="inlineStr">
        <is>
          <t>991000316359702656</t>
        </is>
      </c>
      <c r="AY388" t="inlineStr">
        <is>
          <t>2267316810002656</t>
        </is>
      </c>
      <c r="AZ388" t="inlineStr">
        <is>
          <t>BOOK</t>
        </is>
      </c>
      <c r="BB388" t="inlineStr">
        <is>
          <t>9780878930708</t>
        </is>
      </c>
      <c r="BC388" t="inlineStr">
        <is>
          <t>32285002444619</t>
        </is>
      </c>
      <c r="BD388" t="inlineStr">
        <is>
          <t>893614090</t>
        </is>
      </c>
    </row>
    <row r="389">
      <c r="A389" t="inlineStr">
        <is>
          <t>No</t>
        </is>
      </c>
      <c r="B389" t="inlineStr">
        <is>
          <t>QL495 .C65 1970</t>
        </is>
      </c>
      <c r="C389" t="inlineStr">
        <is>
          <t>0                      QL 0495000C  65          1970</t>
        </is>
      </c>
      <c r="D389" t="inlineStr">
        <is>
          <t>Control of insect behavior by natural products / edited by David L. Wood, Robert M. Silverstein [and] Minoru Nakajima.</t>
        </is>
      </c>
      <c r="F389" t="inlineStr">
        <is>
          <t>No</t>
        </is>
      </c>
      <c r="G389" t="inlineStr">
        <is>
          <t>1</t>
        </is>
      </c>
      <c r="H389" t="inlineStr">
        <is>
          <t>No</t>
        </is>
      </c>
      <c r="I389" t="inlineStr">
        <is>
          <t>No</t>
        </is>
      </c>
      <c r="J389" t="inlineStr">
        <is>
          <t>0</t>
        </is>
      </c>
      <c r="L389" t="inlineStr">
        <is>
          <t>New York : Academic Press, 1970.</t>
        </is>
      </c>
      <c r="M389" t="inlineStr">
        <is>
          <t>1970</t>
        </is>
      </c>
      <c r="O389" t="inlineStr">
        <is>
          <t>eng</t>
        </is>
      </c>
      <c r="P389" t="inlineStr">
        <is>
          <t>nyu</t>
        </is>
      </c>
      <c r="R389" t="inlineStr">
        <is>
          <t xml:space="preserve">QL </t>
        </is>
      </c>
      <c r="S389" t="n">
        <v>2</v>
      </c>
      <c r="T389" t="n">
        <v>2</v>
      </c>
      <c r="U389" t="inlineStr">
        <is>
          <t>2007-02-17</t>
        </is>
      </c>
      <c r="V389" t="inlineStr">
        <is>
          <t>2007-02-17</t>
        </is>
      </c>
      <c r="W389" t="inlineStr">
        <is>
          <t>1993-05-05</t>
        </is>
      </c>
      <c r="X389" t="inlineStr">
        <is>
          <t>1993-05-05</t>
        </is>
      </c>
      <c r="Y389" t="n">
        <v>710</v>
      </c>
      <c r="Z389" t="n">
        <v>558</v>
      </c>
      <c r="AA389" t="n">
        <v>595</v>
      </c>
      <c r="AB389" t="n">
        <v>6</v>
      </c>
      <c r="AC389" t="n">
        <v>6</v>
      </c>
      <c r="AD389" t="n">
        <v>25</v>
      </c>
      <c r="AE389" t="n">
        <v>28</v>
      </c>
      <c r="AF389" t="n">
        <v>7</v>
      </c>
      <c r="AG389" t="n">
        <v>9</v>
      </c>
      <c r="AH389" t="n">
        <v>6</v>
      </c>
      <c r="AI389" t="n">
        <v>8</v>
      </c>
      <c r="AJ389" t="n">
        <v>13</v>
      </c>
      <c r="AK389" t="n">
        <v>13</v>
      </c>
      <c r="AL389" t="n">
        <v>5</v>
      </c>
      <c r="AM389" t="n">
        <v>5</v>
      </c>
      <c r="AN389" t="n">
        <v>0</v>
      </c>
      <c r="AO389" t="n">
        <v>0</v>
      </c>
      <c r="AP389" t="inlineStr">
        <is>
          <t>No</t>
        </is>
      </c>
      <c r="AQ389" t="inlineStr">
        <is>
          <t>Yes</t>
        </is>
      </c>
      <c r="AR389">
        <f>HYPERLINK("http://catalog.hathitrust.org/Record/001500107","HathiTrust Record")</f>
        <v/>
      </c>
      <c r="AS389">
        <f>HYPERLINK("https://creighton-primo.hosted.exlibrisgroup.com/primo-explore/search?tab=default_tab&amp;search_scope=EVERYTHING&amp;vid=01CRU&amp;lang=en_US&amp;offset=0&amp;query=any,contains,991000554009702656","Catalog Record")</f>
        <v/>
      </c>
      <c r="AT389">
        <f>HYPERLINK("http://www.worldcat.org/oclc/93008","WorldCat Record")</f>
        <v/>
      </c>
      <c r="AU389" t="inlineStr">
        <is>
          <t>509835240:eng</t>
        </is>
      </c>
      <c r="AV389" t="inlineStr">
        <is>
          <t>93008</t>
        </is>
      </c>
      <c r="AW389" t="inlineStr">
        <is>
          <t>991000554009702656</t>
        </is>
      </c>
      <c r="AX389" t="inlineStr">
        <is>
          <t>991000554009702656</t>
        </is>
      </c>
      <c r="AY389" t="inlineStr">
        <is>
          <t>2265589780002656</t>
        </is>
      </c>
      <c r="AZ389" t="inlineStr">
        <is>
          <t>BOOK</t>
        </is>
      </c>
      <c r="BB389" t="inlineStr">
        <is>
          <t>9780127626505</t>
        </is>
      </c>
      <c r="BC389" t="inlineStr">
        <is>
          <t>32285001634160</t>
        </is>
      </c>
      <c r="BD389" t="inlineStr">
        <is>
          <t>893601854</t>
        </is>
      </c>
    </row>
    <row r="390">
      <c r="A390" t="inlineStr">
        <is>
          <t>No</t>
        </is>
      </c>
      <c r="B390" t="inlineStr">
        <is>
          <t>QL495 .E47 1983</t>
        </is>
      </c>
      <c r="C390" t="inlineStr">
        <is>
          <t>0                      QL 0495000E  47          1983</t>
        </is>
      </c>
      <c r="D390" t="inlineStr">
        <is>
          <t>Endocrinology of insects / edited by Roger G.H. Downer, Hans Laufer.</t>
        </is>
      </c>
      <c r="F390" t="inlineStr">
        <is>
          <t>No</t>
        </is>
      </c>
      <c r="G390" t="inlineStr">
        <is>
          <t>1</t>
        </is>
      </c>
      <c r="H390" t="inlineStr">
        <is>
          <t>No</t>
        </is>
      </c>
      <c r="I390" t="inlineStr">
        <is>
          <t>No</t>
        </is>
      </c>
      <c r="J390" t="inlineStr">
        <is>
          <t>0</t>
        </is>
      </c>
      <c r="L390" t="inlineStr">
        <is>
          <t>New York : A.R. Liss, c1983, 1984 printing.</t>
        </is>
      </c>
      <c r="M390" t="inlineStr">
        <is>
          <t>1983</t>
        </is>
      </c>
      <c r="O390" t="inlineStr">
        <is>
          <t>eng</t>
        </is>
      </c>
      <c r="P390" t="inlineStr">
        <is>
          <t>nyu</t>
        </is>
      </c>
      <c r="Q390" t="inlineStr">
        <is>
          <t>Invertebrate endocrinology ; v. 1</t>
        </is>
      </c>
      <c r="R390" t="inlineStr">
        <is>
          <t xml:space="preserve">QL </t>
        </is>
      </c>
      <c r="S390" t="n">
        <v>3</v>
      </c>
      <c r="T390" t="n">
        <v>3</v>
      </c>
      <c r="U390" t="inlineStr">
        <is>
          <t>1998-04-16</t>
        </is>
      </c>
      <c r="V390" t="inlineStr">
        <is>
          <t>1998-04-16</t>
        </is>
      </c>
      <c r="W390" t="inlineStr">
        <is>
          <t>1993-05-04</t>
        </is>
      </c>
      <c r="X390" t="inlineStr">
        <is>
          <t>1993-05-04</t>
        </is>
      </c>
      <c r="Y390" t="n">
        <v>299</v>
      </c>
      <c r="Z390" t="n">
        <v>204</v>
      </c>
      <c r="AA390" t="n">
        <v>210</v>
      </c>
      <c r="AB390" t="n">
        <v>3</v>
      </c>
      <c r="AC390" t="n">
        <v>3</v>
      </c>
      <c r="AD390" t="n">
        <v>11</v>
      </c>
      <c r="AE390" t="n">
        <v>11</v>
      </c>
      <c r="AF390" t="n">
        <v>2</v>
      </c>
      <c r="AG390" t="n">
        <v>2</v>
      </c>
      <c r="AH390" t="n">
        <v>3</v>
      </c>
      <c r="AI390" t="n">
        <v>3</v>
      </c>
      <c r="AJ390" t="n">
        <v>7</v>
      </c>
      <c r="AK390" t="n">
        <v>7</v>
      </c>
      <c r="AL390" t="n">
        <v>2</v>
      </c>
      <c r="AM390" t="n">
        <v>2</v>
      </c>
      <c r="AN390" t="n">
        <v>0</v>
      </c>
      <c r="AO390" t="n">
        <v>0</v>
      </c>
      <c r="AP390" t="inlineStr">
        <is>
          <t>No</t>
        </is>
      </c>
      <c r="AQ390" t="inlineStr">
        <is>
          <t>Yes</t>
        </is>
      </c>
      <c r="AR390">
        <f>HYPERLINK("http://catalog.hathitrust.org/Record/000568211","HathiTrust Record")</f>
        <v/>
      </c>
      <c r="AS390">
        <f>HYPERLINK("https://creighton-primo.hosted.exlibrisgroup.com/primo-explore/search?tab=default_tab&amp;search_scope=EVERYTHING&amp;vid=01CRU&amp;lang=en_US&amp;offset=0&amp;query=any,contains,991000140459702656","Catalog Record")</f>
        <v/>
      </c>
      <c r="AT390">
        <f>HYPERLINK("http://www.worldcat.org/oclc/9154516","WorldCat Record")</f>
        <v/>
      </c>
      <c r="AU390" t="inlineStr">
        <is>
          <t>349962165:eng</t>
        </is>
      </c>
      <c r="AV390" t="inlineStr">
        <is>
          <t>9154516</t>
        </is>
      </c>
      <c r="AW390" t="inlineStr">
        <is>
          <t>991000140459702656</t>
        </is>
      </c>
      <c r="AX390" t="inlineStr">
        <is>
          <t>991000140459702656</t>
        </is>
      </c>
      <c r="AY390" t="inlineStr">
        <is>
          <t>2264617500002656</t>
        </is>
      </c>
      <c r="AZ390" t="inlineStr">
        <is>
          <t>BOOK</t>
        </is>
      </c>
      <c r="BB390" t="inlineStr">
        <is>
          <t>9780845129005</t>
        </is>
      </c>
      <c r="BC390" t="inlineStr">
        <is>
          <t>32285001634152</t>
        </is>
      </c>
      <c r="BD390" t="inlineStr">
        <is>
          <t>893695629</t>
        </is>
      </c>
    </row>
    <row r="391">
      <c r="A391" t="inlineStr">
        <is>
          <t>No</t>
        </is>
      </c>
      <c r="B391" t="inlineStr">
        <is>
          <t>QL495 .E49</t>
        </is>
      </c>
      <c r="C391" t="inlineStr">
        <is>
          <t>0                      QL 0495000E  49</t>
        </is>
      </c>
      <c r="D391" t="inlineStr">
        <is>
          <t>Energy metabolism in insects / edited by Roger G.H. Downer.</t>
        </is>
      </c>
      <c r="F391" t="inlineStr">
        <is>
          <t>No</t>
        </is>
      </c>
      <c r="G391" t="inlineStr">
        <is>
          <t>1</t>
        </is>
      </c>
      <c r="H391" t="inlineStr">
        <is>
          <t>No</t>
        </is>
      </c>
      <c r="I391" t="inlineStr">
        <is>
          <t>No</t>
        </is>
      </c>
      <c r="J391" t="inlineStr">
        <is>
          <t>0</t>
        </is>
      </c>
      <c r="L391" t="inlineStr">
        <is>
          <t>New York : Plenum, c1981.</t>
        </is>
      </c>
      <c r="M391" t="inlineStr">
        <is>
          <t>1981</t>
        </is>
      </c>
      <c r="O391" t="inlineStr">
        <is>
          <t>eng</t>
        </is>
      </c>
      <c r="P391" t="inlineStr">
        <is>
          <t>nyu</t>
        </is>
      </c>
      <c r="R391" t="inlineStr">
        <is>
          <t xml:space="preserve">QL </t>
        </is>
      </c>
      <c r="S391" t="n">
        <v>6</v>
      </c>
      <c r="T391" t="n">
        <v>6</v>
      </c>
      <c r="U391" t="inlineStr">
        <is>
          <t>1995-03-21</t>
        </is>
      </c>
      <c r="V391" t="inlineStr">
        <is>
          <t>1995-03-21</t>
        </is>
      </c>
      <c r="W391" t="inlineStr">
        <is>
          <t>1993-05-27</t>
        </is>
      </c>
      <c r="X391" t="inlineStr">
        <is>
          <t>1993-05-27</t>
        </is>
      </c>
      <c r="Y391" t="n">
        <v>269</v>
      </c>
      <c r="Z391" t="n">
        <v>182</v>
      </c>
      <c r="AA391" t="n">
        <v>201</v>
      </c>
      <c r="AB391" t="n">
        <v>1</v>
      </c>
      <c r="AC391" t="n">
        <v>1</v>
      </c>
      <c r="AD391" t="n">
        <v>3</v>
      </c>
      <c r="AE391" t="n">
        <v>4</v>
      </c>
      <c r="AF391" t="n">
        <v>0</v>
      </c>
      <c r="AG391" t="n">
        <v>1</v>
      </c>
      <c r="AH391" t="n">
        <v>2</v>
      </c>
      <c r="AI391" t="n">
        <v>2</v>
      </c>
      <c r="AJ391" t="n">
        <v>2</v>
      </c>
      <c r="AK391" t="n">
        <v>3</v>
      </c>
      <c r="AL391" t="n">
        <v>0</v>
      </c>
      <c r="AM391" t="n">
        <v>0</v>
      </c>
      <c r="AN391" t="n">
        <v>0</v>
      </c>
      <c r="AO391" t="n">
        <v>0</v>
      </c>
      <c r="AP391" t="inlineStr">
        <is>
          <t>No</t>
        </is>
      </c>
      <c r="AQ391" t="inlineStr">
        <is>
          <t>Yes</t>
        </is>
      </c>
      <c r="AR391">
        <f>HYPERLINK("http://catalog.hathitrust.org/Record/000231575","HathiTrust Record")</f>
        <v/>
      </c>
      <c r="AS391">
        <f>HYPERLINK("https://creighton-primo.hosted.exlibrisgroup.com/primo-explore/search?tab=default_tab&amp;search_scope=EVERYTHING&amp;vid=01CRU&amp;lang=en_US&amp;offset=0&amp;query=any,contains,991005141789702656","Catalog Record")</f>
        <v/>
      </c>
      <c r="AT391">
        <f>HYPERLINK("http://www.worldcat.org/oclc/7615493","WorldCat Record")</f>
        <v/>
      </c>
      <c r="AU391" t="inlineStr">
        <is>
          <t>427303173:eng</t>
        </is>
      </c>
      <c r="AV391" t="inlineStr">
        <is>
          <t>7615493</t>
        </is>
      </c>
      <c r="AW391" t="inlineStr">
        <is>
          <t>991005141789702656</t>
        </is>
      </c>
      <c r="AX391" t="inlineStr">
        <is>
          <t>991005141789702656</t>
        </is>
      </c>
      <c r="AY391" t="inlineStr">
        <is>
          <t>2255357080002656</t>
        </is>
      </c>
      <c r="AZ391" t="inlineStr">
        <is>
          <t>BOOK</t>
        </is>
      </c>
      <c r="BB391" t="inlineStr">
        <is>
          <t>9780306406973</t>
        </is>
      </c>
      <c r="BC391" t="inlineStr">
        <is>
          <t>32285001687234</t>
        </is>
      </c>
      <c r="BD391" t="inlineStr">
        <is>
          <t>893783085</t>
        </is>
      </c>
    </row>
    <row r="392">
      <c r="A392" t="inlineStr">
        <is>
          <t>No</t>
        </is>
      </c>
      <c r="B392" t="inlineStr">
        <is>
          <t>QL495 .E5 1970</t>
        </is>
      </c>
      <c r="C392" t="inlineStr">
        <is>
          <t>0                      QL 0495000E  5           1970</t>
        </is>
      </c>
      <c r="D392" t="inlineStr">
        <is>
          <t>The physiology of insect reproduction.</t>
        </is>
      </c>
      <c r="F392" t="inlineStr">
        <is>
          <t>No</t>
        </is>
      </c>
      <c r="G392" t="inlineStr">
        <is>
          <t>1</t>
        </is>
      </c>
      <c r="H392" t="inlineStr">
        <is>
          <t>No</t>
        </is>
      </c>
      <c r="I392" t="inlineStr">
        <is>
          <t>No</t>
        </is>
      </c>
      <c r="J392" t="inlineStr">
        <is>
          <t>0</t>
        </is>
      </c>
      <c r="K392" t="inlineStr">
        <is>
          <t>Engelmann, Franz, 1928-</t>
        </is>
      </c>
      <c r="L392" t="inlineStr">
        <is>
          <t>Oxford ; New York : Pergamon Press, [1970]</t>
        </is>
      </c>
      <c r="M392" t="inlineStr">
        <is>
          <t>1970</t>
        </is>
      </c>
      <c r="N392" t="inlineStr">
        <is>
          <t>[1st ed.]</t>
        </is>
      </c>
      <c r="O392" t="inlineStr">
        <is>
          <t>eng</t>
        </is>
      </c>
      <c r="P392" t="inlineStr">
        <is>
          <t>enk</t>
        </is>
      </c>
      <c r="Q392" t="inlineStr">
        <is>
          <t>International series of monographs in pure and applied biology. Division: Zoology, v. 44</t>
        </is>
      </c>
      <c r="R392" t="inlineStr">
        <is>
          <t xml:space="preserve">QL </t>
        </is>
      </c>
      <c r="S392" t="n">
        <v>4</v>
      </c>
      <c r="T392" t="n">
        <v>4</v>
      </c>
      <c r="U392" t="inlineStr">
        <is>
          <t>2010-04-12</t>
        </is>
      </c>
      <c r="V392" t="inlineStr">
        <is>
          <t>2010-04-12</t>
        </is>
      </c>
      <c r="W392" t="inlineStr">
        <is>
          <t>1990-11-30</t>
        </is>
      </c>
      <c r="X392" t="inlineStr">
        <is>
          <t>1990-11-30</t>
        </is>
      </c>
      <c r="Y392" t="n">
        <v>414</v>
      </c>
      <c r="Z392" t="n">
        <v>263</v>
      </c>
      <c r="AA392" t="n">
        <v>304</v>
      </c>
      <c r="AB392" t="n">
        <v>3</v>
      </c>
      <c r="AC392" t="n">
        <v>3</v>
      </c>
      <c r="AD392" t="n">
        <v>7</v>
      </c>
      <c r="AE392" t="n">
        <v>10</v>
      </c>
      <c r="AF392" t="n">
        <v>0</v>
      </c>
      <c r="AG392" t="n">
        <v>2</v>
      </c>
      <c r="AH392" t="n">
        <v>2</v>
      </c>
      <c r="AI392" t="n">
        <v>4</v>
      </c>
      <c r="AJ392" t="n">
        <v>4</v>
      </c>
      <c r="AK392" t="n">
        <v>4</v>
      </c>
      <c r="AL392" t="n">
        <v>2</v>
      </c>
      <c r="AM392" t="n">
        <v>2</v>
      </c>
      <c r="AN392" t="n">
        <v>0</v>
      </c>
      <c r="AO392" t="n">
        <v>0</v>
      </c>
      <c r="AP392" t="inlineStr">
        <is>
          <t>No</t>
        </is>
      </c>
      <c r="AQ392" t="inlineStr">
        <is>
          <t>Yes</t>
        </is>
      </c>
      <c r="AR392">
        <f>HYPERLINK("http://catalog.hathitrust.org/Record/001500108","HathiTrust Record")</f>
        <v/>
      </c>
      <c r="AS392">
        <f>HYPERLINK("https://creighton-primo.hosted.exlibrisgroup.com/primo-explore/search?tab=default_tab&amp;search_scope=EVERYTHING&amp;vid=01CRU&amp;lang=en_US&amp;offset=0&amp;query=any,contains,991000490519702656","Catalog Record")</f>
        <v/>
      </c>
      <c r="AT392">
        <f>HYPERLINK("http://www.worldcat.org/oclc/80414","WorldCat Record")</f>
        <v/>
      </c>
      <c r="AU392" t="inlineStr">
        <is>
          <t>1260971:eng</t>
        </is>
      </c>
      <c r="AV392" t="inlineStr">
        <is>
          <t>80414</t>
        </is>
      </c>
      <c r="AW392" t="inlineStr">
        <is>
          <t>991000490519702656</t>
        </is>
      </c>
      <c r="AX392" t="inlineStr">
        <is>
          <t>991000490519702656</t>
        </is>
      </c>
      <c r="AY392" t="inlineStr">
        <is>
          <t>2269913820002656</t>
        </is>
      </c>
      <c r="AZ392" t="inlineStr">
        <is>
          <t>BOOK</t>
        </is>
      </c>
      <c r="BB392" t="inlineStr">
        <is>
          <t>9780080155593</t>
        </is>
      </c>
      <c r="BC392" t="inlineStr">
        <is>
          <t>32285000411289</t>
        </is>
      </c>
      <c r="BD392" t="inlineStr">
        <is>
          <t>893431998</t>
        </is>
      </c>
    </row>
    <row r="393">
      <c r="A393" t="inlineStr">
        <is>
          <t>No</t>
        </is>
      </c>
      <c r="B393" t="inlineStr">
        <is>
          <t>QL495 .H38 1993</t>
        </is>
      </c>
      <c r="C393" t="inlineStr">
        <is>
          <t>0                      QL 0495000H  38          1993</t>
        </is>
      </c>
      <c r="D393" t="inlineStr">
        <is>
          <t>The hot-blooded insects : strategies and mechanisms of thermoregulation / Bernd Heinrich.</t>
        </is>
      </c>
      <c r="F393" t="inlineStr">
        <is>
          <t>No</t>
        </is>
      </c>
      <c r="G393" t="inlineStr">
        <is>
          <t>1</t>
        </is>
      </c>
      <c r="H393" t="inlineStr">
        <is>
          <t>No</t>
        </is>
      </c>
      <c r="I393" t="inlineStr">
        <is>
          <t>No</t>
        </is>
      </c>
      <c r="J393" t="inlineStr">
        <is>
          <t>0</t>
        </is>
      </c>
      <c r="K393" t="inlineStr">
        <is>
          <t>Heinrich, Bernd, 1940-</t>
        </is>
      </c>
      <c r="L393" t="inlineStr">
        <is>
          <t>Cambridge, Mass. : Harvard University Press, 1993.</t>
        </is>
      </c>
      <c r="M393" t="inlineStr">
        <is>
          <t>1993</t>
        </is>
      </c>
      <c r="O393" t="inlineStr">
        <is>
          <t>eng</t>
        </is>
      </c>
      <c r="P393" t="inlineStr">
        <is>
          <t>mau</t>
        </is>
      </c>
      <c r="R393" t="inlineStr">
        <is>
          <t xml:space="preserve">QL </t>
        </is>
      </c>
      <c r="S393" t="n">
        <v>7</v>
      </c>
      <c r="T393" t="n">
        <v>7</v>
      </c>
      <c r="U393" t="inlineStr">
        <is>
          <t>2008-12-01</t>
        </is>
      </c>
      <c r="V393" t="inlineStr">
        <is>
          <t>2008-12-01</t>
        </is>
      </c>
      <c r="W393" t="inlineStr">
        <is>
          <t>1996-03-21</t>
        </is>
      </c>
      <c r="X393" t="inlineStr">
        <is>
          <t>1996-03-21</t>
        </is>
      </c>
      <c r="Y393" t="n">
        <v>551</v>
      </c>
      <c r="Z393" t="n">
        <v>471</v>
      </c>
      <c r="AA393" t="n">
        <v>494</v>
      </c>
      <c r="AB393" t="n">
        <v>3</v>
      </c>
      <c r="AC393" t="n">
        <v>3</v>
      </c>
      <c r="AD393" t="n">
        <v>16</v>
      </c>
      <c r="AE393" t="n">
        <v>17</v>
      </c>
      <c r="AF393" t="n">
        <v>7</v>
      </c>
      <c r="AG393" t="n">
        <v>7</v>
      </c>
      <c r="AH393" t="n">
        <v>4</v>
      </c>
      <c r="AI393" t="n">
        <v>4</v>
      </c>
      <c r="AJ393" t="n">
        <v>9</v>
      </c>
      <c r="AK393" t="n">
        <v>10</v>
      </c>
      <c r="AL393" t="n">
        <v>2</v>
      </c>
      <c r="AM393" t="n">
        <v>2</v>
      </c>
      <c r="AN393" t="n">
        <v>0</v>
      </c>
      <c r="AO393" t="n">
        <v>0</v>
      </c>
      <c r="AP393" t="inlineStr">
        <is>
          <t>No</t>
        </is>
      </c>
      <c r="AQ393" t="inlineStr">
        <is>
          <t>Yes</t>
        </is>
      </c>
      <c r="AR393">
        <f>HYPERLINK("http://catalog.hathitrust.org/Record/002622127","HathiTrust Record")</f>
        <v/>
      </c>
      <c r="AS393">
        <f>HYPERLINK("https://creighton-primo.hosted.exlibrisgroup.com/primo-explore/search?tab=default_tab&amp;search_scope=EVERYTHING&amp;vid=01CRU&amp;lang=en_US&amp;offset=0&amp;query=any,contains,991002018199702656","Catalog Record")</f>
        <v/>
      </c>
      <c r="AT393">
        <f>HYPERLINK("http://www.worldcat.org/oclc/25675305","WorldCat Record")</f>
        <v/>
      </c>
      <c r="AU393" t="inlineStr">
        <is>
          <t>898015412:eng</t>
        </is>
      </c>
      <c r="AV393" t="inlineStr">
        <is>
          <t>25675305</t>
        </is>
      </c>
      <c r="AW393" t="inlineStr">
        <is>
          <t>991002018199702656</t>
        </is>
      </c>
      <c r="AX393" t="inlineStr">
        <is>
          <t>991002018199702656</t>
        </is>
      </c>
      <c r="AY393" t="inlineStr">
        <is>
          <t>2267136120002656</t>
        </is>
      </c>
      <c r="AZ393" t="inlineStr">
        <is>
          <t>BOOK</t>
        </is>
      </c>
      <c r="BB393" t="inlineStr">
        <is>
          <t>9780674408388</t>
        </is>
      </c>
      <c r="BC393" t="inlineStr">
        <is>
          <t>32285002145497</t>
        </is>
      </c>
      <c r="BD393" t="inlineStr">
        <is>
          <t>893328594</t>
        </is>
      </c>
    </row>
    <row r="394">
      <c r="A394" t="inlineStr">
        <is>
          <t>No</t>
        </is>
      </c>
      <c r="B394" t="inlineStr">
        <is>
          <t>QL495 .I58 1992</t>
        </is>
      </c>
      <c r="C394" t="inlineStr">
        <is>
          <t>0                      QL 0495000I  58          1992</t>
        </is>
      </c>
      <c r="D394" t="inlineStr">
        <is>
          <t>Insect chemical ecology : an evolutionary approach / edited by Bernard D. Roitberg &amp; Murray B. Isman.</t>
        </is>
      </c>
      <c r="F394" t="inlineStr">
        <is>
          <t>No</t>
        </is>
      </c>
      <c r="G394" t="inlineStr">
        <is>
          <t>1</t>
        </is>
      </c>
      <c r="H394" t="inlineStr">
        <is>
          <t>No</t>
        </is>
      </c>
      <c r="I394" t="inlineStr">
        <is>
          <t>No</t>
        </is>
      </c>
      <c r="J394" t="inlineStr">
        <is>
          <t>0</t>
        </is>
      </c>
      <c r="L394" t="inlineStr">
        <is>
          <t>New York : Chapman &amp; Hall, 1992.</t>
        </is>
      </c>
      <c r="M394" t="inlineStr">
        <is>
          <t>1992</t>
        </is>
      </c>
      <c r="O394" t="inlineStr">
        <is>
          <t>eng</t>
        </is>
      </c>
      <c r="P394" t="inlineStr">
        <is>
          <t>nyu</t>
        </is>
      </c>
      <c r="R394" t="inlineStr">
        <is>
          <t xml:space="preserve">QL </t>
        </is>
      </c>
      <c r="S394" t="n">
        <v>6</v>
      </c>
      <c r="T394" t="n">
        <v>6</v>
      </c>
      <c r="U394" t="inlineStr">
        <is>
          <t>2004-12-04</t>
        </is>
      </c>
      <c r="V394" t="inlineStr">
        <is>
          <t>2004-12-04</t>
        </is>
      </c>
      <c r="W394" t="inlineStr">
        <is>
          <t>1992-11-30</t>
        </is>
      </c>
      <c r="X394" t="inlineStr">
        <is>
          <t>1992-11-30</t>
        </is>
      </c>
      <c r="Y394" t="n">
        <v>329</v>
      </c>
      <c r="Z394" t="n">
        <v>201</v>
      </c>
      <c r="AA394" t="n">
        <v>202</v>
      </c>
      <c r="AB394" t="n">
        <v>1</v>
      </c>
      <c r="AC394" t="n">
        <v>1</v>
      </c>
      <c r="AD394" t="n">
        <v>5</v>
      </c>
      <c r="AE394" t="n">
        <v>5</v>
      </c>
      <c r="AF394" t="n">
        <v>0</v>
      </c>
      <c r="AG394" t="n">
        <v>0</v>
      </c>
      <c r="AH394" t="n">
        <v>2</v>
      </c>
      <c r="AI394" t="n">
        <v>2</v>
      </c>
      <c r="AJ394" t="n">
        <v>4</v>
      </c>
      <c r="AK394" t="n">
        <v>4</v>
      </c>
      <c r="AL394" t="n">
        <v>0</v>
      </c>
      <c r="AM394" t="n">
        <v>0</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HYPERLINK("https://creighton-primo.hosted.exlibrisgroup.com/primo-explore/search?tab=default_tab&amp;search_scope=EVERYTHING&amp;vid=01CRU&amp;lang=en_US&amp;offset=0&amp;query=any,contains,991002016059702656","Catalog Record")</f>
        <v/>
      </c>
      <c r="AT394">
        <f>HYPERLINK("http://www.worldcat.org/oclc/25631821","WorldCat Record")</f>
        <v/>
      </c>
      <c r="AU394" t="inlineStr">
        <is>
          <t>806718600:eng</t>
        </is>
      </c>
      <c r="AV394" t="inlineStr">
        <is>
          <t>25631821</t>
        </is>
      </c>
      <c r="AW394" t="inlineStr">
        <is>
          <t>991002016059702656</t>
        </is>
      </c>
      <c r="AX394" t="inlineStr">
        <is>
          <t>991002016059702656</t>
        </is>
      </c>
      <c r="AY394" t="inlineStr">
        <is>
          <t>2268603530002656</t>
        </is>
      </c>
      <c r="AZ394" t="inlineStr">
        <is>
          <t>BOOK</t>
        </is>
      </c>
      <c r="BB394" t="inlineStr">
        <is>
          <t>9780412018718</t>
        </is>
      </c>
      <c r="BC394" t="inlineStr">
        <is>
          <t>32285001400372</t>
        </is>
      </c>
      <c r="BD394" t="inlineStr">
        <is>
          <t>893352116</t>
        </is>
      </c>
    </row>
    <row r="395">
      <c r="A395" t="inlineStr">
        <is>
          <t>No</t>
        </is>
      </c>
      <c r="B395" t="inlineStr">
        <is>
          <t>QL495 .M65 1987</t>
        </is>
      </c>
      <c r="C395" t="inlineStr">
        <is>
          <t>0                      QL 0495000M  65          1987</t>
        </is>
      </c>
      <c r="D395" t="inlineStr">
        <is>
          <t>Molecular entomology : proceedings of a Monsanto-UCLA symposium held in Steamboat Springs, Colorado, April 6-13, 1986 / editor, John H. Law.</t>
        </is>
      </c>
      <c r="F395" t="inlineStr">
        <is>
          <t>No</t>
        </is>
      </c>
      <c r="G395" t="inlineStr">
        <is>
          <t>1</t>
        </is>
      </c>
      <c r="H395" t="inlineStr">
        <is>
          <t>No</t>
        </is>
      </c>
      <c r="I395" t="inlineStr">
        <is>
          <t>No</t>
        </is>
      </c>
      <c r="J395" t="inlineStr">
        <is>
          <t>0</t>
        </is>
      </c>
      <c r="L395" t="inlineStr">
        <is>
          <t>New York : Liss, c1987.</t>
        </is>
      </c>
      <c r="M395" t="inlineStr">
        <is>
          <t>1987</t>
        </is>
      </c>
      <c r="O395" t="inlineStr">
        <is>
          <t>eng</t>
        </is>
      </c>
      <c r="P395" t="inlineStr">
        <is>
          <t>nyu</t>
        </is>
      </c>
      <c r="Q395" t="inlineStr">
        <is>
          <t>UCLA symposia on molecular and cellular biology ; new ser., v. 49</t>
        </is>
      </c>
      <c r="R395" t="inlineStr">
        <is>
          <t xml:space="preserve">QL </t>
        </is>
      </c>
      <c r="S395" t="n">
        <v>4</v>
      </c>
      <c r="T395" t="n">
        <v>4</v>
      </c>
      <c r="U395" t="inlineStr">
        <is>
          <t>1996-04-13</t>
        </is>
      </c>
      <c r="V395" t="inlineStr">
        <is>
          <t>1996-04-13</t>
        </is>
      </c>
      <c r="W395" t="inlineStr">
        <is>
          <t>1993-05-27</t>
        </is>
      </c>
      <c r="X395" t="inlineStr">
        <is>
          <t>1993-05-27</t>
        </is>
      </c>
      <c r="Y395" t="n">
        <v>205</v>
      </c>
      <c r="Z395" t="n">
        <v>157</v>
      </c>
      <c r="AA395" t="n">
        <v>160</v>
      </c>
      <c r="AB395" t="n">
        <v>1</v>
      </c>
      <c r="AC395" t="n">
        <v>1</v>
      </c>
      <c r="AD395" t="n">
        <v>7</v>
      </c>
      <c r="AE395" t="n">
        <v>7</v>
      </c>
      <c r="AF395" t="n">
        <v>0</v>
      </c>
      <c r="AG395" t="n">
        <v>0</v>
      </c>
      <c r="AH395" t="n">
        <v>4</v>
      </c>
      <c r="AI395" t="n">
        <v>4</v>
      </c>
      <c r="AJ395" t="n">
        <v>5</v>
      </c>
      <c r="AK395" t="n">
        <v>5</v>
      </c>
      <c r="AL395" t="n">
        <v>0</v>
      </c>
      <c r="AM395" t="n">
        <v>0</v>
      </c>
      <c r="AN395" t="n">
        <v>0</v>
      </c>
      <c r="AO395" t="n">
        <v>0</v>
      </c>
      <c r="AP395" t="inlineStr">
        <is>
          <t>No</t>
        </is>
      </c>
      <c r="AQ395" t="inlineStr">
        <is>
          <t>Yes</t>
        </is>
      </c>
      <c r="AR395">
        <f>HYPERLINK("http://catalog.hathitrust.org/Record/000854156","HathiTrust Record")</f>
        <v/>
      </c>
      <c r="AS395">
        <f>HYPERLINK("https://creighton-primo.hosted.exlibrisgroup.com/primo-explore/search?tab=default_tab&amp;search_scope=EVERYTHING&amp;vid=01CRU&amp;lang=en_US&amp;offset=0&amp;query=any,contains,991001003569702656","Catalog Record")</f>
        <v/>
      </c>
      <c r="AT395">
        <f>HYPERLINK("http://www.worldcat.org/oclc/15222206","WorldCat Record")</f>
        <v/>
      </c>
      <c r="AU395" t="inlineStr">
        <is>
          <t>807869281:eng</t>
        </is>
      </c>
      <c r="AV395" t="inlineStr">
        <is>
          <t>15222206</t>
        </is>
      </c>
      <c r="AW395" t="inlineStr">
        <is>
          <t>991001003569702656</t>
        </is>
      </c>
      <c r="AX395" t="inlineStr">
        <is>
          <t>991001003569702656</t>
        </is>
      </c>
      <c r="AY395" t="inlineStr">
        <is>
          <t>2266801190002656</t>
        </is>
      </c>
      <c r="AZ395" t="inlineStr">
        <is>
          <t>BOOK</t>
        </is>
      </c>
      <c r="BB395" t="inlineStr">
        <is>
          <t>9780845126486</t>
        </is>
      </c>
      <c r="BC395" t="inlineStr">
        <is>
          <t>32285001687291</t>
        </is>
      </c>
      <c r="BD395" t="inlineStr">
        <is>
          <t>893683934</t>
        </is>
      </c>
    </row>
    <row r="396">
      <c r="A396" t="inlineStr">
        <is>
          <t>No</t>
        </is>
      </c>
      <c r="B396" t="inlineStr">
        <is>
          <t>QL495 .N48</t>
        </is>
      </c>
      <c r="C396" t="inlineStr">
        <is>
          <t>0                      QL 0495000N  48</t>
        </is>
      </c>
      <c r="D396" t="inlineStr">
        <is>
          <t>Neurohormonal techniques in insects / edited by Thomas A. Miller ; with a foreword by Gottfried S. Fraenkel ; with contributions by R. J. Aston ... [et al.]</t>
        </is>
      </c>
      <c r="F396" t="inlineStr">
        <is>
          <t>No</t>
        </is>
      </c>
      <c r="G396" t="inlineStr">
        <is>
          <t>1</t>
        </is>
      </c>
      <c r="H396" t="inlineStr">
        <is>
          <t>No</t>
        </is>
      </c>
      <c r="I396" t="inlineStr">
        <is>
          <t>No</t>
        </is>
      </c>
      <c r="J396" t="inlineStr">
        <is>
          <t>0</t>
        </is>
      </c>
      <c r="L396" t="inlineStr">
        <is>
          <t>New York : Springer-Verlag, c1980.</t>
        </is>
      </c>
      <c r="M396" t="inlineStr">
        <is>
          <t>1980</t>
        </is>
      </c>
      <c r="O396" t="inlineStr">
        <is>
          <t>eng</t>
        </is>
      </c>
      <c r="P396" t="inlineStr">
        <is>
          <t>nyu</t>
        </is>
      </c>
      <c r="Q396" t="inlineStr">
        <is>
          <t>Springer series in experimental entomology</t>
        </is>
      </c>
      <c r="R396" t="inlineStr">
        <is>
          <t xml:space="preserve">QL </t>
        </is>
      </c>
      <c r="S396" t="n">
        <v>7</v>
      </c>
      <c r="T396" t="n">
        <v>7</v>
      </c>
      <c r="U396" t="inlineStr">
        <is>
          <t>2007-02-24</t>
        </is>
      </c>
      <c r="V396" t="inlineStr">
        <is>
          <t>2007-02-24</t>
        </is>
      </c>
      <c r="W396" t="inlineStr">
        <is>
          <t>1993-05-27</t>
        </is>
      </c>
      <c r="X396" t="inlineStr">
        <is>
          <t>1993-05-27</t>
        </is>
      </c>
      <c r="Y396" t="n">
        <v>264</v>
      </c>
      <c r="Z396" t="n">
        <v>162</v>
      </c>
      <c r="AA396" t="n">
        <v>187</v>
      </c>
      <c r="AB396" t="n">
        <v>2</v>
      </c>
      <c r="AC396" t="n">
        <v>2</v>
      </c>
      <c r="AD396" t="n">
        <v>4</v>
      </c>
      <c r="AE396" t="n">
        <v>5</v>
      </c>
      <c r="AF396" t="n">
        <v>0</v>
      </c>
      <c r="AG396" t="n">
        <v>1</v>
      </c>
      <c r="AH396" t="n">
        <v>3</v>
      </c>
      <c r="AI396" t="n">
        <v>3</v>
      </c>
      <c r="AJ396" t="n">
        <v>2</v>
      </c>
      <c r="AK396" t="n">
        <v>3</v>
      </c>
      <c r="AL396" t="n">
        <v>1</v>
      </c>
      <c r="AM396" t="n">
        <v>1</v>
      </c>
      <c r="AN396" t="n">
        <v>0</v>
      </c>
      <c r="AO396" t="n">
        <v>0</v>
      </c>
      <c r="AP396" t="inlineStr">
        <is>
          <t>No</t>
        </is>
      </c>
      <c r="AQ396" t="inlineStr">
        <is>
          <t>Yes</t>
        </is>
      </c>
      <c r="AR396">
        <f>HYPERLINK("http://catalog.hathitrust.org/Record/000192655","HathiTrust Record")</f>
        <v/>
      </c>
      <c r="AS396">
        <f>HYPERLINK("https://creighton-primo.hosted.exlibrisgroup.com/primo-explore/search?tab=default_tab&amp;search_scope=EVERYTHING&amp;vid=01CRU&amp;lang=en_US&amp;offset=0&amp;query=any,contains,991004895689702656","Catalog Record")</f>
        <v/>
      </c>
      <c r="AT396">
        <f>HYPERLINK("http://www.worldcat.org/oclc/5893616","WorldCat Record")</f>
        <v/>
      </c>
      <c r="AU396" t="inlineStr">
        <is>
          <t>458209:eng</t>
        </is>
      </c>
      <c r="AV396" t="inlineStr">
        <is>
          <t>5893616</t>
        </is>
      </c>
      <c r="AW396" t="inlineStr">
        <is>
          <t>991004895689702656</t>
        </is>
      </c>
      <c r="AX396" t="inlineStr">
        <is>
          <t>991004895689702656</t>
        </is>
      </c>
      <c r="AY396" t="inlineStr">
        <is>
          <t>2265119930002656</t>
        </is>
      </c>
      <c r="AZ396" t="inlineStr">
        <is>
          <t>BOOK</t>
        </is>
      </c>
      <c r="BB396" t="inlineStr">
        <is>
          <t>9780387904511</t>
        </is>
      </c>
      <c r="BC396" t="inlineStr">
        <is>
          <t>32285001687267</t>
        </is>
      </c>
      <c r="BD396" t="inlineStr">
        <is>
          <t>893520152</t>
        </is>
      </c>
    </row>
    <row r="397">
      <c r="A397" t="inlineStr">
        <is>
          <t>No</t>
        </is>
      </c>
      <c r="B397" t="inlineStr">
        <is>
          <t>QL495 .N54 1994</t>
        </is>
      </c>
      <c r="C397" t="inlineStr">
        <is>
          <t>0                      QL 0495000N  54          1994</t>
        </is>
      </c>
      <c r="D397" t="inlineStr">
        <is>
          <t>Insect hormones / H. Frederik Nijhout.</t>
        </is>
      </c>
      <c r="F397" t="inlineStr">
        <is>
          <t>No</t>
        </is>
      </c>
      <c r="G397" t="inlineStr">
        <is>
          <t>1</t>
        </is>
      </c>
      <c r="H397" t="inlineStr">
        <is>
          <t>No</t>
        </is>
      </c>
      <c r="I397" t="inlineStr">
        <is>
          <t>No</t>
        </is>
      </c>
      <c r="J397" t="inlineStr">
        <is>
          <t>0</t>
        </is>
      </c>
      <c r="K397" t="inlineStr">
        <is>
          <t>Nijhout, H. Frederik.</t>
        </is>
      </c>
      <c r="L397" t="inlineStr">
        <is>
          <t>Princeton, N.J. : Princeton University Press, c1994.</t>
        </is>
      </c>
      <c r="M397" t="inlineStr">
        <is>
          <t>1994</t>
        </is>
      </c>
      <c r="O397" t="inlineStr">
        <is>
          <t>eng</t>
        </is>
      </c>
      <c r="P397" t="inlineStr">
        <is>
          <t>nju</t>
        </is>
      </c>
      <c r="R397" t="inlineStr">
        <is>
          <t xml:space="preserve">QL </t>
        </is>
      </c>
      <c r="S397" t="n">
        <v>8</v>
      </c>
      <c r="T397" t="n">
        <v>8</v>
      </c>
      <c r="U397" t="inlineStr">
        <is>
          <t>2007-02-24</t>
        </is>
      </c>
      <c r="V397" t="inlineStr">
        <is>
          <t>2007-02-24</t>
        </is>
      </c>
      <c r="W397" t="inlineStr">
        <is>
          <t>1995-12-05</t>
        </is>
      </c>
      <c r="X397" t="inlineStr">
        <is>
          <t>1995-12-05</t>
        </is>
      </c>
      <c r="Y397" t="n">
        <v>505</v>
      </c>
      <c r="Z397" t="n">
        <v>396</v>
      </c>
      <c r="AA397" t="n">
        <v>399</v>
      </c>
      <c r="AB397" t="n">
        <v>3</v>
      </c>
      <c r="AC397" t="n">
        <v>3</v>
      </c>
      <c r="AD397" t="n">
        <v>17</v>
      </c>
      <c r="AE397" t="n">
        <v>17</v>
      </c>
      <c r="AF397" t="n">
        <v>6</v>
      </c>
      <c r="AG397" t="n">
        <v>6</v>
      </c>
      <c r="AH397" t="n">
        <v>4</v>
      </c>
      <c r="AI397" t="n">
        <v>4</v>
      </c>
      <c r="AJ397" t="n">
        <v>9</v>
      </c>
      <c r="AK397" t="n">
        <v>9</v>
      </c>
      <c r="AL397" t="n">
        <v>2</v>
      </c>
      <c r="AM397" t="n">
        <v>2</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HYPERLINK("https://creighton-primo.hosted.exlibrisgroup.com/primo-explore/search?tab=default_tab&amp;search_scope=EVERYTHING&amp;vid=01CRU&amp;lang=en_US&amp;offset=0&amp;query=any,contains,991005417969702656","Catalog Record")</f>
        <v/>
      </c>
      <c r="AT397">
        <f>HYPERLINK("http://www.worldcat.org/oclc/29359500","WorldCat Record")</f>
        <v/>
      </c>
      <c r="AU397" t="inlineStr">
        <is>
          <t>31248004:eng</t>
        </is>
      </c>
      <c r="AV397" t="inlineStr">
        <is>
          <t>29359500</t>
        </is>
      </c>
      <c r="AW397" t="inlineStr">
        <is>
          <t>991005417969702656</t>
        </is>
      </c>
      <c r="AX397" t="inlineStr">
        <is>
          <t>991005417969702656</t>
        </is>
      </c>
      <c r="AY397" t="inlineStr">
        <is>
          <t>2266711160002656</t>
        </is>
      </c>
      <c r="AZ397" t="inlineStr">
        <is>
          <t>BOOK</t>
        </is>
      </c>
      <c r="BB397" t="inlineStr">
        <is>
          <t>9780691034669</t>
        </is>
      </c>
      <c r="BC397" t="inlineStr">
        <is>
          <t>32285002108180</t>
        </is>
      </c>
      <c r="BD397" t="inlineStr">
        <is>
          <t>893418916</t>
        </is>
      </c>
    </row>
    <row r="398">
      <c r="A398" t="inlineStr">
        <is>
          <t>No</t>
        </is>
      </c>
      <c r="B398" t="inlineStr">
        <is>
          <t>QL495 .N55 1989</t>
        </is>
      </c>
      <c r="C398" t="inlineStr">
        <is>
          <t>0                      QL 0495000N  55          1989</t>
        </is>
      </c>
      <c r="D398" t="inlineStr">
        <is>
          <t>Insect spiracular systems / T.B. Nikam and V.V. Khole.</t>
        </is>
      </c>
      <c r="F398" t="inlineStr">
        <is>
          <t>No</t>
        </is>
      </c>
      <c r="G398" t="inlineStr">
        <is>
          <t>1</t>
        </is>
      </c>
      <c r="H398" t="inlineStr">
        <is>
          <t>No</t>
        </is>
      </c>
      <c r="I398" t="inlineStr">
        <is>
          <t>No</t>
        </is>
      </c>
      <c r="J398" t="inlineStr">
        <is>
          <t>0</t>
        </is>
      </c>
      <c r="K398" t="inlineStr">
        <is>
          <t>Nikam, T. B. (Tukaram Bandu), 1949-</t>
        </is>
      </c>
      <c r="L398" t="inlineStr">
        <is>
          <t>Chichester, West Sussex, England : E. Horwood ; New York : Wiley, 1989.</t>
        </is>
      </c>
      <c r="M398" t="inlineStr">
        <is>
          <t>1989</t>
        </is>
      </c>
      <c r="O398" t="inlineStr">
        <is>
          <t>eng</t>
        </is>
      </c>
      <c r="P398" t="inlineStr">
        <is>
          <t>enk</t>
        </is>
      </c>
      <c r="Q398" t="inlineStr">
        <is>
          <t>Ellis Horwood series in entomology and acarology</t>
        </is>
      </c>
      <c r="R398" t="inlineStr">
        <is>
          <t xml:space="preserve">QL </t>
        </is>
      </c>
      <c r="S398" t="n">
        <v>3</v>
      </c>
      <c r="T398" t="n">
        <v>3</v>
      </c>
      <c r="U398" t="inlineStr">
        <is>
          <t>1995-02-11</t>
        </is>
      </c>
      <c r="V398" t="inlineStr">
        <is>
          <t>1995-02-11</t>
        </is>
      </c>
      <c r="W398" t="inlineStr">
        <is>
          <t>1989-10-23</t>
        </is>
      </c>
      <c r="X398" t="inlineStr">
        <is>
          <t>1989-10-23</t>
        </is>
      </c>
      <c r="Y398" t="n">
        <v>159</v>
      </c>
      <c r="Z398" t="n">
        <v>117</v>
      </c>
      <c r="AA398" t="n">
        <v>120</v>
      </c>
      <c r="AB398" t="n">
        <v>1</v>
      </c>
      <c r="AC398" t="n">
        <v>1</v>
      </c>
      <c r="AD398" t="n">
        <v>2</v>
      </c>
      <c r="AE398" t="n">
        <v>2</v>
      </c>
      <c r="AF398" t="n">
        <v>0</v>
      </c>
      <c r="AG398" t="n">
        <v>0</v>
      </c>
      <c r="AH398" t="n">
        <v>1</v>
      </c>
      <c r="AI398" t="n">
        <v>1</v>
      </c>
      <c r="AJ398" t="n">
        <v>1</v>
      </c>
      <c r="AK398" t="n">
        <v>1</v>
      </c>
      <c r="AL398" t="n">
        <v>0</v>
      </c>
      <c r="AM398" t="n">
        <v>0</v>
      </c>
      <c r="AN398" t="n">
        <v>0</v>
      </c>
      <c r="AO398" t="n">
        <v>0</v>
      </c>
      <c r="AP398" t="inlineStr">
        <is>
          <t>No</t>
        </is>
      </c>
      <c r="AQ398" t="inlineStr">
        <is>
          <t>Yes</t>
        </is>
      </c>
      <c r="AR398">
        <f>HYPERLINK("http://catalog.hathitrust.org/Record/001825158","HathiTrust Record")</f>
        <v/>
      </c>
      <c r="AS398">
        <f>HYPERLINK("https://creighton-primo.hosted.exlibrisgroup.com/primo-explore/search?tab=default_tab&amp;search_scope=EVERYTHING&amp;vid=01CRU&amp;lang=en_US&amp;offset=0&amp;query=any,contains,991001365199702656","Catalog Record")</f>
        <v/>
      </c>
      <c r="AT398">
        <f>HYPERLINK("http://www.worldcat.org/oclc/18557880","WorldCat Record")</f>
        <v/>
      </c>
      <c r="AU398" t="inlineStr">
        <is>
          <t>17380741:eng</t>
        </is>
      </c>
      <c r="AV398" t="inlineStr">
        <is>
          <t>18557880</t>
        </is>
      </c>
      <c r="AW398" t="inlineStr">
        <is>
          <t>991001365199702656</t>
        </is>
      </c>
      <c r="AX398" t="inlineStr">
        <is>
          <t>991001365199702656</t>
        </is>
      </c>
      <c r="AY398" t="inlineStr">
        <is>
          <t>2264140320002656</t>
        </is>
      </c>
      <c r="AZ398" t="inlineStr">
        <is>
          <t>BOOK</t>
        </is>
      </c>
      <c r="BB398" t="inlineStr">
        <is>
          <t>9780745802930</t>
        </is>
      </c>
      <c r="BC398" t="inlineStr">
        <is>
          <t>32285000001866</t>
        </is>
      </c>
      <c r="BD398" t="inlineStr">
        <is>
          <t>893516146</t>
        </is>
      </c>
    </row>
    <row r="399">
      <c r="A399" t="inlineStr">
        <is>
          <t>No</t>
        </is>
      </c>
      <c r="B399" t="inlineStr">
        <is>
          <t>QL495 .P28</t>
        </is>
      </c>
      <c r="C399" t="inlineStr">
        <is>
          <t>0                      QL 0495000P  28</t>
        </is>
      </c>
      <c r="D399" t="inlineStr">
        <is>
          <t>Introductory insect physiology.</t>
        </is>
      </c>
      <c r="F399" t="inlineStr">
        <is>
          <t>No</t>
        </is>
      </c>
      <c r="G399" t="inlineStr">
        <is>
          <t>1</t>
        </is>
      </c>
      <c r="H399" t="inlineStr">
        <is>
          <t>No</t>
        </is>
      </c>
      <c r="I399" t="inlineStr">
        <is>
          <t>No</t>
        </is>
      </c>
      <c r="J399" t="inlineStr">
        <is>
          <t>0</t>
        </is>
      </c>
      <c r="K399" t="inlineStr">
        <is>
          <t>Patton, Robert Lee, 1913-</t>
        </is>
      </c>
      <c r="L399" t="inlineStr">
        <is>
          <t>Philadelphia : Saunders, 1963.</t>
        </is>
      </c>
      <c r="M399" t="inlineStr">
        <is>
          <t>1963</t>
        </is>
      </c>
      <c r="O399" t="inlineStr">
        <is>
          <t>eng</t>
        </is>
      </c>
      <c r="P399" t="inlineStr">
        <is>
          <t>pau</t>
        </is>
      </c>
      <c r="R399" t="inlineStr">
        <is>
          <t xml:space="preserve">QL </t>
        </is>
      </c>
      <c r="S399" t="n">
        <v>2</v>
      </c>
      <c r="T399" t="n">
        <v>2</v>
      </c>
      <c r="U399" t="inlineStr">
        <is>
          <t>2006-02-22</t>
        </is>
      </c>
      <c r="V399" t="inlineStr">
        <is>
          <t>2006-02-22</t>
        </is>
      </c>
      <c r="W399" t="inlineStr">
        <is>
          <t>1995-03-10</t>
        </is>
      </c>
      <c r="X399" t="inlineStr">
        <is>
          <t>1995-03-10</t>
        </is>
      </c>
      <c r="Y399" t="n">
        <v>539</v>
      </c>
      <c r="Z399" t="n">
        <v>438</v>
      </c>
      <c r="AA399" t="n">
        <v>439</v>
      </c>
      <c r="AB399" t="n">
        <v>3</v>
      </c>
      <c r="AC399" t="n">
        <v>3</v>
      </c>
      <c r="AD399" t="n">
        <v>17</v>
      </c>
      <c r="AE399" t="n">
        <v>17</v>
      </c>
      <c r="AF399" t="n">
        <v>9</v>
      </c>
      <c r="AG399" t="n">
        <v>9</v>
      </c>
      <c r="AH399" t="n">
        <v>4</v>
      </c>
      <c r="AI399" t="n">
        <v>4</v>
      </c>
      <c r="AJ399" t="n">
        <v>9</v>
      </c>
      <c r="AK399" t="n">
        <v>9</v>
      </c>
      <c r="AL399" t="n">
        <v>2</v>
      </c>
      <c r="AM399" t="n">
        <v>2</v>
      </c>
      <c r="AN399" t="n">
        <v>0</v>
      </c>
      <c r="AO399" t="n">
        <v>0</v>
      </c>
      <c r="AP399" t="inlineStr">
        <is>
          <t>No</t>
        </is>
      </c>
      <c r="AQ399" t="inlineStr">
        <is>
          <t>Yes</t>
        </is>
      </c>
      <c r="AR399">
        <f>HYPERLINK("http://catalog.hathitrust.org/Record/001500119","HathiTrust Record")</f>
        <v/>
      </c>
      <c r="AS399">
        <f>HYPERLINK("https://creighton-primo.hosted.exlibrisgroup.com/primo-explore/search?tab=default_tab&amp;search_scope=EVERYTHING&amp;vid=01CRU&amp;lang=en_US&amp;offset=0&amp;query=any,contains,991003176989702656","Catalog Record")</f>
        <v/>
      </c>
      <c r="AT399">
        <f>HYPERLINK("http://www.worldcat.org/oclc/710953","WorldCat Record")</f>
        <v/>
      </c>
      <c r="AU399" t="inlineStr">
        <is>
          <t>35679779:eng</t>
        </is>
      </c>
      <c r="AV399" t="inlineStr">
        <is>
          <t>710953</t>
        </is>
      </c>
      <c r="AW399" t="inlineStr">
        <is>
          <t>991003176989702656</t>
        </is>
      </c>
      <c r="AX399" t="inlineStr">
        <is>
          <t>991003176989702656</t>
        </is>
      </c>
      <c r="AY399" t="inlineStr">
        <is>
          <t>2262450890002656</t>
        </is>
      </c>
      <c r="AZ399" t="inlineStr">
        <is>
          <t>BOOK</t>
        </is>
      </c>
      <c r="BC399" t="inlineStr">
        <is>
          <t>32285002011798</t>
        </is>
      </c>
      <c r="BD399" t="inlineStr">
        <is>
          <t>893617069</t>
        </is>
      </c>
    </row>
    <row r="400">
      <c r="A400" t="inlineStr">
        <is>
          <t>No</t>
        </is>
      </c>
      <c r="B400" t="inlineStr">
        <is>
          <t>QL495 .R2813 1982</t>
        </is>
      </c>
      <c r="C400" t="inlineStr">
        <is>
          <t>0                      QL 0495000R  2813        1982</t>
        </is>
      </c>
      <c r="D400" t="inlineStr">
        <is>
          <t>Insect neurohormones / Marie Raabe ; translated from French by Nissim Marshall ; illustrated by Daisy Chervin.</t>
        </is>
      </c>
      <c r="F400" t="inlineStr">
        <is>
          <t>No</t>
        </is>
      </c>
      <c r="G400" t="inlineStr">
        <is>
          <t>1</t>
        </is>
      </c>
      <c r="H400" t="inlineStr">
        <is>
          <t>No</t>
        </is>
      </c>
      <c r="I400" t="inlineStr">
        <is>
          <t>No</t>
        </is>
      </c>
      <c r="J400" t="inlineStr">
        <is>
          <t>0</t>
        </is>
      </c>
      <c r="K400" t="inlineStr">
        <is>
          <t>Raabe, Marie, 1921-</t>
        </is>
      </c>
      <c r="L400" t="inlineStr">
        <is>
          <t>New York : Plenum Press, c1982.</t>
        </is>
      </c>
      <c r="M400" t="inlineStr">
        <is>
          <t>1982</t>
        </is>
      </c>
      <c r="O400" t="inlineStr">
        <is>
          <t>eng</t>
        </is>
      </c>
      <c r="P400" t="inlineStr">
        <is>
          <t>nyu</t>
        </is>
      </c>
      <c r="R400" t="inlineStr">
        <is>
          <t xml:space="preserve">QL </t>
        </is>
      </c>
      <c r="S400" t="n">
        <v>4</v>
      </c>
      <c r="T400" t="n">
        <v>4</v>
      </c>
      <c r="U400" t="inlineStr">
        <is>
          <t>2007-02-24</t>
        </is>
      </c>
      <c r="V400" t="inlineStr">
        <is>
          <t>2007-02-24</t>
        </is>
      </c>
      <c r="W400" t="inlineStr">
        <is>
          <t>1993-05-27</t>
        </is>
      </c>
      <c r="X400" t="inlineStr">
        <is>
          <t>1993-05-27</t>
        </is>
      </c>
      <c r="Y400" t="n">
        <v>368</v>
      </c>
      <c r="Z400" t="n">
        <v>267</v>
      </c>
      <c r="AA400" t="n">
        <v>288</v>
      </c>
      <c r="AB400" t="n">
        <v>2</v>
      </c>
      <c r="AC400" t="n">
        <v>2</v>
      </c>
      <c r="AD400" t="n">
        <v>11</v>
      </c>
      <c r="AE400" t="n">
        <v>11</v>
      </c>
      <c r="AF400" t="n">
        <v>5</v>
      </c>
      <c r="AG400" t="n">
        <v>5</v>
      </c>
      <c r="AH400" t="n">
        <v>5</v>
      </c>
      <c r="AI400" t="n">
        <v>5</v>
      </c>
      <c r="AJ400" t="n">
        <v>6</v>
      </c>
      <c r="AK400" t="n">
        <v>6</v>
      </c>
      <c r="AL400" t="n">
        <v>1</v>
      </c>
      <c r="AM400" t="n">
        <v>1</v>
      </c>
      <c r="AN400" t="n">
        <v>0</v>
      </c>
      <c r="AO400" t="n">
        <v>0</v>
      </c>
      <c r="AP400" t="inlineStr">
        <is>
          <t>No</t>
        </is>
      </c>
      <c r="AQ400" t="inlineStr">
        <is>
          <t>Yes</t>
        </is>
      </c>
      <c r="AR400">
        <f>HYPERLINK("http://catalog.hathitrust.org/Record/000108924","HathiTrust Record")</f>
        <v/>
      </c>
      <c r="AS400">
        <f>HYPERLINK("https://creighton-primo.hosted.exlibrisgroup.com/primo-explore/search?tab=default_tab&amp;search_scope=EVERYTHING&amp;vid=01CRU&amp;lang=en_US&amp;offset=0&amp;query=any,contains,991005240759702656","Catalog Record")</f>
        <v/>
      </c>
      <c r="AT400">
        <f>HYPERLINK("http://www.worldcat.org/oclc/8411078","WorldCat Record")</f>
        <v/>
      </c>
      <c r="AU400" t="inlineStr">
        <is>
          <t>437973:eng</t>
        </is>
      </c>
      <c r="AV400" t="inlineStr">
        <is>
          <t>8411078</t>
        </is>
      </c>
      <c r="AW400" t="inlineStr">
        <is>
          <t>991005240759702656</t>
        </is>
      </c>
      <c r="AX400" t="inlineStr">
        <is>
          <t>991005240759702656</t>
        </is>
      </c>
      <c r="AY400" t="inlineStr">
        <is>
          <t>2257271430002656</t>
        </is>
      </c>
      <c r="AZ400" t="inlineStr">
        <is>
          <t>BOOK</t>
        </is>
      </c>
      <c r="BB400" t="inlineStr">
        <is>
          <t>9780306407826</t>
        </is>
      </c>
      <c r="BC400" t="inlineStr">
        <is>
          <t>32285001687275</t>
        </is>
      </c>
      <c r="BD400" t="inlineStr">
        <is>
          <t>893248593</t>
        </is>
      </c>
    </row>
    <row r="401">
      <c r="A401" t="inlineStr">
        <is>
          <t>No</t>
        </is>
      </c>
      <c r="B401" t="inlineStr">
        <is>
          <t>QL495 .R6</t>
        </is>
      </c>
      <c r="C401" t="inlineStr">
        <is>
          <t>0                      QL 0495000R  6</t>
        </is>
      </c>
      <c r="D401" t="inlineStr">
        <is>
          <t>Insect physiology / [by] Raimon L. Beard [and others]</t>
        </is>
      </c>
      <c r="F401" t="inlineStr">
        <is>
          <t>No</t>
        </is>
      </c>
      <c r="G401" t="inlineStr">
        <is>
          <t>1</t>
        </is>
      </c>
      <c r="H401" t="inlineStr">
        <is>
          <t>No</t>
        </is>
      </c>
      <c r="I401" t="inlineStr">
        <is>
          <t>No</t>
        </is>
      </c>
      <c r="J401" t="inlineStr">
        <is>
          <t>0</t>
        </is>
      </c>
      <c r="K401" t="inlineStr">
        <is>
          <t>Roeder, Kenneth D. (Kenneth David), 1908-1979 editor.</t>
        </is>
      </c>
      <c r="L401" t="inlineStr">
        <is>
          <t>New York : Wiley, [1953]</t>
        </is>
      </c>
      <c r="M401" t="inlineStr">
        <is>
          <t>1953</t>
        </is>
      </c>
      <c r="O401" t="inlineStr">
        <is>
          <t>eng</t>
        </is>
      </c>
      <c r="P401" t="inlineStr">
        <is>
          <t>nyu</t>
        </is>
      </c>
      <c r="R401" t="inlineStr">
        <is>
          <t xml:space="preserve">QL </t>
        </is>
      </c>
      <c r="S401" t="n">
        <v>4</v>
      </c>
      <c r="T401" t="n">
        <v>4</v>
      </c>
      <c r="U401" t="inlineStr">
        <is>
          <t>2006-02-18</t>
        </is>
      </c>
      <c r="V401" t="inlineStr">
        <is>
          <t>2006-02-18</t>
        </is>
      </c>
      <c r="W401" t="inlineStr">
        <is>
          <t>1992-04-09</t>
        </is>
      </c>
      <c r="X401" t="inlineStr">
        <is>
          <t>1992-04-09</t>
        </is>
      </c>
      <c r="Y401" t="n">
        <v>547</v>
      </c>
      <c r="Z401" t="n">
        <v>425</v>
      </c>
      <c r="AA401" t="n">
        <v>431</v>
      </c>
      <c r="AB401" t="n">
        <v>2</v>
      </c>
      <c r="AC401" t="n">
        <v>2</v>
      </c>
      <c r="AD401" t="n">
        <v>15</v>
      </c>
      <c r="AE401" t="n">
        <v>16</v>
      </c>
      <c r="AF401" t="n">
        <v>8</v>
      </c>
      <c r="AG401" t="n">
        <v>8</v>
      </c>
      <c r="AH401" t="n">
        <v>1</v>
      </c>
      <c r="AI401" t="n">
        <v>2</v>
      </c>
      <c r="AJ401" t="n">
        <v>6</v>
      </c>
      <c r="AK401" t="n">
        <v>7</v>
      </c>
      <c r="AL401" t="n">
        <v>1</v>
      </c>
      <c r="AM401" t="n">
        <v>1</v>
      </c>
      <c r="AN401" t="n">
        <v>0</v>
      </c>
      <c r="AO401" t="n">
        <v>0</v>
      </c>
      <c r="AP401" t="inlineStr">
        <is>
          <t>No</t>
        </is>
      </c>
      <c r="AQ401" t="inlineStr">
        <is>
          <t>No</t>
        </is>
      </c>
      <c r="AR401">
        <f>HYPERLINK("http://catalog.hathitrust.org/Record/001500122","HathiTrust Record")</f>
        <v/>
      </c>
      <c r="AS401">
        <f>HYPERLINK("https://creighton-primo.hosted.exlibrisgroup.com/primo-explore/search?tab=default_tab&amp;search_scope=EVERYTHING&amp;vid=01CRU&amp;lang=en_US&amp;offset=0&amp;query=any,contains,991002983509702656","Catalog Record")</f>
        <v/>
      </c>
      <c r="AT401">
        <f>HYPERLINK("http://www.worldcat.org/oclc/556218","WorldCat Record")</f>
        <v/>
      </c>
      <c r="AU401" t="inlineStr">
        <is>
          <t>1617479:eng</t>
        </is>
      </c>
      <c r="AV401" t="inlineStr">
        <is>
          <t>556218</t>
        </is>
      </c>
      <c r="AW401" t="inlineStr">
        <is>
          <t>991002983509702656</t>
        </is>
      </c>
      <c r="AX401" t="inlineStr">
        <is>
          <t>991002983509702656</t>
        </is>
      </c>
      <c r="AY401" t="inlineStr">
        <is>
          <t>2259770280002656</t>
        </is>
      </c>
      <c r="AZ401" t="inlineStr">
        <is>
          <t>BOOK</t>
        </is>
      </c>
      <c r="BC401" t="inlineStr">
        <is>
          <t>32285001056877</t>
        </is>
      </c>
      <c r="BD401" t="inlineStr">
        <is>
          <t>893899491</t>
        </is>
      </c>
    </row>
    <row r="402">
      <c r="A402" t="inlineStr">
        <is>
          <t>No</t>
        </is>
      </c>
      <c r="B402" t="inlineStr">
        <is>
          <t>QL495 .S28 1976</t>
        </is>
      </c>
      <c r="C402" t="inlineStr">
        <is>
          <t>0                      QL 0495000S  28          1976</t>
        </is>
      </c>
      <c r="D402" t="inlineStr">
        <is>
          <t>Insect clocks / by D. S. Saunders.</t>
        </is>
      </c>
      <c r="F402" t="inlineStr">
        <is>
          <t>No</t>
        </is>
      </c>
      <c r="G402" t="inlineStr">
        <is>
          <t>1</t>
        </is>
      </c>
      <c r="H402" t="inlineStr">
        <is>
          <t>No</t>
        </is>
      </c>
      <c r="I402" t="inlineStr">
        <is>
          <t>No</t>
        </is>
      </c>
      <c r="J402" t="inlineStr">
        <is>
          <t>0</t>
        </is>
      </c>
      <c r="K402" t="inlineStr">
        <is>
          <t>Saunders, D. S. (David Stanley), 1935-</t>
        </is>
      </c>
      <c r="L402" t="inlineStr">
        <is>
          <t>Oxford ; New York : Pergamon Press, 1976.</t>
        </is>
      </c>
      <c r="M402" t="inlineStr">
        <is>
          <t>1976</t>
        </is>
      </c>
      <c r="N402" t="inlineStr">
        <is>
          <t>1st ed.</t>
        </is>
      </c>
      <c r="O402" t="inlineStr">
        <is>
          <t>eng</t>
        </is>
      </c>
      <c r="P402" t="inlineStr">
        <is>
          <t>enk</t>
        </is>
      </c>
      <c r="Q402" t="inlineStr">
        <is>
          <t>International series of monographs in pure and applied biology : Division, Zoology ; v. 54</t>
        </is>
      </c>
      <c r="R402" t="inlineStr">
        <is>
          <t xml:space="preserve">QL </t>
        </is>
      </c>
      <c r="S402" t="n">
        <v>2</v>
      </c>
      <c r="T402" t="n">
        <v>2</v>
      </c>
      <c r="U402" t="inlineStr">
        <is>
          <t>2005-02-27</t>
        </is>
      </c>
      <c r="V402" t="inlineStr">
        <is>
          <t>2005-02-27</t>
        </is>
      </c>
      <c r="W402" t="inlineStr">
        <is>
          <t>1997-07-24</t>
        </is>
      </c>
      <c r="X402" t="inlineStr">
        <is>
          <t>1997-07-24</t>
        </is>
      </c>
      <c r="Y402" t="n">
        <v>396</v>
      </c>
      <c r="Z402" t="n">
        <v>262</v>
      </c>
      <c r="AA402" t="n">
        <v>541</v>
      </c>
      <c r="AB402" t="n">
        <v>2</v>
      </c>
      <c r="AC402" t="n">
        <v>4</v>
      </c>
      <c r="AD402" t="n">
        <v>9</v>
      </c>
      <c r="AE402" t="n">
        <v>18</v>
      </c>
      <c r="AF402" t="n">
        <v>2</v>
      </c>
      <c r="AG402" t="n">
        <v>6</v>
      </c>
      <c r="AH402" t="n">
        <v>3</v>
      </c>
      <c r="AI402" t="n">
        <v>5</v>
      </c>
      <c r="AJ402" t="n">
        <v>5</v>
      </c>
      <c r="AK402" t="n">
        <v>9</v>
      </c>
      <c r="AL402" t="n">
        <v>1</v>
      </c>
      <c r="AM402" t="n">
        <v>3</v>
      </c>
      <c r="AN402" t="n">
        <v>0</v>
      </c>
      <c r="AO402" t="n">
        <v>0</v>
      </c>
      <c r="AP402" t="inlineStr">
        <is>
          <t>No</t>
        </is>
      </c>
      <c r="AQ402" t="inlineStr">
        <is>
          <t>Yes</t>
        </is>
      </c>
      <c r="AR402">
        <f>HYPERLINK("http://catalog.hathitrust.org/Record/000034514","HathiTrust Record")</f>
        <v/>
      </c>
      <c r="AS402">
        <f>HYPERLINK("https://creighton-primo.hosted.exlibrisgroup.com/primo-explore/search?tab=default_tab&amp;search_scope=EVERYTHING&amp;vid=01CRU&amp;lang=en_US&amp;offset=0&amp;query=any,contains,991003784999702656","Catalog Record")</f>
        <v/>
      </c>
      <c r="AT402">
        <f>HYPERLINK("http://www.worldcat.org/oclc/1500301","WorldCat Record")</f>
        <v/>
      </c>
      <c r="AU402" t="inlineStr">
        <is>
          <t>76455:eng</t>
        </is>
      </c>
      <c r="AV402" t="inlineStr">
        <is>
          <t>1500301</t>
        </is>
      </c>
      <c r="AW402" t="inlineStr">
        <is>
          <t>991003784999702656</t>
        </is>
      </c>
      <c r="AX402" t="inlineStr">
        <is>
          <t>991003784999702656</t>
        </is>
      </c>
      <c r="AY402" t="inlineStr">
        <is>
          <t>2260387320002656</t>
        </is>
      </c>
      <c r="AZ402" t="inlineStr">
        <is>
          <t>BOOK</t>
        </is>
      </c>
      <c r="BB402" t="inlineStr">
        <is>
          <t>9780080182117</t>
        </is>
      </c>
      <c r="BC402" t="inlineStr">
        <is>
          <t>32285002980844</t>
        </is>
      </c>
      <c r="BD402" t="inlineStr">
        <is>
          <t>893775192</t>
        </is>
      </c>
    </row>
    <row r="403">
      <c r="A403" t="inlineStr">
        <is>
          <t>No</t>
        </is>
      </c>
      <c r="B403" t="inlineStr">
        <is>
          <t>QL495 .T37 1986</t>
        </is>
      </c>
      <c r="C403" t="inlineStr">
        <is>
          <t>0                      QL 0495000T  37          1986</t>
        </is>
      </c>
      <c r="D403" t="inlineStr">
        <is>
          <t>Seasonal adaptations of insects / Maurice J. Tauber, Catherine A. Tauber, and Sinzo Masaki.</t>
        </is>
      </c>
      <c r="F403" t="inlineStr">
        <is>
          <t>No</t>
        </is>
      </c>
      <c r="G403" t="inlineStr">
        <is>
          <t>1</t>
        </is>
      </c>
      <c r="H403" t="inlineStr">
        <is>
          <t>No</t>
        </is>
      </c>
      <c r="I403" t="inlineStr">
        <is>
          <t>No</t>
        </is>
      </c>
      <c r="J403" t="inlineStr">
        <is>
          <t>0</t>
        </is>
      </c>
      <c r="K403" t="inlineStr">
        <is>
          <t>Tauber, Maurice J.</t>
        </is>
      </c>
      <c r="L403" t="inlineStr">
        <is>
          <t>New York : Oxford University Press, 1986.</t>
        </is>
      </c>
      <c r="M403" t="inlineStr">
        <is>
          <t>1986</t>
        </is>
      </c>
      <c r="O403" t="inlineStr">
        <is>
          <t>eng</t>
        </is>
      </c>
      <c r="P403" t="inlineStr">
        <is>
          <t>nyu</t>
        </is>
      </c>
      <c r="R403" t="inlineStr">
        <is>
          <t xml:space="preserve">QL </t>
        </is>
      </c>
      <c r="S403" t="n">
        <v>5</v>
      </c>
      <c r="T403" t="n">
        <v>5</v>
      </c>
      <c r="U403" t="inlineStr">
        <is>
          <t>2010-04-12</t>
        </is>
      </c>
      <c r="V403" t="inlineStr">
        <is>
          <t>2010-04-12</t>
        </is>
      </c>
      <c r="W403" t="inlineStr">
        <is>
          <t>1993-05-27</t>
        </is>
      </c>
      <c r="X403" t="inlineStr">
        <is>
          <t>1993-05-27</t>
        </is>
      </c>
      <c r="Y403" t="n">
        <v>512</v>
      </c>
      <c r="Z403" t="n">
        <v>396</v>
      </c>
      <c r="AA403" t="n">
        <v>396</v>
      </c>
      <c r="AB403" t="n">
        <v>2</v>
      </c>
      <c r="AC403" t="n">
        <v>2</v>
      </c>
      <c r="AD403" t="n">
        <v>11</v>
      </c>
      <c r="AE403" t="n">
        <v>11</v>
      </c>
      <c r="AF403" t="n">
        <v>3</v>
      </c>
      <c r="AG403" t="n">
        <v>3</v>
      </c>
      <c r="AH403" t="n">
        <v>3</v>
      </c>
      <c r="AI403" t="n">
        <v>3</v>
      </c>
      <c r="AJ403" t="n">
        <v>6</v>
      </c>
      <c r="AK403" t="n">
        <v>6</v>
      </c>
      <c r="AL403" t="n">
        <v>1</v>
      </c>
      <c r="AM403" t="n">
        <v>1</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HYPERLINK("https://creighton-primo.hosted.exlibrisgroup.com/primo-explore/search?tab=default_tab&amp;search_scope=EVERYTHING&amp;vid=01CRU&amp;lang=en_US&amp;offset=0&amp;query=any,contains,991000597579702656","Catalog Record")</f>
        <v/>
      </c>
      <c r="AT403">
        <f>HYPERLINK("http://www.worldcat.org/oclc/11814392","WorldCat Record")</f>
        <v/>
      </c>
      <c r="AU403" t="inlineStr">
        <is>
          <t>4407269:eng</t>
        </is>
      </c>
      <c r="AV403" t="inlineStr">
        <is>
          <t>11814392</t>
        </is>
      </c>
      <c r="AW403" t="inlineStr">
        <is>
          <t>991000597579702656</t>
        </is>
      </c>
      <c r="AX403" t="inlineStr">
        <is>
          <t>991000597579702656</t>
        </is>
      </c>
      <c r="AY403" t="inlineStr">
        <is>
          <t>2261209840002656</t>
        </is>
      </c>
      <c r="AZ403" t="inlineStr">
        <is>
          <t>BOOK</t>
        </is>
      </c>
      <c r="BB403" t="inlineStr">
        <is>
          <t>9780195036350</t>
        </is>
      </c>
      <c r="BC403" t="inlineStr">
        <is>
          <t>32285001687283</t>
        </is>
      </c>
      <c r="BD403" t="inlineStr">
        <is>
          <t>893521828</t>
        </is>
      </c>
    </row>
    <row r="404">
      <c r="A404" t="inlineStr">
        <is>
          <t>No</t>
        </is>
      </c>
      <c r="B404" t="inlineStr">
        <is>
          <t>QL495 .W5 1984</t>
        </is>
      </c>
      <c r="C404" t="inlineStr">
        <is>
          <t>0                      QL 0495000W  5           1984</t>
        </is>
      </c>
      <c r="D404" t="inlineStr">
        <is>
          <t>Insect physiology / V.B. Wigglesworth.</t>
        </is>
      </c>
      <c r="F404" t="inlineStr">
        <is>
          <t>No</t>
        </is>
      </c>
      <c r="G404" t="inlineStr">
        <is>
          <t>1</t>
        </is>
      </c>
      <c r="H404" t="inlineStr">
        <is>
          <t>No</t>
        </is>
      </c>
      <c r="I404" t="inlineStr">
        <is>
          <t>Yes</t>
        </is>
      </c>
      <c r="J404" t="inlineStr">
        <is>
          <t>0</t>
        </is>
      </c>
      <c r="K404" t="inlineStr">
        <is>
          <t>Wigglesworth, Vincent B. (Vincent Brian), Sir, 1899-1994.</t>
        </is>
      </c>
      <c r="L404" t="inlineStr">
        <is>
          <t>London ; New York : Chapman and Hall, 1984.</t>
        </is>
      </c>
      <c r="M404" t="inlineStr">
        <is>
          <t>1984</t>
        </is>
      </c>
      <c r="N404" t="inlineStr">
        <is>
          <t>8th ed.</t>
        </is>
      </c>
      <c r="O404" t="inlineStr">
        <is>
          <t>eng</t>
        </is>
      </c>
      <c r="P404" t="inlineStr">
        <is>
          <t>enk</t>
        </is>
      </c>
      <c r="R404" t="inlineStr">
        <is>
          <t xml:space="preserve">QL </t>
        </is>
      </c>
      <c r="S404" t="n">
        <v>11</v>
      </c>
      <c r="T404" t="n">
        <v>11</v>
      </c>
      <c r="U404" t="inlineStr">
        <is>
          <t>1996-11-09</t>
        </is>
      </c>
      <c r="V404" t="inlineStr">
        <is>
          <t>1996-11-09</t>
        </is>
      </c>
      <c r="W404" t="inlineStr">
        <is>
          <t>1993-05-27</t>
        </is>
      </c>
      <c r="X404" t="inlineStr">
        <is>
          <t>1993-05-27</t>
        </is>
      </c>
      <c r="Y404" t="n">
        <v>313</v>
      </c>
      <c r="Z404" t="n">
        <v>182</v>
      </c>
      <c r="AA404" t="n">
        <v>777</v>
      </c>
      <c r="AB404" t="n">
        <v>2</v>
      </c>
      <c r="AC404" t="n">
        <v>3</v>
      </c>
      <c r="AD404" t="n">
        <v>4</v>
      </c>
      <c r="AE404" t="n">
        <v>24</v>
      </c>
      <c r="AF404" t="n">
        <v>0</v>
      </c>
      <c r="AG404" t="n">
        <v>12</v>
      </c>
      <c r="AH404" t="n">
        <v>2</v>
      </c>
      <c r="AI404" t="n">
        <v>3</v>
      </c>
      <c r="AJ404" t="n">
        <v>2</v>
      </c>
      <c r="AK404" t="n">
        <v>14</v>
      </c>
      <c r="AL404" t="n">
        <v>1</v>
      </c>
      <c r="AM404" t="n">
        <v>2</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HYPERLINK("https://creighton-primo.hosted.exlibrisgroup.com/primo-explore/search?tab=default_tab&amp;search_scope=EVERYTHING&amp;vid=01CRU&amp;lang=en_US&amp;offset=0&amp;query=any,contains,991000416559702656","Catalog Record")</f>
        <v/>
      </c>
      <c r="AT404">
        <f>HYPERLINK("http://www.worldcat.org/oclc/10724844","WorldCat Record")</f>
        <v/>
      </c>
      <c r="AU404" t="inlineStr">
        <is>
          <t>4917077863:eng</t>
        </is>
      </c>
      <c r="AV404" t="inlineStr">
        <is>
          <t>10724844</t>
        </is>
      </c>
      <c r="AW404" t="inlineStr">
        <is>
          <t>991000416559702656</t>
        </is>
      </c>
      <c r="AX404" t="inlineStr">
        <is>
          <t>991000416559702656</t>
        </is>
      </c>
      <c r="AY404" t="inlineStr">
        <is>
          <t>2263384600002656</t>
        </is>
      </c>
      <c r="AZ404" t="inlineStr">
        <is>
          <t>BOOK</t>
        </is>
      </c>
      <c r="BB404" t="inlineStr">
        <is>
          <t>9780412259005</t>
        </is>
      </c>
      <c r="BC404" t="inlineStr">
        <is>
          <t>32285001687309</t>
        </is>
      </c>
      <c r="BD404" t="inlineStr">
        <is>
          <t>893425675</t>
        </is>
      </c>
    </row>
    <row r="405">
      <c r="A405" t="inlineStr">
        <is>
          <t>No</t>
        </is>
      </c>
      <c r="B405" t="inlineStr">
        <is>
          <t>QL495.5 .S39 1988</t>
        </is>
      </c>
      <c r="C405" t="inlineStr">
        <is>
          <t>0                      QL 0495500S  39          1988</t>
        </is>
      </c>
      <c r="D405" t="inlineStr">
        <is>
          <t>Insect morphogenesis / Fritz E. Schwalm.</t>
        </is>
      </c>
      <c r="F405" t="inlineStr">
        <is>
          <t>No</t>
        </is>
      </c>
      <c r="G405" t="inlineStr">
        <is>
          <t>1</t>
        </is>
      </c>
      <c r="H405" t="inlineStr">
        <is>
          <t>No</t>
        </is>
      </c>
      <c r="I405" t="inlineStr">
        <is>
          <t>No</t>
        </is>
      </c>
      <c r="J405" t="inlineStr">
        <is>
          <t>0</t>
        </is>
      </c>
      <c r="K405" t="inlineStr">
        <is>
          <t>Schwalm, Fritz E. (Fritz Ekkehardt), 1936-</t>
        </is>
      </c>
      <c r="L405" t="inlineStr">
        <is>
          <t>Basel ; New York : Karger, c1988.</t>
        </is>
      </c>
      <c r="M405" t="inlineStr">
        <is>
          <t>1988</t>
        </is>
      </c>
      <c r="O405" t="inlineStr">
        <is>
          <t>eng</t>
        </is>
      </c>
      <c r="P405" t="inlineStr">
        <is>
          <t xml:space="preserve">sz </t>
        </is>
      </c>
      <c r="Q405" t="inlineStr">
        <is>
          <t>Monographs in developmental biology ; vol. 20</t>
        </is>
      </c>
      <c r="R405" t="inlineStr">
        <is>
          <t xml:space="preserve">QL </t>
        </is>
      </c>
      <c r="S405" t="n">
        <v>5</v>
      </c>
      <c r="T405" t="n">
        <v>5</v>
      </c>
      <c r="U405" t="inlineStr">
        <is>
          <t>1994-02-02</t>
        </is>
      </c>
      <c r="V405" t="inlineStr">
        <is>
          <t>1994-02-02</t>
        </is>
      </c>
      <c r="W405" t="inlineStr">
        <is>
          <t>1993-05-27</t>
        </is>
      </c>
      <c r="X405" t="inlineStr">
        <is>
          <t>1993-05-27</t>
        </is>
      </c>
      <c r="Y405" t="n">
        <v>208</v>
      </c>
      <c r="Z405" t="n">
        <v>146</v>
      </c>
      <c r="AA405" t="n">
        <v>148</v>
      </c>
      <c r="AB405" t="n">
        <v>2</v>
      </c>
      <c r="AC405" t="n">
        <v>2</v>
      </c>
      <c r="AD405" t="n">
        <v>5</v>
      </c>
      <c r="AE405" t="n">
        <v>5</v>
      </c>
      <c r="AF405" t="n">
        <v>0</v>
      </c>
      <c r="AG405" t="n">
        <v>0</v>
      </c>
      <c r="AH405" t="n">
        <v>2</v>
      </c>
      <c r="AI405" t="n">
        <v>2</v>
      </c>
      <c r="AJ405" t="n">
        <v>3</v>
      </c>
      <c r="AK405" t="n">
        <v>3</v>
      </c>
      <c r="AL405" t="n">
        <v>1</v>
      </c>
      <c r="AM405" t="n">
        <v>1</v>
      </c>
      <c r="AN405" t="n">
        <v>0</v>
      </c>
      <c r="AO405" t="n">
        <v>0</v>
      </c>
      <c r="AP405" t="inlineStr">
        <is>
          <t>No</t>
        </is>
      </c>
      <c r="AQ405" t="inlineStr">
        <is>
          <t>Yes</t>
        </is>
      </c>
      <c r="AR405">
        <f>HYPERLINK("http://catalog.hathitrust.org/Record/000842077","HathiTrust Record")</f>
        <v/>
      </c>
      <c r="AS405">
        <f>HYPERLINK("https://creighton-primo.hosted.exlibrisgroup.com/primo-explore/search?tab=default_tab&amp;search_scope=EVERYTHING&amp;vid=01CRU&amp;lang=en_US&amp;offset=0&amp;query=any,contains,991001132489702656","Catalog Record")</f>
        <v/>
      </c>
      <c r="AT405">
        <f>HYPERLINK("http://www.worldcat.org/oclc/16684159","WorldCat Record")</f>
        <v/>
      </c>
      <c r="AU405" t="inlineStr">
        <is>
          <t>9093771324:eng</t>
        </is>
      </c>
      <c r="AV405" t="inlineStr">
        <is>
          <t>16684159</t>
        </is>
      </c>
      <c r="AW405" t="inlineStr">
        <is>
          <t>991001132489702656</t>
        </is>
      </c>
      <c r="AX405" t="inlineStr">
        <is>
          <t>991001132489702656</t>
        </is>
      </c>
      <c r="AY405" t="inlineStr">
        <is>
          <t>2272666440002656</t>
        </is>
      </c>
      <c r="AZ405" t="inlineStr">
        <is>
          <t>BOOK</t>
        </is>
      </c>
      <c r="BB405" t="inlineStr">
        <is>
          <t>9783805545990</t>
        </is>
      </c>
      <c r="BC405" t="inlineStr">
        <is>
          <t>32285001687325</t>
        </is>
      </c>
      <c r="BD405" t="inlineStr">
        <is>
          <t>893696491</t>
        </is>
      </c>
    </row>
    <row r="406">
      <c r="A406" t="inlineStr">
        <is>
          <t>No</t>
        </is>
      </c>
      <c r="B406" t="inlineStr">
        <is>
          <t>QL496 .B35 1991</t>
        </is>
      </c>
      <c r="C406" t="inlineStr">
        <is>
          <t>0                      QL 0496000B  35          1991</t>
        </is>
      </c>
      <c r="D406" t="inlineStr">
        <is>
          <t>Acoustic behaviour of insects : an evolutionary perspective / Winston J. Bailey ; with a foreword by John Alcock.</t>
        </is>
      </c>
      <c r="F406" t="inlineStr">
        <is>
          <t>No</t>
        </is>
      </c>
      <c r="G406" t="inlineStr">
        <is>
          <t>1</t>
        </is>
      </c>
      <c r="H406" t="inlineStr">
        <is>
          <t>No</t>
        </is>
      </c>
      <c r="I406" t="inlineStr">
        <is>
          <t>No</t>
        </is>
      </c>
      <c r="J406" t="inlineStr">
        <is>
          <t>0</t>
        </is>
      </c>
      <c r="K406" t="inlineStr">
        <is>
          <t>Bailey, Winston J.</t>
        </is>
      </c>
      <c r="L406" t="inlineStr">
        <is>
          <t>London ; New York : Chapman and Hall, 1991.</t>
        </is>
      </c>
      <c r="M406" t="inlineStr">
        <is>
          <t>1991</t>
        </is>
      </c>
      <c r="N406" t="inlineStr">
        <is>
          <t>1st ed.</t>
        </is>
      </c>
      <c r="O406" t="inlineStr">
        <is>
          <t>eng</t>
        </is>
      </c>
      <c r="P406" t="inlineStr">
        <is>
          <t>enk</t>
        </is>
      </c>
      <c r="R406" t="inlineStr">
        <is>
          <t xml:space="preserve">QL </t>
        </is>
      </c>
      <c r="S406" t="n">
        <v>6</v>
      </c>
      <c r="T406" t="n">
        <v>6</v>
      </c>
      <c r="U406" t="inlineStr">
        <is>
          <t>2007-02-24</t>
        </is>
      </c>
      <c r="V406" t="inlineStr">
        <is>
          <t>2007-02-24</t>
        </is>
      </c>
      <c r="W406" t="inlineStr">
        <is>
          <t>1991-05-01</t>
        </is>
      </c>
      <c r="X406" t="inlineStr">
        <is>
          <t>1991-05-01</t>
        </is>
      </c>
      <c r="Y406" t="n">
        <v>287</v>
      </c>
      <c r="Z406" t="n">
        <v>169</v>
      </c>
      <c r="AA406" t="n">
        <v>171</v>
      </c>
      <c r="AB406" t="n">
        <v>2</v>
      </c>
      <c r="AC406" t="n">
        <v>2</v>
      </c>
      <c r="AD406" t="n">
        <v>7</v>
      </c>
      <c r="AE406" t="n">
        <v>7</v>
      </c>
      <c r="AF406" t="n">
        <v>0</v>
      </c>
      <c r="AG406" t="n">
        <v>0</v>
      </c>
      <c r="AH406" t="n">
        <v>2</v>
      </c>
      <c r="AI406" t="n">
        <v>2</v>
      </c>
      <c r="AJ406" t="n">
        <v>4</v>
      </c>
      <c r="AK406" t="n">
        <v>4</v>
      </c>
      <c r="AL406" t="n">
        <v>1</v>
      </c>
      <c r="AM406" t="n">
        <v>1</v>
      </c>
      <c r="AN406" t="n">
        <v>0</v>
      </c>
      <c r="AO406" t="n">
        <v>0</v>
      </c>
      <c r="AP406" t="inlineStr">
        <is>
          <t>No</t>
        </is>
      </c>
      <c r="AQ406" t="inlineStr">
        <is>
          <t>Yes</t>
        </is>
      </c>
      <c r="AR406">
        <f>HYPERLINK("http://catalog.hathitrust.org/Record/002235184","HathiTrust Record")</f>
        <v/>
      </c>
      <c r="AS406">
        <f>HYPERLINK("https://creighton-primo.hosted.exlibrisgroup.com/primo-explore/search?tab=default_tab&amp;search_scope=EVERYTHING&amp;vid=01CRU&amp;lang=en_US&amp;offset=0&amp;query=any,contains,991001677479702656","Catalog Record")</f>
        <v/>
      </c>
      <c r="AT406">
        <f>HYPERLINK("http://www.worldcat.org/oclc/21333822","WorldCat Record")</f>
        <v/>
      </c>
      <c r="AU406" t="inlineStr">
        <is>
          <t>251343827:eng</t>
        </is>
      </c>
      <c r="AV406" t="inlineStr">
        <is>
          <t>21333822</t>
        </is>
      </c>
      <c r="AW406" t="inlineStr">
        <is>
          <t>991001677479702656</t>
        </is>
      </c>
      <c r="AX406" t="inlineStr">
        <is>
          <t>991001677479702656</t>
        </is>
      </c>
      <c r="AY406" t="inlineStr">
        <is>
          <t>2262381840002656</t>
        </is>
      </c>
      <c r="AZ406" t="inlineStr">
        <is>
          <t>BOOK</t>
        </is>
      </c>
      <c r="BB406" t="inlineStr">
        <is>
          <t>9780412319907</t>
        </is>
      </c>
      <c r="BC406" t="inlineStr">
        <is>
          <t>32285000570720</t>
        </is>
      </c>
      <c r="BD406" t="inlineStr">
        <is>
          <t>893516391</t>
        </is>
      </c>
    </row>
    <row r="407">
      <c r="A407" t="inlineStr">
        <is>
          <t>No</t>
        </is>
      </c>
      <c r="B407" t="inlineStr">
        <is>
          <t>QL496 .B3613 1991</t>
        </is>
      </c>
      <c r="C407" t="inlineStr">
        <is>
          <t>0                      QL 0496000B  3613        1991</t>
        </is>
      </c>
      <c r="D407" t="inlineStr">
        <is>
          <t>Insects and flowers : the biology of a partnership / Friedrich G. Barth ; translated by M.A. Biederman-Thorson.</t>
        </is>
      </c>
      <c r="F407" t="inlineStr">
        <is>
          <t>No</t>
        </is>
      </c>
      <c r="G407" t="inlineStr">
        <is>
          <t>1</t>
        </is>
      </c>
      <c r="H407" t="inlineStr">
        <is>
          <t>No</t>
        </is>
      </c>
      <c r="I407" t="inlineStr">
        <is>
          <t>No</t>
        </is>
      </c>
      <c r="J407" t="inlineStr">
        <is>
          <t>0</t>
        </is>
      </c>
      <c r="K407" t="inlineStr">
        <is>
          <t>Barth, Friedrich G., 1940-</t>
        </is>
      </c>
      <c r="L407" t="inlineStr">
        <is>
          <t>Princeton, N.J. : Princeton University Press, c1991.</t>
        </is>
      </c>
      <c r="M407" t="inlineStr">
        <is>
          <t>1991</t>
        </is>
      </c>
      <c r="O407" t="inlineStr">
        <is>
          <t>eng</t>
        </is>
      </c>
      <c r="P407" t="inlineStr">
        <is>
          <t>nju</t>
        </is>
      </c>
      <c r="Q407" t="inlineStr">
        <is>
          <t>Princeton science library</t>
        </is>
      </c>
      <c r="R407" t="inlineStr">
        <is>
          <t xml:space="preserve">QL </t>
        </is>
      </c>
      <c r="S407" t="n">
        <v>9</v>
      </c>
      <c r="T407" t="n">
        <v>9</v>
      </c>
      <c r="U407" t="inlineStr">
        <is>
          <t>2009-02-25</t>
        </is>
      </c>
      <c r="V407" t="inlineStr">
        <is>
          <t>2009-02-25</t>
        </is>
      </c>
      <c r="W407" t="inlineStr">
        <is>
          <t>1997-01-30</t>
        </is>
      </c>
      <c r="X407" t="inlineStr">
        <is>
          <t>1997-01-30</t>
        </is>
      </c>
      <c r="Y407" t="n">
        <v>204</v>
      </c>
      <c r="Z407" t="n">
        <v>153</v>
      </c>
      <c r="AA407" t="n">
        <v>988</v>
      </c>
      <c r="AB407" t="n">
        <v>1</v>
      </c>
      <c r="AC407" t="n">
        <v>6</v>
      </c>
      <c r="AD407" t="n">
        <v>4</v>
      </c>
      <c r="AE407" t="n">
        <v>29</v>
      </c>
      <c r="AF407" t="n">
        <v>2</v>
      </c>
      <c r="AG407" t="n">
        <v>12</v>
      </c>
      <c r="AH407" t="n">
        <v>0</v>
      </c>
      <c r="AI407" t="n">
        <v>5</v>
      </c>
      <c r="AJ407" t="n">
        <v>2</v>
      </c>
      <c r="AK407" t="n">
        <v>15</v>
      </c>
      <c r="AL407" t="n">
        <v>0</v>
      </c>
      <c r="AM407" t="n">
        <v>5</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HYPERLINK("https://creighton-primo.hosted.exlibrisgroup.com/primo-explore/search?tab=default_tab&amp;search_scope=EVERYTHING&amp;vid=01CRU&amp;lang=en_US&amp;offset=0&amp;query=any,contains,991001831909702656","Catalog Record")</f>
        <v/>
      </c>
      <c r="AT407">
        <f>HYPERLINK("http://www.worldcat.org/oclc/23015891","WorldCat Record")</f>
        <v/>
      </c>
      <c r="AU407" t="inlineStr">
        <is>
          <t>2915074:eng</t>
        </is>
      </c>
      <c r="AV407" t="inlineStr">
        <is>
          <t>23015891</t>
        </is>
      </c>
      <c r="AW407" t="inlineStr">
        <is>
          <t>991001831909702656</t>
        </is>
      </c>
      <c r="AX407" t="inlineStr">
        <is>
          <t>991001831909702656</t>
        </is>
      </c>
      <c r="AY407" t="inlineStr">
        <is>
          <t>2262950640002656</t>
        </is>
      </c>
      <c r="AZ407" t="inlineStr">
        <is>
          <t>BOOK</t>
        </is>
      </c>
      <c r="BB407" t="inlineStr">
        <is>
          <t>9780691025230</t>
        </is>
      </c>
      <c r="BC407" t="inlineStr">
        <is>
          <t>32285002412756</t>
        </is>
      </c>
      <c r="BD407" t="inlineStr">
        <is>
          <t>893703368</t>
        </is>
      </c>
    </row>
    <row r="408">
      <c r="A408" t="inlineStr">
        <is>
          <t>No</t>
        </is>
      </c>
      <c r="B408" t="inlineStr">
        <is>
          <t>QL496 .B46 1994</t>
        </is>
      </c>
      <c r="C408" t="inlineStr">
        <is>
          <t>0                      QL 0496000B  46          1994</t>
        </is>
      </c>
      <c r="D408" t="inlineStr">
        <is>
          <t>Host-plant selection by phytophagous insects / E.A. Bernays and R.F. Chapman.</t>
        </is>
      </c>
      <c r="F408" t="inlineStr">
        <is>
          <t>No</t>
        </is>
      </c>
      <c r="G408" t="inlineStr">
        <is>
          <t>1</t>
        </is>
      </c>
      <c r="H408" t="inlineStr">
        <is>
          <t>No</t>
        </is>
      </c>
      <c r="I408" t="inlineStr">
        <is>
          <t>No</t>
        </is>
      </c>
      <c r="J408" t="inlineStr">
        <is>
          <t>0</t>
        </is>
      </c>
      <c r="K408" t="inlineStr">
        <is>
          <t>Bernays, E. A. (Elizabeth A.)</t>
        </is>
      </c>
      <c r="L408" t="inlineStr">
        <is>
          <t>New York : Chapman &amp; Hall, 1994.</t>
        </is>
      </c>
      <c r="M408" t="inlineStr">
        <is>
          <t>1994</t>
        </is>
      </c>
      <c r="O408" t="inlineStr">
        <is>
          <t>eng</t>
        </is>
      </c>
      <c r="P408" t="inlineStr">
        <is>
          <t>nyu</t>
        </is>
      </c>
      <c r="Q408" t="inlineStr">
        <is>
          <t>Contemporary topics in entomology ; 2</t>
        </is>
      </c>
      <c r="R408" t="inlineStr">
        <is>
          <t xml:space="preserve">QL </t>
        </is>
      </c>
      <c r="S408" t="n">
        <v>5</v>
      </c>
      <c r="T408" t="n">
        <v>5</v>
      </c>
      <c r="U408" t="inlineStr">
        <is>
          <t>1999-11-20</t>
        </is>
      </c>
      <c r="V408" t="inlineStr">
        <is>
          <t>1999-11-20</t>
        </is>
      </c>
      <c r="W408" t="inlineStr">
        <is>
          <t>1994-05-26</t>
        </is>
      </c>
      <c r="X408" t="inlineStr">
        <is>
          <t>1994-05-26</t>
        </is>
      </c>
      <c r="Y408" t="n">
        <v>480</v>
      </c>
      <c r="Z408" t="n">
        <v>331</v>
      </c>
      <c r="AA408" t="n">
        <v>639</v>
      </c>
      <c r="AB408" t="n">
        <v>2</v>
      </c>
      <c r="AC408" t="n">
        <v>3</v>
      </c>
      <c r="AD408" t="n">
        <v>13</v>
      </c>
      <c r="AE408" t="n">
        <v>21</v>
      </c>
      <c r="AF408" t="n">
        <v>5</v>
      </c>
      <c r="AG408" t="n">
        <v>11</v>
      </c>
      <c r="AH408" t="n">
        <v>3</v>
      </c>
      <c r="AI408" t="n">
        <v>4</v>
      </c>
      <c r="AJ408" t="n">
        <v>8</v>
      </c>
      <c r="AK408" t="n">
        <v>13</v>
      </c>
      <c r="AL408" t="n">
        <v>1</v>
      </c>
      <c r="AM408" t="n">
        <v>1</v>
      </c>
      <c r="AN408" t="n">
        <v>0</v>
      </c>
      <c r="AO408" t="n">
        <v>0</v>
      </c>
      <c r="AP408" t="inlineStr">
        <is>
          <t>No</t>
        </is>
      </c>
      <c r="AQ408" t="inlineStr">
        <is>
          <t>Yes</t>
        </is>
      </c>
      <c r="AR408">
        <f>HYPERLINK("http://catalog.hathitrust.org/Record/002860286","HathiTrust Record")</f>
        <v/>
      </c>
      <c r="AS408">
        <f>HYPERLINK("https://creighton-primo.hosted.exlibrisgroup.com/primo-explore/search?tab=default_tab&amp;search_scope=EVERYTHING&amp;vid=01CRU&amp;lang=en_US&amp;offset=0&amp;query=any,contains,991002196849702656","Catalog Record")</f>
        <v/>
      </c>
      <c r="AT408">
        <f>HYPERLINK("http://www.worldcat.org/oclc/28254733","WorldCat Record")</f>
        <v/>
      </c>
      <c r="AU408" t="inlineStr">
        <is>
          <t>14375760:eng</t>
        </is>
      </c>
      <c r="AV408" t="inlineStr">
        <is>
          <t>28254733</t>
        </is>
      </c>
      <c r="AW408" t="inlineStr">
        <is>
          <t>991002196849702656</t>
        </is>
      </c>
      <c r="AX408" t="inlineStr">
        <is>
          <t>991002196849702656</t>
        </is>
      </c>
      <c r="AY408" t="inlineStr">
        <is>
          <t>2264132760002656</t>
        </is>
      </c>
      <c r="AZ408" t="inlineStr">
        <is>
          <t>BOOK</t>
        </is>
      </c>
      <c r="BB408" t="inlineStr">
        <is>
          <t>9780412031113</t>
        </is>
      </c>
      <c r="BC408" t="inlineStr">
        <is>
          <t>32285001899664</t>
        </is>
      </c>
      <c r="BD408" t="inlineStr">
        <is>
          <t>893885961</t>
        </is>
      </c>
    </row>
    <row r="409">
      <c r="A409" t="inlineStr">
        <is>
          <t>No</t>
        </is>
      </c>
      <c r="B409" t="inlineStr">
        <is>
          <t>QL496 .B83 1983</t>
        </is>
      </c>
      <c r="C409" t="inlineStr">
        <is>
          <t>0                      QL 0496000B  83          1983</t>
        </is>
      </c>
      <c r="D409" t="inlineStr">
        <is>
          <t>Social insects : ecology and behavioural biology / M.V. Brian.</t>
        </is>
      </c>
      <c r="F409" t="inlineStr">
        <is>
          <t>No</t>
        </is>
      </c>
      <c r="G409" t="inlineStr">
        <is>
          <t>1</t>
        </is>
      </c>
      <c r="H409" t="inlineStr">
        <is>
          <t>No</t>
        </is>
      </c>
      <c r="I409" t="inlineStr">
        <is>
          <t>No</t>
        </is>
      </c>
      <c r="J409" t="inlineStr">
        <is>
          <t>0</t>
        </is>
      </c>
      <c r="K409" t="inlineStr">
        <is>
          <t>Brian, M. V. (Michael Vaughan), 1919-</t>
        </is>
      </c>
      <c r="L409" t="inlineStr">
        <is>
          <t>London ; New York : Chapman and Hall, 1983.</t>
        </is>
      </c>
      <c r="M409" t="inlineStr">
        <is>
          <t>1983</t>
        </is>
      </c>
      <c r="O409" t="inlineStr">
        <is>
          <t>eng</t>
        </is>
      </c>
      <c r="P409" t="inlineStr">
        <is>
          <t>enk</t>
        </is>
      </c>
      <c r="R409" t="inlineStr">
        <is>
          <t xml:space="preserve">QL </t>
        </is>
      </c>
      <c r="S409" t="n">
        <v>6</v>
      </c>
      <c r="T409" t="n">
        <v>6</v>
      </c>
      <c r="U409" t="inlineStr">
        <is>
          <t>2004-11-30</t>
        </is>
      </c>
      <c r="V409" t="inlineStr">
        <is>
          <t>2004-11-30</t>
        </is>
      </c>
      <c r="W409" t="inlineStr">
        <is>
          <t>1993-05-27</t>
        </is>
      </c>
      <c r="X409" t="inlineStr">
        <is>
          <t>1993-05-27</t>
        </is>
      </c>
      <c r="Y409" t="n">
        <v>499</v>
      </c>
      <c r="Z409" t="n">
        <v>346</v>
      </c>
      <c r="AA409" t="n">
        <v>363</v>
      </c>
      <c r="AB409" t="n">
        <v>2</v>
      </c>
      <c r="AC409" t="n">
        <v>2</v>
      </c>
      <c r="AD409" t="n">
        <v>17</v>
      </c>
      <c r="AE409" t="n">
        <v>17</v>
      </c>
      <c r="AF409" t="n">
        <v>9</v>
      </c>
      <c r="AG409" t="n">
        <v>9</v>
      </c>
      <c r="AH409" t="n">
        <v>6</v>
      </c>
      <c r="AI409" t="n">
        <v>6</v>
      </c>
      <c r="AJ409" t="n">
        <v>9</v>
      </c>
      <c r="AK409" t="n">
        <v>9</v>
      </c>
      <c r="AL409" t="n">
        <v>1</v>
      </c>
      <c r="AM409" t="n">
        <v>1</v>
      </c>
      <c r="AN409" t="n">
        <v>0</v>
      </c>
      <c r="AO409" t="n">
        <v>0</v>
      </c>
      <c r="AP409" t="inlineStr">
        <is>
          <t>No</t>
        </is>
      </c>
      <c r="AQ409" t="inlineStr">
        <is>
          <t>Yes</t>
        </is>
      </c>
      <c r="AR409">
        <f>HYPERLINK("http://catalog.hathitrust.org/Record/000336141","HathiTrust Record")</f>
        <v/>
      </c>
      <c r="AS409">
        <f>HYPERLINK("https://creighton-primo.hosted.exlibrisgroup.com/primo-explore/search?tab=default_tab&amp;search_scope=EVERYTHING&amp;vid=01CRU&amp;lang=en_US&amp;offset=0&amp;query=any,contains,991000192719702656","Catalog Record")</f>
        <v/>
      </c>
      <c r="AT409">
        <f>HYPERLINK("http://www.worldcat.org/oclc/9413543","WorldCat Record")</f>
        <v/>
      </c>
      <c r="AU409" t="inlineStr">
        <is>
          <t>836721270:eng</t>
        </is>
      </c>
      <c r="AV409" t="inlineStr">
        <is>
          <t>9413543</t>
        </is>
      </c>
      <c r="AW409" t="inlineStr">
        <is>
          <t>991000192719702656</t>
        </is>
      </c>
      <c r="AX409" t="inlineStr">
        <is>
          <t>991000192719702656</t>
        </is>
      </c>
      <c r="AY409" t="inlineStr">
        <is>
          <t>2264057990002656</t>
        </is>
      </c>
      <c r="AZ409" t="inlineStr">
        <is>
          <t>BOOK</t>
        </is>
      </c>
      <c r="BB409" t="inlineStr">
        <is>
          <t>9780412229305</t>
        </is>
      </c>
      <c r="BC409" t="inlineStr">
        <is>
          <t>32285001687333</t>
        </is>
      </c>
      <c r="BD409" t="inlineStr">
        <is>
          <t>893224819</t>
        </is>
      </c>
    </row>
    <row r="410">
      <c r="A410" t="inlineStr">
        <is>
          <t>No</t>
        </is>
      </c>
      <c r="B410" t="inlineStr">
        <is>
          <t>QL496 .C2</t>
        </is>
      </c>
      <c r="C410" t="inlineStr">
        <is>
          <t>0                      QL 0496000C  2</t>
        </is>
      </c>
      <c r="D410" t="inlineStr">
        <is>
          <t>The biology of insects, by George H. Carpenter ...</t>
        </is>
      </c>
      <c r="F410" t="inlineStr">
        <is>
          <t>No</t>
        </is>
      </c>
      <c r="G410" t="inlineStr">
        <is>
          <t>1</t>
        </is>
      </c>
      <c r="H410" t="inlineStr">
        <is>
          <t>No</t>
        </is>
      </c>
      <c r="I410" t="inlineStr">
        <is>
          <t>No</t>
        </is>
      </c>
      <c r="J410" t="inlineStr">
        <is>
          <t>0</t>
        </is>
      </c>
      <c r="K410" t="inlineStr">
        <is>
          <t>Carpenter, George H. (George Herbert), 1865-1939.</t>
        </is>
      </c>
      <c r="L410" t="inlineStr">
        <is>
          <t>New York, The Macmillan Company, 1928.</t>
        </is>
      </c>
      <c r="M410" t="inlineStr">
        <is>
          <t>1928</t>
        </is>
      </c>
      <c r="O410" t="inlineStr">
        <is>
          <t>eng</t>
        </is>
      </c>
      <c r="P410" t="inlineStr">
        <is>
          <t>nyu</t>
        </is>
      </c>
      <c r="Q410" t="inlineStr">
        <is>
          <t>A series of biological handbooks</t>
        </is>
      </c>
      <c r="R410" t="inlineStr">
        <is>
          <t xml:space="preserve">QL </t>
        </is>
      </c>
      <c r="S410" t="n">
        <v>2</v>
      </c>
      <c r="T410" t="n">
        <v>2</v>
      </c>
      <c r="U410" t="inlineStr">
        <is>
          <t>2009-02-25</t>
        </is>
      </c>
      <c r="V410" t="inlineStr">
        <is>
          <t>2009-02-25</t>
        </is>
      </c>
      <c r="W410" t="inlineStr">
        <is>
          <t>1997-07-24</t>
        </is>
      </c>
      <c r="X410" t="inlineStr">
        <is>
          <t>1997-07-24</t>
        </is>
      </c>
      <c r="Y410" t="n">
        <v>144</v>
      </c>
      <c r="Z410" t="n">
        <v>131</v>
      </c>
      <c r="AA410" t="n">
        <v>188</v>
      </c>
      <c r="AB410" t="n">
        <v>3</v>
      </c>
      <c r="AC410" t="n">
        <v>3</v>
      </c>
      <c r="AD410" t="n">
        <v>6</v>
      </c>
      <c r="AE410" t="n">
        <v>6</v>
      </c>
      <c r="AF410" t="n">
        <v>1</v>
      </c>
      <c r="AG410" t="n">
        <v>1</v>
      </c>
      <c r="AH410" t="n">
        <v>1</v>
      </c>
      <c r="AI410" t="n">
        <v>1</v>
      </c>
      <c r="AJ410" t="n">
        <v>3</v>
      </c>
      <c r="AK410" t="n">
        <v>3</v>
      </c>
      <c r="AL410" t="n">
        <v>2</v>
      </c>
      <c r="AM410" t="n">
        <v>2</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HYPERLINK("https://creighton-primo.hosted.exlibrisgroup.com/primo-explore/search?tab=default_tab&amp;search_scope=EVERYTHING&amp;vid=01CRU&amp;lang=en_US&amp;offset=0&amp;query=any,contains,991003659099702656","Catalog Record")</f>
        <v/>
      </c>
      <c r="AT410">
        <f>HYPERLINK("http://www.worldcat.org/oclc/1265625","WorldCat Record")</f>
        <v/>
      </c>
      <c r="AU410" t="inlineStr">
        <is>
          <t>2191339:eng</t>
        </is>
      </c>
      <c r="AV410" t="inlineStr">
        <is>
          <t>1265625</t>
        </is>
      </c>
      <c r="AW410" t="inlineStr">
        <is>
          <t>991003659099702656</t>
        </is>
      </c>
      <c r="AX410" t="inlineStr">
        <is>
          <t>991003659099702656</t>
        </is>
      </c>
      <c r="AY410" t="inlineStr">
        <is>
          <t>2261699780002656</t>
        </is>
      </c>
      <c r="AZ410" t="inlineStr">
        <is>
          <t>BOOK</t>
        </is>
      </c>
      <c r="BC410" t="inlineStr">
        <is>
          <t>32285002980919</t>
        </is>
      </c>
      <c r="BD410" t="inlineStr">
        <is>
          <t>893900223</t>
        </is>
      </c>
    </row>
    <row r="411">
      <c r="A411" t="inlineStr">
        <is>
          <t>No</t>
        </is>
      </c>
      <c r="B411" t="inlineStr">
        <is>
          <t>QL496 .C648 1997</t>
        </is>
      </c>
      <c r="C411" t="inlineStr">
        <is>
          <t>0                      QL 0496000C  648         1997</t>
        </is>
      </c>
      <c r="D411" t="inlineStr">
        <is>
          <t>Comparative psychology of invertebrates : the field and laboratory study of insect behavior / edited by Gary Greenberg, Ethel Tobach.</t>
        </is>
      </c>
      <c r="F411" t="inlineStr">
        <is>
          <t>No</t>
        </is>
      </c>
      <c r="G411" t="inlineStr">
        <is>
          <t>1</t>
        </is>
      </c>
      <c r="H411" t="inlineStr">
        <is>
          <t>No</t>
        </is>
      </c>
      <c r="I411" t="inlineStr">
        <is>
          <t>No</t>
        </is>
      </c>
      <c r="J411" t="inlineStr">
        <is>
          <t>0</t>
        </is>
      </c>
      <c r="L411" t="inlineStr">
        <is>
          <t>New York : Garland Pub., 1997.</t>
        </is>
      </c>
      <c r="M411" t="inlineStr">
        <is>
          <t>1997</t>
        </is>
      </c>
      <c r="O411" t="inlineStr">
        <is>
          <t>eng</t>
        </is>
      </c>
      <c r="P411" t="inlineStr">
        <is>
          <t>nyu</t>
        </is>
      </c>
      <c r="Q411" t="inlineStr">
        <is>
          <t>Garland reference library of social science ; v. 1082</t>
        </is>
      </c>
      <c r="R411" t="inlineStr">
        <is>
          <t xml:space="preserve">QL </t>
        </is>
      </c>
      <c r="S411" t="n">
        <v>1</v>
      </c>
      <c r="T411" t="n">
        <v>1</v>
      </c>
      <c r="U411" t="inlineStr">
        <is>
          <t>2010-12-16</t>
        </is>
      </c>
      <c r="V411" t="inlineStr">
        <is>
          <t>2010-12-16</t>
        </is>
      </c>
      <c r="W411" t="inlineStr">
        <is>
          <t>1997-03-04</t>
        </is>
      </c>
      <c r="X411" t="inlineStr">
        <is>
          <t>1997-03-04</t>
        </is>
      </c>
      <c r="Y411" t="n">
        <v>152</v>
      </c>
      <c r="Z411" t="n">
        <v>122</v>
      </c>
      <c r="AA411" t="n">
        <v>140</v>
      </c>
      <c r="AB411" t="n">
        <v>2</v>
      </c>
      <c r="AC411" t="n">
        <v>2</v>
      </c>
      <c r="AD411" t="n">
        <v>4</v>
      </c>
      <c r="AE411" t="n">
        <v>4</v>
      </c>
      <c r="AF411" t="n">
        <v>0</v>
      </c>
      <c r="AG411" t="n">
        <v>0</v>
      </c>
      <c r="AH411" t="n">
        <v>1</v>
      </c>
      <c r="AI411" t="n">
        <v>1</v>
      </c>
      <c r="AJ411" t="n">
        <v>2</v>
      </c>
      <c r="AK411" t="n">
        <v>2</v>
      </c>
      <c r="AL411" t="n">
        <v>1</v>
      </c>
      <c r="AM411" t="n">
        <v>1</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HYPERLINK("https://creighton-primo.hosted.exlibrisgroup.com/primo-explore/search?tab=default_tab&amp;search_scope=EVERYTHING&amp;vid=01CRU&amp;lang=en_US&amp;offset=0&amp;query=any,contains,991002621999702656","Catalog Record")</f>
        <v/>
      </c>
      <c r="AT411">
        <f>HYPERLINK("http://www.worldcat.org/oclc/34355660","WorldCat Record")</f>
        <v/>
      </c>
      <c r="AU411" t="inlineStr">
        <is>
          <t>836918095:eng</t>
        </is>
      </c>
      <c r="AV411" t="inlineStr">
        <is>
          <t>34355660</t>
        </is>
      </c>
      <c r="AW411" t="inlineStr">
        <is>
          <t>991002621999702656</t>
        </is>
      </c>
      <c r="AX411" t="inlineStr">
        <is>
          <t>991002621999702656</t>
        </is>
      </c>
      <c r="AY411" t="inlineStr">
        <is>
          <t>2266562210002656</t>
        </is>
      </c>
      <c r="AZ411" t="inlineStr">
        <is>
          <t>BOOK</t>
        </is>
      </c>
      <c r="BB411" t="inlineStr">
        <is>
          <t>9780815321965</t>
        </is>
      </c>
      <c r="BC411" t="inlineStr">
        <is>
          <t>32285002434156</t>
        </is>
      </c>
      <c r="BD411" t="inlineStr">
        <is>
          <t>893691801</t>
        </is>
      </c>
    </row>
    <row r="412">
      <c r="A412" t="inlineStr">
        <is>
          <t>No</t>
        </is>
      </c>
      <c r="B412" t="inlineStr">
        <is>
          <t>QL496 .C76 1996</t>
        </is>
      </c>
      <c r="C412" t="inlineStr">
        <is>
          <t>0                      QL 0496000C  76          1996</t>
        </is>
      </c>
      <c r="D412" t="inlineStr">
        <is>
          <t>Evolution of social insect colonies : sex allocation and kin selection / Ross H. Crozier and Pekka Pamilo.</t>
        </is>
      </c>
      <c r="F412" t="inlineStr">
        <is>
          <t>No</t>
        </is>
      </c>
      <c r="G412" t="inlineStr">
        <is>
          <t>1</t>
        </is>
      </c>
      <c r="H412" t="inlineStr">
        <is>
          <t>No</t>
        </is>
      </c>
      <c r="I412" t="inlineStr">
        <is>
          <t>No</t>
        </is>
      </c>
      <c r="J412" t="inlineStr">
        <is>
          <t>0</t>
        </is>
      </c>
      <c r="K412" t="inlineStr">
        <is>
          <t>Crozier, R. H. (Rossiter Henry), 1943-</t>
        </is>
      </c>
      <c r="L412" t="inlineStr">
        <is>
          <t>Oxford ; New York : Oxford University Press, 1996.</t>
        </is>
      </c>
      <c r="M412" t="inlineStr">
        <is>
          <t>1996</t>
        </is>
      </c>
      <c r="O412" t="inlineStr">
        <is>
          <t>eng</t>
        </is>
      </c>
      <c r="P412" t="inlineStr">
        <is>
          <t>enk</t>
        </is>
      </c>
      <c r="Q412" t="inlineStr">
        <is>
          <t>Oxford series in ecology and evolution</t>
        </is>
      </c>
      <c r="R412" t="inlineStr">
        <is>
          <t xml:space="preserve">QL </t>
        </is>
      </c>
      <c r="S412" t="n">
        <v>3</v>
      </c>
      <c r="T412" t="n">
        <v>3</v>
      </c>
      <c r="U412" t="inlineStr">
        <is>
          <t>2006-03-27</t>
        </is>
      </c>
      <c r="V412" t="inlineStr">
        <is>
          <t>2006-03-27</t>
        </is>
      </c>
      <c r="W412" t="inlineStr">
        <is>
          <t>1997-02-20</t>
        </is>
      </c>
      <c r="X412" t="inlineStr">
        <is>
          <t>1997-02-20</t>
        </is>
      </c>
      <c r="Y412" t="n">
        <v>365</v>
      </c>
      <c r="Z412" t="n">
        <v>251</v>
      </c>
      <c r="AA412" t="n">
        <v>254</v>
      </c>
      <c r="AB412" t="n">
        <v>2</v>
      </c>
      <c r="AC412" t="n">
        <v>2</v>
      </c>
      <c r="AD412" t="n">
        <v>13</v>
      </c>
      <c r="AE412" t="n">
        <v>13</v>
      </c>
      <c r="AF412" t="n">
        <v>5</v>
      </c>
      <c r="AG412" t="n">
        <v>5</v>
      </c>
      <c r="AH412" t="n">
        <v>5</v>
      </c>
      <c r="AI412" t="n">
        <v>5</v>
      </c>
      <c r="AJ412" t="n">
        <v>8</v>
      </c>
      <c r="AK412" t="n">
        <v>8</v>
      </c>
      <c r="AL412" t="n">
        <v>1</v>
      </c>
      <c r="AM412" t="n">
        <v>1</v>
      </c>
      <c r="AN412" t="n">
        <v>0</v>
      </c>
      <c r="AO412" t="n">
        <v>0</v>
      </c>
      <c r="AP412" t="inlineStr">
        <is>
          <t>No</t>
        </is>
      </c>
      <c r="AQ412" t="inlineStr">
        <is>
          <t>Yes</t>
        </is>
      </c>
      <c r="AR412">
        <f>HYPERLINK("http://catalog.hathitrust.org/Record/003061759","HathiTrust Record")</f>
        <v/>
      </c>
      <c r="AS412">
        <f>HYPERLINK("https://creighton-primo.hosted.exlibrisgroup.com/primo-explore/search?tab=default_tab&amp;search_scope=EVERYTHING&amp;vid=01CRU&amp;lang=en_US&amp;offset=0&amp;query=any,contains,991002517459702656","Catalog Record")</f>
        <v/>
      </c>
      <c r="AT412">
        <f>HYPERLINK("http://www.worldcat.org/oclc/32739971","WorldCat Record")</f>
        <v/>
      </c>
      <c r="AU412" t="inlineStr">
        <is>
          <t>144054556:eng</t>
        </is>
      </c>
      <c r="AV412" t="inlineStr">
        <is>
          <t>32739971</t>
        </is>
      </c>
      <c r="AW412" t="inlineStr">
        <is>
          <t>991002517459702656</t>
        </is>
      </c>
      <c r="AX412" t="inlineStr">
        <is>
          <t>991002517459702656</t>
        </is>
      </c>
      <c r="AY412" t="inlineStr">
        <is>
          <t>2272021050002656</t>
        </is>
      </c>
      <c r="AZ412" t="inlineStr">
        <is>
          <t>BOOK</t>
        </is>
      </c>
      <c r="BB412" t="inlineStr">
        <is>
          <t>9780198549420</t>
        </is>
      </c>
      <c r="BC412" t="inlineStr">
        <is>
          <t>32285002432267</t>
        </is>
      </c>
      <c r="BD412" t="inlineStr">
        <is>
          <t>893591436</t>
        </is>
      </c>
    </row>
    <row r="413">
      <c r="A413" t="inlineStr">
        <is>
          <t>No</t>
        </is>
      </c>
      <c r="B413" t="inlineStr">
        <is>
          <t>QL496 .F18</t>
        </is>
      </c>
      <c r="C413" t="inlineStr">
        <is>
          <t>0                      QL 0496000F  18</t>
        </is>
      </c>
      <c r="D413" t="inlineStr">
        <is>
          <t>The life and love of the insect, by J. Henri Fabre, tr. by Alexander Teixeira de Mattos.</t>
        </is>
      </c>
      <c r="F413" t="inlineStr">
        <is>
          <t>No</t>
        </is>
      </c>
      <c r="G413" t="inlineStr">
        <is>
          <t>1</t>
        </is>
      </c>
      <c r="H413" t="inlineStr">
        <is>
          <t>No</t>
        </is>
      </c>
      <c r="I413" t="inlineStr">
        <is>
          <t>No</t>
        </is>
      </c>
      <c r="J413" t="inlineStr">
        <is>
          <t>0</t>
        </is>
      </c>
      <c r="K413" t="inlineStr">
        <is>
          <t>Fabre, Jean-Henri, 1823-1915.</t>
        </is>
      </c>
      <c r="L413" t="inlineStr">
        <is>
          <t>London, A. and C. Black, 1911.</t>
        </is>
      </c>
      <c r="M413" t="inlineStr">
        <is>
          <t>1911</t>
        </is>
      </c>
      <c r="O413" t="inlineStr">
        <is>
          <t>eng</t>
        </is>
      </c>
      <c r="P413" t="inlineStr">
        <is>
          <t>enk</t>
        </is>
      </c>
      <c r="R413" t="inlineStr">
        <is>
          <t xml:space="preserve">QL </t>
        </is>
      </c>
      <c r="S413" t="n">
        <v>1</v>
      </c>
      <c r="T413" t="n">
        <v>1</v>
      </c>
      <c r="U413" t="inlineStr">
        <is>
          <t>2004-02-26</t>
        </is>
      </c>
      <c r="V413" t="inlineStr">
        <is>
          <t>2004-02-26</t>
        </is>
      </c>
      <c r="W413" t="inlineStr">
        <is>
          <t>1997-07-24</t>
        </is>
      </c>
      <c r="X413" t="inlineStr">
        <is>
          <t>1997-07-24</t>
        </is>
      </c>
      <c r="Y413" t="n">
        <v>201</v>
      </c>
      <c r="Z413" t="n">
        <v>150</v>
      </c>
      <c r="AA413" t="n">
        <v>276</v>
      </c>
      <c r="AB413" t="n">
        <v>2</v>
      </c>
      <c r="AC413" t="n">
        <v>4</v>
      </c>
      <c r="AD413" t="n">
        <v>3</v>
      </c>
      <c r="AE413" t="n">
        <v>6</v>
      </c>
      <c r="AF413" t="n">
        <v>0</v>
      </c>
      <c r="AG413" t="n">
        <v>1</v>
      </c>
      <c r="AH413" t="n">
        <v>2</v>
      </c>
      <c r="AI413" t="n">
        <v>3</v>
      </c>
      <c r="AJ413" t="n">
        <v>1</v>
      </c>
      <c r="AK413" t="n">
        <v>1</v>
      </c>
      <c r="AL413" t="n">
        <v>1</v>
      </c>
      <c r="AM413" t="n">
        <v>3</v>
      </c>
      <c r="AN413" t="n">
        <v>0</v>
      </c>
      <c r="AO413" t="n">
        <v>0</v>
      </c>
      <c r="AP413" t="inlineStr">
        <is>
          <t>Yes</t>
        </is>
      </c>
      <c r="AQ413" t="inlineStr">
        <is>
          <t>No</t>
        </is>
      </c>
      <c r="AR413">
        <f>HYPERLINK("http://catalog.hathitrust.org/Record/007657416","HathiTrust Record")</f>
        <v/>
      </c>
      <c r="AS413">
        <f>HYPERLINK("https://creighton-primo.hosted.exlibrisgroup.com/primo-explore/search?tab=default_tab&amp;search_scope=EVERYTHING&amp;vid=01CRU&amp;lang=en_US&amp;offset=0&amp;query=any,contains,991003816039702656","Catalog Record")</f>
        <v/>
      </c>
      <c r="AT413">
        <f>HYPERLINK("http://www.worldcat.org/oclc/1548980","WorldCat Record")</f>
        <v/>
      </c>
      <c r="AU413" t="inlineStr">
        <is>
          <t>4159924749:eng</t>
        </is>
      </c>
      <c r="AV413" t="inlineStr">
        <is>
          <t>1548980</t>
        </is>
      </c>
      <c r="AW413" t="inlineStr">
        <is>
          <t>991003816039702656</t>
        </is>
      </c>
      <c r="AX413" t="inlineStr">
        <is>
          <t>991003816039702656</t>
        </is>
      </c>
      <c r="AY413" t="inlineStr">
        <is>
          <t>2272231600002656</t>
        </is>
      </c>
      <c r="AZ413" t="inlineStr">
        <is>
          <t>BOOK</t>
        </is>
      </c>
      <c r="BC413" t="inlineStr">
        <is>
          <t>32285002980943</t>
        </is>
      </c>
      <c r="BD413" t="inlineStr">
        <is>
          <t>893627787</t>
        </is>
      </c>
    </row>
    <row r="414">
      <c r="A414" t="inlineStr">
        <is>
          <t>No</t>
        </is>
      </c>
      <c r="B414" t="inlineStr">
        <is>
          <t>QL496 .G35 2002</t>
        </is>
      </c>
      <c r="C414" t="inlineStr">
        <is>
          <t>0                      QL 0496000G  35          2002</t>
        </is>
      </c>
      <c r="D414" t="inlineStr">
        <is>
          <t>Acoustic communication in insects and anurans : common problems and diverse solutions / H. Carl Gerhardt and Franz Huber.</t>
        </is>
      </c>
      <c r="F414" t="inlineStr">
        <is>
          <t>No</t>
        </is>
      </c>
      <c r="G414" t="inlineStr">
        <is>
          <t>1</t>
        </is>
      </c>
      <c r="H414" t="inlineStr">
        <is>
          <t>No</t>
        </is>
      </c>
      <c r="I414" t="inlineStr">
        <is>
          <t>No</t>
        </is>
      </c>
      <c r="J414" t="inlineStr">
        <is>
          <t>0</t>
        </is>
      </c>
      <c r="K414" t="inlineStr">
        <is>
          <t>Gerhardt, H. Carl.</t>
        </is>
      </c>
      <c r="L414" t="inlineStr">
        <is>
          <t>Chicago : University of Chicago Press, c2002.</t>
        </is>
      </c>
      <c r="M414" t="inlineStr">
        <is>
          <t>2002</t>
        </is>
      </c>
      <c r="O414" t="inlineStr">
        <is>
          <t>eng</t>
        </is>
      </c>
      <c r="P414" t="inlineStr">
        <is>
          <t>ilu</t>
        </is>
      </c>
      <c r="R414" t="inlineStr">
        <is>
          <t xml:space="preserve">QL </t>
        </is>
      </c>
      <c r="S414" t="n">
        <v>19</v>
      </c>
      <c r="T414" t="n">
        <v>19</v>
      </c>
      <c r="U414" t="inlineStr">
        <is>
          <t>2007-02-25</t>
        </is>
      </c>
      <c r="V414" t="inlineStr">
        <is>
          <t>2007-02-25</t>
        </is>
      </c>
      <c r="W414" t="inlineStr">
        <is>
          <t>2003-04-09</t>
        </is>
      </c>
      <c r="X414" t="inlineStr">
        <is>
          <t>2003-04-09</t>
        </is>
      </c>
      <c r="Y414" t="n">
        <v>315</v>
      </c>
      <c r="Z414" t="n">
        <v>233</v>
      </c>
      <c r="AA414" t="n">
        <v>233</v>
      </c>
      <c r="AB414" t="n">
        <v>2</v>
      </c>
      <c r="AC414" t="n">
        <v>2</v>
      </c>
      <c r="AD414" t="n">
        <v>6</v>
      </c>
      <c r="AE414" t="n">
        <v>6</v>
      </c>
      <c r="AF414" t="n">
        <v>3</v>
      </c>
      <c r="AG414" t="n">
        <v>3</v>
      </c>
      <c r="AH414" t="n">
        <v>2</v>
      </c>
      <c r="AI414" t="n">
        <v>2</v>
      </c>
      <c r="AJ414" t="n">
        <v>2</v>
      </c>
      <c r="AK414" t="n">
        <v>2</v>
      </c>
      <c r="AL414" t="n">
        <v>1</v>
      </c>
      <c r="AM414" t="n">
        <v>1</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HYPERLINK("https://creighton-primo.hosted.exlibrisgroup.com/primo-explore/search?tab=default_tab&amp;search_scope=EVERYTHING&amp;vid=01CRU&amp;lang=en_US&amp;offset=0&amp;query=any,contains,991004020819702656","Catalog Record")</f>
        <v/>
      </c>
      <c r="AT414">
        <f>HYPERLINK("http://www.worldcat.org/oclc/48675611","WorldCat Record")</f>
        <v/>
      </c>
      <c r="AU414" t="inlineStr">
        <is>
          <t>198978387:eng</t>
        </is>
      </c>
      <c r="AV414" t="inlineStr">
        <is>
          <t>48675611</t>
        </is>
      </c>
      <c r="AW414" t="inlineStr">
        <is>
          <t>991004020819702656</t>
        </is>
      </c>
      <c r="AX414" t="inlineStr">
        <is>
          <t>991004020819702656</t>
        </is>
      </c>
      <c r="AY414" t="inlineStr">
        <is>
          <t>2261259450002656</t>
        </is>
      </c>
      <c r="AZ414" t="inlineStr">
        <is>
          <t>BOOK</t>
        </is>
      </c>
      <c r="BB414" t="inlineStr">
        <is>
          <t>9780226288321</t>
        </is>
      </c>
      <c r="BC414" t="inlineStr">
        <is>
          <t>32285004741194</t>
        </is>
      </c>
      <c r="BD414" t="inlineStr">
        <is>
          <t>893429560</t>
        </is>
      </c>
    </row>
    <row r="415">
      <c r="A415" t="inlineStr">
        <is>
          <t>No</t>
        </is>
      </c>
      <c r="B415" t="inlineStr">
        <is>
          <t>QL496 .G59 1994</t>
        </is>
      </c>
      <c r="C415" t="inlineStr">
        <is>
          <t>0                      QL 0496000G  59          1994</t>
        </is>
      </c>
      <c r="D415" t="inlineStr">
        <is>
          <t>Parasitoids : behavioral and evolutionary ecology / H.C.J. Godfray.</t>
        </is>
      </c>
      <c r="F415" t="inlineStr">
        <is>
          <t>No</t>
        </is>
      </c>
      <c r="G415" t="inlineStr">
        <is>
          <t>1</t>
        </is>
      </c>
      <c r="H415" t="inlineStr">
        <is>
          <t>No</t>
        </is>
      </c>
      <c r="I415" t="inlineStr">
        <is>
          <t>No</t>
        </is>
      </c>
      <c r="J415" t="inlineStr">
        <is>
          <t>0</t>
        </is>
      </c>
      <c r="K415" t="inlineStr">
        <is>
          <t>Godfray, H. C. J., 1958-</t>
        </is>
      </c>
      <c r="L415" t="inlineStr">
        <is>
          <t>Princeton, N.J. : Princeton University Press, c1994.</t>
        </is>
      </c>
      <c r="M415" t="inlineStr">
        <is>
          <t>1994</t>
        </is>
      </c>
      <c r="O415" t="inlineStr">
        <is>
          <t>eng</t>
        </is>
      </c>
      <c r="P415" t="inlineStr">
        <is>
          <t>nju</t>
        </is>
      </c>
      <c r="Q415" t="inlineStr">
        <is>
          <t>Monographs in behavior and ecology</t>
        </is>
      </c>
      <c r="R415" t="inlineStr">
        <is>
          <t xml:space="preserve">QL </t>
        </is>
      </c>
      <c r="S415" t="n">
        <v>3</v>
      </c>
      <c r="T415" t="n">
        <v>3</v>
      </c>
      <c r="U415" t="inlineStr">
        <is>
          <t>2009-04-06</t>
        </is>
      </c>
      <c r="V415" t="inlineStr">
        <is>
          <t>2009-04-06</t>
        </is>
      </c>
      <c r="W415" t="inlineStr">
        <is>
          <t>1997-02-25</t>
        </is>
      </c>
      <c r="X415" t="inlineStr">
        <is>
          <t>1997-02-25</t>
        </is>
      </c>
      <c r="Y415" t="n">
        <v>534</v>
      </c>
      <c r="Z415" t="n">
        <v>400</v>
      </c>
      <c r="AA415" t="n">
        <v>575</v>
      </c>
      <c r="AB415" t="n">
        <v>4</v>
      </c>
      <c r="AC415" t="n">
        <v>4</v>
      </c>
      <c r="AD415" t="n">
        <v>20</v>
      </c>
      <c r="AE415" t="n">
        <v>30</v>
      </c>
      <c r="AF415" t="n">
        <v>7</v>
      </c>
      <c r="AG415" t="n">
        <v>13</v>
      </c>
      <c r="AH415" t="n">
        <v>5</v>
      </c>
      <c r="AI415" t="n">
        <v>8</v>
      </c>
      <c r="AJ415" t="n">
        <v>11</v>
      </c>
      <c r="AK415" t="n">
        <v>15</v>
      </c>
      <c r="AL415" t="n">
        <v>3</v>
      </c>
      <c r="AM415" t="n">
        <v>3</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HYPERLINK("https://creighton-primo.hosted.exlibrisgroup.com/primo-explore/search?tab=default_tab&amp;search_scope=EVERYTHING&amp;vid=01CRU&amp;lang=en_US&amp;offset=0&amp;query=any,contains,991002171359702656","Catalog Record")</f>
        <v/>
      </c>
      <c r="AT415">
        <f>HYPERLINK("http://www.worldcat.org/oclc/27937314","WorldCat Record")</f>
        <v/>
      </c>
      <c r="AU415" t="inlineStr">
        <is>
          <t>347743:eng</t>
        </is>
      </c>
      <c r="AV415" t="inlineStr">
        <is>
          <t>27937314</t>
        </is>
      </c>
      <c r="AW415" t="inlineStr">
        <is>
          <t>991002171359702656</t>
        </is>
      </c>
      <c r="AX415" t="inlineStr">
        <is>
          <t>991002171359702656</t>
        </is>
      </c>
      <c r="AY415" t="inlineStr">
        <is>
          <t>2255474120002656</t>
        </is>
      </c>
      <c r="AZ415" t="inlineStr">
        <is>
          <t>BOOK</t>
        </is>
      </c>
      <c r="BB415" t="inlineStr">
        <is>
          <t>9780691000473</t>
        </is>
      </c>
      <c r="BC415" t="inlineStr">
        <is>
          <t>32285002433273</t>
        </is>
      </c>
      <c r="BD415" t="inlineStr">
        <is>
          <t>893408773</t>
        </is>
      </c>
    </row>
    <row r="416">
      <c r="A416" t="inlineStr">
        <is>
          <t>No</t>
        </is>
      </c>
      <c r="B416" t="inlineStr">
        <is>
          <t>QL496 .I385 1982</t>
        </is>
      </c>
      <c r="C416" t="inlineStr">
        <is>
          <t>0                      QL 0496000I  385         1982</t>
        </is>
      </c>
      <c r="D416" t="inlineStr">
        <is>
          <t>Insect behavior, a sourcebook of laboratory and field exercises / edited by Janice R. Matthews and Robert W. Matthews.</t>
        </is>
      </c>
      <c r="F416" t="inlineStr">
        <is>
          <t>No</t>
        </is>
      </c>
      <c r="G416" t="inlineStr">
        <is>
          <t>1</t>
        </is>
      </c>
      <c r="H416" t="inlineStr">
        <is>
          <t>No</t>
        </is>
      </c>
      <c r="I416" t="inlineStr">
        <is>
          <t>No</t>
        </is>
      </c>
      <c r="J416" t="inlineStr">
        <is>
          <t>0</t>
        </is>
      </c>
      <c r="L416" t="inlineStr">
        <is>
          <t>Boulder, Colo. : Westview Press, 1982.</t>
        </is>
      </c>
      <c r="M416" t="inlineStr">
        <is>
          <t>1982</t>
        </is>
      </c>
      <c r="O416" t="inlineStr">
        <is>
          <t>eng</t>
        </is>
      </c>
      <c r="P416" t="inlineStr">
        <is>
          <t>cou</t>
        </is>
      </c>
      <c r="R416" t="inlineStr">
        <is>
          <t xml:space="preserve">QL </t>
        </is>
      </c>
      <c r="S416" t="n">
        <v>12</v>
      </c>
      <c r="T416" t="n">
        <v>12</v>
      </c>
      <c r="U416" t="inlineStr">
        <is>
          <t>2009-02-26</t>
        </is>
      </c>
      <c r="V416" t="inlineStr">
        <is>
          <t>2009-02-26</t>
        </is>
      </c>
      <c r="W416" t="inlineStr">
        <is>
          <t>1992-08-19</t>
        </is>
      </c>
      <c r="X416" t="inlineStr">
        <is>
          <t>1992-08-19</t>
        </is>
      </c>
      <c r="Y416" t="n">
        <v>227</v>
      </c>
      <c r="Z416" t="n">
        <v>162</v>
      </c>
      <c r="AA416" t="n">
        <v>186</v>
      </c>
      <c r="AB416" t="n">
        <v>3</v>
      </c>
      <c r="AC416" t="n">
        <v>3</v>
      </c>
      <c r="AD416" t="n">
        <v>5</v>
      </c>
      <c r="AE416" t="n">
        <v>5</v>
      </c>
      <c r="AF416" t="n">
        <v>1</v>
      </c>
      <c r="AG416" t="n">
        <v>1</v>
      </c>
      <c r="AH416" t="n">
        <v>1</v>
      </c>
      <c r="AI416" t="n">
        <v>1</v>
      </c>
      <c r="AJ416" t="n">
        <v>3</v>
      </c>
      <c r="AK416" t="n">
        <v>3</v>
      </c>
      <c r="AL416" t="n">
        <v>2</v>
      </c>
      <c r="AM416" t="n">
        <v>2</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HYPERLINK("https://creighton-primo.hosted.exlibrisgroup.com/primo-explore/search?tab=default_tab&amp;search_scope=EVERYTHING&amp;vid=01CRU&amp;lang=en_US&amp;offset=0&amp;query=any,contains,991000152439702656","Catalog Record")</f>
        <v/>
      </c>
      <c r="AT416">
        <f>HYPERLINK("http://www.worldcat.org/oclc/9217567","WorldCat Record")</f>
        <v/>
      </c>
      <c r="AU416" t="inlineStr">
        <is>
          <t>10500672256:eng</t>
        </is>
      </c>
      <c r="AV416" t="inlineStr">
        <is>
          <t>9217567</t>
        </is>
      </c>
      <c r="AW416" t="inlineStr">
        <is>
          <t>991000152439702656</t>
        </is>
      </c>
      <c r="AX416" t="inlineStr">
        <is>
          <t>991000152439702656</t>
        </is>
      </c>
      <c r="AY416" t="inlineStr">
        <is>
          <t>2267778960002656</t>
        </is>
      </c>
      <c r="AZ416" t="inlineStr">
        <is>
          <t>BOOK</t>
        </is>
      </c>
      <c r="BB416" t="inlineStr">
        <is>
          <t>9780865314122</t>
        </is>
      </c>
      <c r="BC416" t="inlineStr">
        <is>
          <t>32285001246312</t>
        </is>
      </c>
      <c r="BD416" t="inlineStr">
        <is>
          <t>893521446</t>
        </is>
      </c>
    </row>
    <row r="417">
      <c r="A417" t="inlineStr">
        <is>
          <t>No</t>
        </is>
      </c>
      <c r="B417" t="inlineStr">
        <is>
          <t>QL496 .I386 1984</t>
        </is>
      </c>
      <c r="C417" t="inlineStr">
        <is>
          <t>0                      QL 0496000I  386         1984</t>
        </is>
      </c>
      <c r="D417" t="inlineStr">
        <is>
          <t>Insect communication / edited by Trevor Lewis.</t>
        </is>
      </c>
      <c r="F417" t="inlineStr">
        <is>
          <t>No</t>
        </is>
      </c>
      <c r="G417" t="inlineStr">
        <is>
          <t>1</t>
        </is>
      </c>
      <c r="H417" t="inlineStr">
        <is>
          <t>No</t>
        </is>
      </c>
      <c r="I417" t="inlineStr">
        <is>
          <t>No</t>
        </is>
      </c>
      <c r="J417" t="inlineStr">
        <is>
          <t>0</t>
        </is>
      </c>
      <c r="L417" t="inlineStr">
        <is>
          <t>Orlando : Academic Press, 1984.</t>
        </is>
      </c>
      <c r="M417" t="inlineStr">
        <is>
          <t>1984</t>
        </is>
      </c>
      <c r="O417" t="inlineStr">
        <is>
          <t>eng</t>
        </is>
      </c>
      <c r="P417" t="inlineStr">
        <is>
          <t>flu</t>
        </is>
      </c>
      <c r="Q417" t="inlineStr">
        <is>
          <t>Symposia of the Royal Entomological Society of London ; no. 12</t>
        </is>
      </c>
      <c r="R417" t="inlineStr">
        <is>
          <t xml:space="preserve">QL </t>
        </is>
      </c>
      <c r="S417" t="n">
        <v>11</v>
      </c>
      <c r="T417" t="n">
        <v>11</v>
      </c>
      <c r="U417" t="inlineStr">
        <is>
          <t>2008-11-20</t>
        </is>
      </c>
      <c r="V417" t="inlineStr">
        <is>
          <t>2008-11-20</t>
        </is>
      </c>
      <c r="W417" t="inlineStr">
        <is>
          <t>1993-05-27</t>
        </is>
      </c>
      <c r="X417" t="inlineStr">
        <is>
          <t>1993-05-27</t>
        </is>
      </c>
      <c r="Y417" t="n">
        <v>246</v>
      </c>
      <c r="Z417" t="n">
        <v>207</v>
      </c>
      <c r="AA417" t="n">
        <v>236</v>
      </c>
      <c r="AB417" t="n">
        <v>2</v>
      </c>
      <c r="AC417" t="n">
        <v>2</v>
      </c>
      <c r="AD417" t="n">
        <v>5</v>
      </c>
      <c r="AE417" t="n">
        <v>6</v>
      </c>
      <c r="AF417" t="n">
        <v>1</v>
      </c>
      <c r="AG417" t="n">
        <v>1</v>
      </c>
      <c r="AH417" t="n">
        <v>1</v>
      </c>
      <c r="AI417" t="n">
        <v>2</v>
      </c>
      <c r="AJ417" t="n">
        <v>3</v>
      </c>
      <c r="AK417" t="n">
        <v>4</v>
      </c>
      <c r="AL417" t="n">
        <v>1</v>
      </c>
      <c r="AM417" t="n">
        <v>1</v>
      </c>
      <c r="AN417" t="n">
        <v>0</v>
      </c>
      <c r="AO417" t="n">
        <v>0</v>
      </c>
      <c r="AP417" t="inlineStr">
        <is>
          <t>No</t>
        </is>
      </c>
      <c r="AQ417" t="inlineStr">
        <is>
          <t>Yes</t>
        </is>
      </c>
      <c r="AR417">
        <f>HYPERLINK("http://catalog.hathitrust.org/Record/000417732","HathiTrust Record")</f>
        <v/>
      </c>
      <c r="AS417">
        <f>HYPERLINK("https://creighton-primo.hosted.exlibrisgroup.com/primo-explore/search?tab=default_tab&amp;search_scope=EVERYTHING&amp;vid=01CRU&amp;lang=en_US&amp;offset=0&amp;query=any,contains,991000429119702656","Catalog Record")</f>
        <v/>
      </c>
      <c r="AT417">
        <f>HYPERLINK("http://www.worldcat.org/oclc/10777356","WorldCat Record")</f>
        <v/>
      </c>
      <c r="AU417" t="inlineStr">
        <is>
          <t>428742649:eng</t>
        </is>
      </c>
      <c r="AV417" t="inlineStr">
        <is>
          <t>10777356</t>
        </is>
      </c>
      <c r="AW417" t="inlineStr">
        <is>
          <t>991000429119702656</t>
        </is>
      </c>
      <c r="AX417" t="inlineStr">
        <is>
          <t>991000429119702656</t>
        </is>
      </c>
      <c r="AY417" t="inlineStr">
        <is>
          <t>2265291160002656</t>
        </is>
      </c>
      <c r="AZ417" t="inlineStr">
        <is>
          <t>BOOK</t>
        </is>
      </c>
      <c r="BC417" t="inlineStr">
        <is>
          <t>32285001687358</t>
        </is>
      </c>
      <c r="BD417" t="inlineStr">
        <is>
          <t>893243236</t>
        </is>
      </c>
    </row>
    <row r="418">
      <c r="A418" t="inlineStr">
        <is>
          <t>No</t>
        </is>
      </c>
      <c r="B418" t="inlineStr">
        <is>
          <t>QL496 .I387 1993</t>
        </is>
      </c>
      <c r="C418" t="inlineStr">
        <is>
          <t>0                      QL 0496000I  387         1993</t>
        </is>
      </c>
      <c r="D418" t="inlineStr">
        <is>
          <t>Insect learning : ecological and evolutionary perspectives / edited by Daniel R. Papaj and Alcinda C. Lewis.</t>
        </is>
      </c>
      <c r="F418" t="inlineStr">
        <is>
          <t>No</t>
        </is>
      </c>
      <c r="G418" t="inlineStr">
        <is>
          <t>1</t>
        </is>
      </c>
      <c r="H418" t="inlineStr">
        <is>
          <t>No</t>
        </is>
      </c>
      <c r="I418" t="inlineStr">
        <is>
          <t>No</t>
        </is>
      </c>
      <c r="J418" t="inlineStr">
        <is>
          <t>0</t>
        </is>
      </c>
      <c r="L418" t="inlineStr">
        <is>
          <t>New York : Chapman &amp; Hall, 1993.</t>
        </is>
      </c>
      <c r="M418" t="inlineStr">
        <is>
          <t>1993</t>
        </is>
      </c>
      <c r="O418" t="inlineStr">
        <is>
          <t>eng</t>
        </is>
      </c>
      <c r="P418" t="inlineStr">
        <is>
          <t>nyu</t>
        </is>
      </c>
      <c r="R418" t="inlineStr">
        <is>
          <t xml:space="preserve">QL </t>
        </is>
      </c>
      <c r="S418" t="n">
        <v>6</v>
      </c>
      <c r="T418" t="n">
        <v>6</v>
      </c>
      <c r="U418" t="inlineStr">
        <is>
          <t>1994-01-24</t>
        </is>
      </c>
      <c r="V418" t="inlineStr">
        <is>
          <t>1994-01-24</t>
        </is>
      </c>
      <c r="W418" t="inlineStr">
        <is>
          <t>1993-02-24</t>
        </is>
      </c>
      <c r="X418" t="inlineStr">
        <is>
          <t>1993-02-24</t>
        </is>
      </c>
      <c r="Y418" t="n">
        <v>276</v>
      </c>
      <c r="Z418" t="n">
        <v>202</v>
      </c>
      <c r="AA418" t="n">
        <v>218</v>
      </c>
      <c r="AB418" t="n">
        <v>2</v>
      </c>
      <c r="AC418" t="n">
        <v>2</v>
      </c>
      <c r="AD418" t="n">
        <v>10</v>
      </c>
      <c r="AE418" t="n">
        <v>11</v>
      </c>
      <c r="AF418" t="n">
        <v>2</v>
      </c>
      <c r="AG418" t="n">
        <v>3</v>
      </c>
      <c r="AH418" t="n">
        <v>4</v>
      </c>
      <c r="AI418" t="n">
        <v>4</v>
      </c>
      <c r="AJ418" t="n">
        <v>6</v>
      </c>
      <c r="AK418" t="n">
        <v>7</v>
      </c>
      <c r="AL418" t="n">
        <v>1</v>
      </c>
      <c r="AM418" t="n">
        <v>1</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HYPERLINK("https://creighton-primo.hosted.exlibrisgroup.com/primo-explore/search?tab=default_tab&amp;search_scope=EVERYTHING&amp;vid=01CRU&amp;lang=en_US&amp;offset=0&amp;query=any,contains,991002064369702656","Catalog Record")</f>
        <v/>
      </c>
      <c r="AT418">
        <f>HYPERLINK("http://www.worldcat.org/oclc/26400387","WorldCat Record")</f>
        <v/>
      </c>
      <c r="AU418" t="inlineStr">
        <is>
          <t>509193697:eng</t>
        </is>
      </c>
      <c r="AV418" t="inlineStr">
        <is>
          <t>26400387</t>
        </is>
      </c>
      <c r="AW418" t="inlineStr">
        <is>
          <t>991002064369702656</t>
        </is>
      </c>
      <c r="AX418" t="inlineStr">
        <is>
          <t>991002064369702656</t>
        </is>
      </c>
      <c r="AY418" t="inlineStr">
        <is>
          <t>2267972910002656</t>
        </is>
      </c>
      <c r="AZ418" t="inlineStr">
        <is>
          <t>BOOK</t>
        </is>
      </c>
      <c r="BB418" t="inlineStr">
        <is>
          <t>9780412025617</t>
        </is>
      </c>
      <c r="BC418" t="inlineStr">
        <is>
          <t>32285001496289</t>
        </is>
      </c>
      <c r="BD418" t="inlineStr">
        <is>
          <t>893523144</t>
        </is>
      </c>
    </row>
    <row r="419">
      <c r="A419" t="inlineStr">
        <is>
          <t>No</t>
        </is>
      </c>
      <c r="B419" t="inlineStr">
        <is>
          <t>QL496 .I424 1984</t>
        </is>
      </c>
      <c r="C419" t="inlineStr">
        <is>
          <t>0                      QL 0496000I  424         1984</t>
        </is>
      </c>
      <c r="D419" t="inlineStr">
        <is>
          <t>Acoustic and vibrational communication in insects : proceedings from the XVII. International Congress of Entomology held at the University of Hamburg, August 1984 / Klaus Kalmring and Norbert Elsner (eds.)</t>
        </is>
      </c>
      <c r="F419" t="inlineStr">
        <is>
          <t>No</t>
        </is>
      </c>
      <c r="G419" t="inlineStr">
        <is>
          <t>1</t>
        </is>
      </c>
      <c r="H419" t="inlineStr">
        <is>
          <t>No</t>
        </is>
      </c>
      <c r="I419" t="inlineStr">
        <is>
          <t>No</t>
        </is>
      </c>
      <c r="J419" t="inlineStr">
        <is>
          <t>0</t>
        </is>
      </c>
      <c r="K419" t="inlineStr">
        <is>
          <t>International Congress of Entomology (17th : 1984 : Hamburg, Germany)</t>
        </is>
      </c>
      <c r="L419" t="inlineStr">
        <is>
          <t>Berlin : P. Parey, 1985.</t>
        </is>
      </c>
      <c r="M419" t="inlineStr">
        <is>
          <t>1985</t>
        </is>
      </c>
      <c r="O419" t="inlineStr">
        <is>
          <t>eng</t>
        </is>
      </c>
      <c r="P419" t="inlineStr">
        <is>
          <t xml:space="preserve">gw </t>
        </is>
      </c>
      <c r="R419" t="inlineStr">
        <is>
          <t xml:space="preserve">QL </t>
        </is>
      </c>
      <c r="S419" t="n">
        <v>6</v>
      </c>
      <c r="T419" t="n">
        <v>6</v>
      </c>
      <c r="U419" t="inlineStr">
        <is>
          <t>2007-03-02</t>
        </is>
      </c>
      <c r="V419" t="inlineStr">
        <is>
          <t>2007-03-02</t>
        </is>
      </c>
      <c r="W419" t="inlineStr">
        <is>
          <t>1993-05-04</t>
        </is>
      </c>
      <c r="X419" t="inlineStr">
        <is>
          <t>1993-05-04</t>
        </is>
      </c>
      <c r="Y419" t="n">
        <v>178</v>
      </c>
      <c r="Z419" t="n">
        <v>137</v>
      </c>
      <c r="AA419" t="n">
        <v>139</v>
      </c>
      <c r="AB419" t="n">
        <v>1</v>
      </c>
      <c r="AC419" t="n">
        <v>1</v>
      </c>
      <c r="AD419" t="n">
        <v>2</v>
      </c>
      <c r="AE419" t="n">
        <v>2</v>
      </c>
      <c r="AF419" t="n">
        <v>1</v>
      </c>
      <c r="AG419" t="n">
        <v>1</v>
      </c>
      <c r="AH419" t="n">
        <v>0</v>
      </c>
      <c r="AI419" t="n">
        <v>0</v>
      </c>
      <c r="AJ419" t="n">
        <v>2</v>
      </c>
      <c r="AK419" t="n">
        <v>2</v>
      </c>
      <c r="AL419" t="n">
        <v>0</v>
      </c>
      <c r="AM419" t="n">
        <v>0</v>
      </c>
      <c r="AN419" t="n">
        <v>0</v>
      </c>
      <c r="AO419" t="n">
        <v>0</v>
      </c>
      <c r="AP419" t="inlineStr">
        <is>
          <t>No</t>
        </is>
      </c>
      <c r="AQ419" t="inlineStr">
        <is>
          <t>Yes</t>
        </is>
      </c>
      <c r="AR419">
        <f>HYPERLINK("http://catalog.hathitrust.org/Record/000430139","HathiTrust Record")</f>
        <v/>
      </c>
      <c r="AS419">
        <f>HYPERLINK("https://creighton-primo.hosted.exlibrisgroup.com/primo-explore/search?tab=default_tab&amp;search_scope=EVERYTHING&amp;vid=01CRU&amp;lang=en_US&amp;offset=0&amp;query=any,contains,991000700179702656","Catalog Record")</f>
        <v/>
      </c>
      <c r="AT419">
        <f>HYPERLINK("http://www.worldcat.org/oclc/12545776","WorldCat Record")</f>
        <v/>
      </c>
      <c r="AU419" t="inlineStr">
        <is>
          <t>811129696:eng</t>
        </is>
      </c>
      <c r="AV419" t="inlineStr">
        <is>
          <t>12545776</t>
        </is>
      </c>
      <c r="AW419" t="inlineStr">
        <is>
          <t>991000700179702656</t>
        </is>
      </c>
      <c r="AX419" t="inlineStr">
        <is>
          <t>991000700179702656</t>
        </is>
      </c>
      <c r="AY419" t="inlineStr">
        <is>
          <t>2255228540002656</t>
        </is>
      </c>
      <c r="AZ419" t="inlineStr">
        <is>
          <t>BOOK</t>
        </is>
      </c>
      <c r="BB419" t="inlineStr">
        <is>
          <t>9783489659365</t>
        </is>
      </c>
      <c r="BC419" t="inlineStr">
        <is>
          <t>32285001633287</t>
        </is>
      </c>
      <c r="BD419" t="inlineStr">
        <is>
          <t>893720760</t>
        </is>
      </c>
    </row>
    <row r="420">
      <c r="A420" t="inlineStr">
        <is>
          <t>No</t>
        </is>
      </c>
      <c r="B420" t="inlineStr">
        <is>
          <t>QL496 .I43 1982</t>
        </is>
      </c>
      <c r="C420" t="inlineStr">
        <is>
          <t>0                      QL 0496000I  43          1982</t>
        </is>
      </c>
      <c r="D420" t="inlineStr">
        <is>
          <t>The biology of social insects : proceedings of the Ninth Congress of the International Union for the Study of Social Insects, Boulder, Colorado, August 1982 / edited by Michael D. Breed, Charles D. Michener, and Howard E. Evans.</t>
        </is>
      </c>
      <c r="F420" t="inlineStr">
        <is>
          <t>No</t>
        </is>
      </c>
      <c r="G420" t="inlineStr">
        <is>
          <t>1</t>
        </is>
      </c>
      <c r="H420" t="inlineStr">
        <is>
          <t>No</t>
        </is>
      </c>
      <c r="I420" t="inlineStr">
        <is>
          <t>No</t>
        </is>
      </c>
      <c r="J420" t="inlineStr">
        <is>
          <t>0</t>
        </is>
      </c>
      <c r="K420" t="inlineStr">
        <is>
          <t>International Union for the Study of Social Insects. Congress (9th : 1982 : Boulder, Colo.)</t>
        </is>
      </c>
      <c r="L420" t="inlineStr">
        <is>
          <t>Boulder, Colo. : Westview Press, 1982.</t>
        </is>
      </c>
      <c r="M420" t="inlineStr">
        <is>
          <t>1982</t>
        </is>
      </c>
      <c r="O420" t="inlineStr">
        <is>
          <t>eng</t>
        </is>
      </c>
      <c r="P420" t="inlineStr">
        <is>
          <t>cou</t>
        </is>
      </c>
      <c r="R420" t="inlineStr">
        <is>
          <t xml:space="preserve">QL </t>
        </is>
      </c>
      <c r="S420" t="n">
        <v>5</v>
      </c>
      <c r="T420" t="n">
        <v>5</v>
      </c>
      <c r="U420" t="inlineStr">
        <is>
          <t>2006-03-27</t>
        </is>
      </c>
      <c r="V420" t="inlineStr">
        <is>
          <t>2006-03-27</t>
        </is>
      </c>
      <c r="W420" t="inlineStr">
        <is>
          <t>1993-05-27</t>
        </is>
      </c>
      <c r="X420" t="inlineStr">
        <is>
          <t>1993-05-27</t>
        </is>
      </c>
      <c r="Y420" t="n">
        <v>190</v>
      </c>
      <c r="Z420" t="n">
        <v>143</v>
      </c>
      <c r="AA420" t="n">
        <v>163</v>
      </c>
      <c r="AB420" t="n">
        <v>1</v>
      </c>
      <c r="AC420" t="n">
        <v>1</v>
      </c>
      <c r="AD420" t="n">
        <v>2</v>
      </c>
      <c r="AE420" t="n">
        <v>2</v>
      </c>
      <c r="AF420" t="n">
        <v>1</v>
      </c>
      <c r="AG420" t="n">
        <v>1</v>
      </c>
      <c r="AH420" t="n">
        <v>1</v>
      </c>
      <c r="AI420" t="n">
        <v>1</v>
      </c>
      <c r="AJ420" t="n">
        <v>2</v>
      </c>
      <c r="AK420" t="n">
        <v>2</v>
      </c>
      <c r="AL420" t="n">
        <v>0</v>
      </c>
      <c r="AM420" t="n">
        <v>0</v>
      </c>
      <c r="AN420" t="n">
        <v>0</v>
      </c>
      <c r="AO420" t="n">
        <v>0</v>
      </c>
      <c r="AP420" t="inlineStr">
        <is>
          <t>No</t>
        </is>
      </c>
      <c r="AQ420" t="inlineStr">
        <is>
          <t>Yes</t>
        </is>
      </c>
      <c r="AR420">
        <f>HYPERLINK("http://catalog.hathitrust.org/Record/000770579","HathiTrust Record")</f>
        <v/>
      </c>
      <c r="AS420">
        <f>HYPERLINK("https://creighton-primo.hosted.exlibrisgroup.com/primo-explore/search?tab=default_tab&amp;search_scope=EVERYTHING&amp;vid=01CRU&amp;lang=en_US&amp;offset=0&amp;query=any,contains,991000093359702656","Catalog Record")</f>
        <v/>
      </c>
      <c r="AT420">
        <f>HYPERLINK("http://www.worldcat.org/oclc/8920717","WorldCat Record")</f>
        <v/>
      </c>
      <c r="AU420" t="inlineStr">
        <is>
          <t>836705267:eng</t>
        </is>
      </c>
      <c r="AV420" t="inlineStr">
        <is>
          <t>8920717</t>
        </is>
      </c>
      <c r="AW420" t="inlineStr">
        <is>
          <t>991000093359702656</t>
        </is>
      </c>
      <c r="AX420" t="inlineStr">
        <is>
          <t>991000093359702656</t>
        </is>
      </c>
      <c r="AY420" t="inlineStr">
        <is>
          <t>2263435260002656</t>
        </is>
      </c>
      <c r="AZ420" t="inlineStr">
        <is>
          <t>BOOK</t>
        </is>
      </c>
      <c r="BB420" t="inlineStr">
        <is>
          <t>9780865312913</t>
        </is>
      </c>
      <c r="BC420" t="inlineStr">
        <is>
          <t>32285001687366</t>
        </is>
      </c>
      <c r="BD420" t="inlineStr">
        <is>
          <t>893444195</t>
        </is>
      </c>
    </row>
    <row r="421">
      <c r="A421" t="inlineStr">
        <is>
          <t>No</t>
        </is>
      </c>
      <c r="B421" t="inlineStr">
        <is>
          <t>QL496 .J6</t>
        </is>
      </c>
      <c r="C421" t="inlineStr">
        <is>
          <t>0                      QL 0496000J  6</t>
        </is>
      </c>
      <c r="D421" t="inlineStr">
        <is>
          <t>Migration and dispersal of insects by flight / [by] C. G. Johnson.</t>
        </is>
      </c>
      <c r="F421" t="inlineStr">
        <is>
          <t>No</t>
        </is>
      </c>
      <c r="G421" t="inlineStr">
        <is>
          <t>1</t>
        </is>
      </c>
      <c r="H421" t="inlineStr">
        <is>
          <t>No</t>
        </is>
      </c>
      <c r="I421" t="inlineStr">
        <is>
          <t>No</t>
        </is>
      </c>
      <c r="J421" t="inlineStr">
        <is>
          <t>0</t>
        </is>
      </c>
      <c r="K421" t="inlineStr">
        <is>
          <t>Johnson, C. G. (Cecil George)</t>
        </is>
      </c>
      <c r="L421" t="inlineStr">
        <is>
          <t>London : Methuen, 1969.</t>
        </is>
      </c>
      <c r="M421" t="inlineStr">
        <is>
          <t>1969</t>
        </is>
      </c>
      <c r="O421" t="inlineStr">
        <is>
          <t>eng</t>
        </is>
      </c>
      <c r="P421" t="inlineStr">
        <is>
          <t>enk</t>
        </is>
      </c>
      <c r="R421" t="inlineStr">
        <is>
          <t xml:space="preserve">QL </t>
        </is>
      </c>
      <c r="S421" t="n">
        <v>7</v>
      </c>
      <c r="T421" t="n">
        <v>7</v>
      </c>
      <c r="U421" t="inlineStr">
        <is>
          <t>2000-02-23</t>
        </is>
      </c>
      <c r="V421" t="inlineStr">
        <is>
          <t>2000-02-23</t>
        </is>
      </c>
      <c r="W421" t="inlineStr">
        <is>
          <t>1994-11-16</t>
        </is>
      </c>
      <c r="X421" t="inlineStr">
        <is>
          <t>1994-11-16</t>
        </is>
      </c>
      <c r="Y421" t="n">
        <v>618</v>
      </c>
      <c r="Z421" t="n">
        <v>453</v>
      </c>
      <c r="AA421" t="n">
        <v>455</v>
      </c>
      <c r="AB421" t="n">
        <v>4</v>
      </c>
      <c r="AC421" t="n">
        <v>4</v>
      </c>
      <c r="AD421" t="n">
        <v>18</v>
      </c>
      <c r="AE421" t="n">
        <v>18</v>
      </c>
      <c r="AF421" t="n">
        <v>6</v>
      </c>
      <c r="AG421" t="n">
        <v>6</v>
      </c>
      <c r="AH421" t="n">
        <v>1</v>
      </c>
      <c r="AI421" t="n">
        <v>1</v>
      </c>
      <c r="AJ421" t="n">
        <v>9</v>
      </c>
      <c r="AK421" t="n">
        <v>9</v>
      </c>
      <c r="AL421" t="n">
        <v>3</v>
      </c>
      <c r="AM421" t="n">
        <v>3</v>
      </c>
      <c r="AN421" t="n">
        <v>0</v>
      </c>
      <c r="AO421" t="n">
        <v>0</v>
      </c>
      <c r="AP421" t="inlineStr">
        <is>
          <t>No</t>
        </is>
      </c>
      <c r="AQ421" t="inlineStr">
        <is>
          <t>Yes</t>
        </is>
      </c>
      <c r="AR421">
        <f>HYPERLINK("http://catalog.hathitrust.org/Record/001500138","HathiTrust Record")</f>
        <v/>
      </c>
      <c r="AS421">
        <f>HYPERLINK("https://creighton-primo.hosted.exlibrisgroup.com/primo-explore/search?tab=default_tab&amp;search_scope=EVERYTHING&amp;vid=01CRU&amp;lang=en_US&amp;offset=0&amp;query=any,contains,991000062249702656","Catalog Record")</f>
        <v/>
      </c>
      <c r="AT421">
        <f>HYPERLINK("http://www.worldcat.org/oclc/25197","WorldCat Record")</f>
        <v/>
      </c>
      <c r="AU421" t="inlineStr">
        <is>
          <t>1164753:eng</t>
        </is>
      </c>
      <c r="AV421" t="inlineStr">
        <is>
          <t>25197</t>
        </is>
      </c>
      <c r="AW421" t="inlineStr">
        <is>
          <t>991000062249702656</t>
        </is>
      </c>
      <c r="AX421" t="inlineStr">
        <is>
          <t>991000062249702656</t>
        </is>
      </c>
      <c r="AY421" t="inlineStr">
        <is>
          <t>2268498590002656</t>
        </is>
      </c>
      <c r="AZ421" t="inlineStr">
        <is>
          <t>BOOK</t>
        </is>
      </c>
      <c r="BC421" t="inlineStr">
        <is>
          <t>32285001966646</t>
        </is>
      </c>
      <c r="BD421" t="inlineStr">
        <is>
          <t>893714254</t>
        </is>
      </c>
    </row>
    <row r="422">
      <c r="A422" t="inlineStr">
        <is>
          <t>No</t>
        </is>
      </c>
      <c r="B422" t="inlineStr">
        <is>
          <t>QL496 .M8</t>
        </is>
      </c>
      <c r="C422" t="inlineStr">
        <is>
          <t>0                      QL 0496000M  8</t>
        </is>
      </c>
      <c r="D422" t="inlineStr">
        <is>
          <t>Ecology of insect vector populations [by] R. C. Muirhead-Thomson.</t>
        </is>
      </c>
      <c r="F422" t="inlineStr">
        <is>
          <t>No</t>
        </is>
      </c>
      <c r="G422" t="inlineStr">
        <is>
          <t>1</t>
        </is>
      </c>
      <c r="H422" t="inlineStr">
        <is>
          <t>No</t>
        </is>
      </c>
      <c r="I422" t="inlineStr">
        <is>
          <t>No</t>
        </is>
      </c>
      <c r="J422" t="inlineStr">
        <is>
          <t>0</t>
        </is>
      </c>
      <c r="K422" t="inlineStr">
        <is>
          <t>Muirhead-Thomson, R. C.</t>
        </is>
      </c>
      <c r="L422" t="inlineStr">
        <is>
          <t>London, New York, Academic Press, 1968.</t>
        </is>
      </c>
      <c r="M422" t="inlineStr">
        <is>
          <t>1968</t>
        </is>
      </c>
      <c r="O422" t="inlineStr">
        <is>
          <t>eng</t>
        </is>
      </c>
      <c r="P422" t="inlineStr">
        <is>
          <t>enk</t>
        </is>
      </c>
      <c r="R422" t="inlineStr">
        <is>
          <t xml:space="preserve">QL </t>
        </is>
      </c>
      <c r="S422" t="n">
        <v>1</v>
      </c>
      <c r="T422" t="n">
        <v>1</v>
      </c>
      <c r="U422" t="inlineStr">
        <is>
          <t>2000-11-19</t>
        </is>
      </c>
      <c r="V422" t="inlineStr">
        <is>
          <t>2000-11-19</t>
        </is>
      </c>
      <c r="W422" t="inlineStr">
        <is>
          <t>1997-07-24</t>
        </is>
      </c>
      <c r="X422" t="inlineStr">
        <is>
          <t>1997-07-24</t>
        </is>
      </c>
      <c r="Y422" t="n">
        <v>509</v>
      </c>
      <c r="Z422" t="n">
        <v>369</v>
      </c>
      <c r="AA422" t="n">
        <v>408</v>
      </c>
      <c r="AB422" t="n">
        <v>5</v>
      </c>
      <c r="AC422" t="n">
        <v>5</v>
      </c>
      <c r="AD422" t="n">
        <v>13</v>
      </c>
      <c r="AE422" t="n">
        <v>16</v>
      </c>
      <c r="AF422" t="n">
        <v>5</v>
      </c>
      <c r="AG422" t="n">
        <v>7</v>
      </c>
      <c r="AH422" t="n">
        <v>2</v>
      </c>
      <c r="AI422" t="n">
        <v>4</v>
      </c>
      <c r="AJ422" t="n">
        <v>4</v>
      </c>
      <c r="AK422" t="n">
        <v>4</v>
      </c>
      <c r="AL422" t="n">
        <v>4</v>
      </c>
      <c r="AM422" t="n">
        <v>4</v>
      </c>
      <c r="AN422" t="n">
        <v>0</v>
      </c>
      <c r="AO422" t="n">
        <v>0</v>
      </c>
      <c r="AP422" t="inlineStr">
        <is>
          <t>No</t>
        </is>
      </c>
      <c r="AQ422" t="inlineStr">
        <is>
          <t>Yes</t>
        </is>
      </c>
      <c r="AR422">
        <f>HYPERLINK("http://catalog.hathitrust.org/Record/001500140","HathiTrust Record")</f>
        <v/>
      </c>
      <c r="AS422">
        <f>HYPERLINK("https://creighton-primo.hosted.exlibrisgroup.com/primo-explore/search?tab=default_tab&amp;search_scope=EVERYTHING&amp;vid=01CRU&amp;lang=en_US&amp;offset=0&amp;query=any,contains,991001373839702656","Catalog Record")</f>
        <v/>
      </c>
      <c r="AT422">
        <f>HYPERLINK("http://www.worldcat.org/oclc/224341","WorldCat Record")</f>
        <v/>
      </c>
      <c r="AU422" t="inlineStr">
        <is>
          <t>1333661:eng</t>
        </is>
      </c>
      <c r="AV422" t="inlineStr">
        <is>
          <t>224341</t>
        </is>
      </c>
      <c r="AW422" t="inlineStr">
        <is>
          <t>991001373839702656</t>
        </is>
      </c>
      <c r="AX422" t="inlineStr">
        <is>
          <t>991001373839702656</t>
        </is>
      </c>
      <c r="AY422" t="inlineStr">
        <is>
          <t>2264230610002656</t>
        </is>
      </c>
      <c r="AZ422" t="inlineStr">
        <is>
          <t>BOOK</t>
        </is>
      </c>
      <c r="BC422" t="inlineStr">
        <is>
          <t>32285002980976</t>
        </is>
      </c>
      <c r="BD422" t="inlineStr">
        <is>
          <t>893803576</t>
        </is>
      </c>
    </row>
    <row r="423">
      <c r="A423" t="inlineStr">
        <is>
          <t>No</t>
        </is>
      </c>
      <c r="B423" t="inlineStr">
        <is>
          <t>QL496 .O74 2009</t>
        </is>
      </c>
      <c r="C423" t="inlineStr">
        <is>
          <t>0                      QL 0496000O  74          2009</t>
        </is>
      </c>
      <c r="D423" t="inlineStr">
        <is>
          <t>Organization of insect societies : from genome to sociocomplexity / edited by Jürgen Gadau and Jennifer Fewell ; with a foreword by Edward O. Wilson.</t>
        </is>
      </c>
      <c r="F423" t="inlineStr">
        <is>
          <t>No</t>
        </is>
      </c>
      <c r="G423" t="inlineStr">
        <is>
          <t>1</t>
        </is>
      </c>
      <c r="H423" t="inlineStr">
        <is>
          <t>No</t>
        </is>
      </c>
      <c r="I423" t="inlineStr">
        <is>
          <t>No</t>
        </is>
      </c>
      <c r="J423" t="inlineStr">
        <is>
          <t>0</t>
        </is>
      </c>
      <c r="L423" t="inlineStr">
        <is>
          <t>Cambridge, Mass. : Harvard University Press, 2009.</t>
        </is>
      </c>
      <c r="M423" t="inlineStr">
        <is>
          <t>2009</t>
        </is>
      </c>
      <c r="O423" t="inlineStr">
        <is>
          <t>eng</t>
        </is>
      </c>
      <c r="P423" t="inlineStr">
        <is>
          <t>mau</t>
        </is>
      </c>
      <c r="R423" t="inlineStr">
        <is>
          <t xml:space="preserve">QL </t>
        </is>
      </c>
      <c r="S423" t="n">
        <v>2</v>
      </c>
      <c r="T423" t="n">
        <v>2</v>
      </c>
      <c r="U423" t="inlineStr">
        <is>
          <t>2009-11-29</t>
        </is>
      </c>
      <c r="V423" t="inlineStr">
        <is>
          <t>2009-11-29</t>
        </is>
      </c>
      <c r="W423" t="inlineStr">
        <is>
          <t>2009-10-05</t>
        </is>
      </c>
      <c r="X423" t="inlineStr">
        <is>
          <t>2009-10-05</t>
        </is>
      </c>
      <c r="Y423" t="n">
        <v>377</v>
      </c>
      <c r="Z423" t="n">
        <v>300</v>
      </c>
      <c r="AA423" t="n">
        <v>302</v>
      </c>
      <c r="AB423" t="n">
        <v>2</v>
      </c>
      <c r="AC423" t="n">
        <v>2</v>
      </c>
      <c r="AD423" t="n">
        <v>17</v>
      </c>
      <c r="AE423" t="n">
        <v>17</v>
      </c>
      <c r="AF423" t="n">
        <v>8</v>
      </c>
      <c r="AG423" t="n">
        <v>8</v>
      </c>
      <c r="AH423" t="n">
        <v>4</v>
      </c>
      <c r="AI423" t="n">
        <v>4</v>
      </c>
      <c r="AJ423" t="n">
        <v>9</v>
      </c>
      <c r="AK423" t="n">
        <v>9</v>
      </c>
      <c r="AL423" t="n">
        <v>1</v>
      </c>
      <c r="AM423" t="n">
        <v>1</v>
      </c>
      <c r="AN423" t="n">
        <v>0</v>
      </c>
      <c r="AO423" t="n">
        <v>0</v>
      </c>
      <c r="AP423" t="inlineStr">
        <is>
          <t>No</t>
        </is>
      </c>
      <c r="AQ423" t="inlineStr">
        <is>
          <t>Yes</t>
        </is>
      </c>
      <c r="AR423">
        <f>HYPERLINK("http://catalog.hathitrust.org/Record/005953910","HathiTrust Record")</f>
        <v/>
      </c>
      <c r="AS423">
        <f>HYPERLINK("https://creighton-primo.hosted.exlibrisgroup.com/primo-explore/search?tab=default_tab&amp;search_scope=EVERYTHING&amp;vid=01CRU&amp;lang=en_US&amp;offset=0&amp;query=any,contains,991005337449702656","Catalog Record")</f>
        <v/>
      </c>
      <c r="AT423">
        <f>HYPERLINK("http://www.worldcat.org/oclc/228497969","WorldCat Record")</f>
        <v/>
      </c>
      <c r="AU423" t="inlineStr">
        <is>
          <t>1020787678:eng</t>
        </is>
      </c>
      <c r="AV423" t="inlineStr">
        <is>
          <t>228497969</t>
        </is>
      </c>
      <c r="AW423" t="inlineStr">
        <is>
          <t>991005337449702656</t>
        </is>
      </c>
      <c r="AX423" t="inlineStr">
        <is>
          <t>991005337449702656</t>
        </is>
      </c>
      <c r="AY423" t="inlineStr">
        <is>
          <t>2267548260002656</t>
        </is>
      </c>
      <c r="AZ423" t="inlineStr">
        <is>
          <t>BOOK</t>
        </is>
      </c>
      <c r="BB423" t="inlineStr">
        <is>
          <t>9780674031258</t>
        </is>
      </c>
      <c r="BC423" t="inlineStr">
        <is>
          <t>32285005546477</t>
        </is>
      </c>
      <c r="BD423" t="inlineStr">
        <is>
          <t>893783417</t>
        </is>
      </c>
    </row>
    <row r="424">
      <c r="A424" t="inlineStr">
        <is>
          <t>No</t>
        </is>
      </c>
      <c r="B424" t="inlineStr">
        <is>
          <t>QL496 .O86 1985</t>
        </is>
      </c>
      <c r="C424" t="inlineStr">
        <is>
          <t>0                      QL 0496000O  86          1985</t>
        </is>
      </c>
      <c r="D424" t="inlineStr">
        <is>
          <t>Insects in camera : a photographic essay on behaviour / text, Christopher O'Toole ; photography, Ken Preston-Mafham.</t>
        </is>
      </c>
      <c r="F424" t="inlineStr">
        <is>
          <t>No</t>
        </is>
      </c>
      <c r="G424" t="inlineStr">
        <is>
          <t>1</t>
        </is>
      </c>
      <c r="H424" t="inlineStr">
        <is>
          <t>No</t>
        </is>
      </c>
      <c r="I424" t="inlineStr">
        <is>
          <t>No</t>
        </is>
      </c>
      <c r="J424" t="inlineStr">
        <is>
          <t>0</t>
        </is>
      </c>
      <c r="K424" t="inlineStr">
        <is>
          <t>O'Toole, Christopher.</t>
        </is>
      </c>
      <c r="L424" t="inlineStr">
        <is>
          <t>Oxford ; New York : Oxford University Press, 1985.</t>
        </is>
      </c>
      <c r="M424" t="inlineStr">
        <is>
          <t>1983</t>
        </is>
      </c>
      <c r="O424" t="inlineStr">
        <is>
          <t>eng</t>
        </is>
      </c>
      <c r="P424" t="inlineStr">
        <is>
          <t>enk</t>
        </is>
      </c>
      <c r="R424" t="inlineStr">
        <is>
          <t xml:space="preserve">QL </t>
        </is>
      </c>
      <c r="S424" t="n">
        <v>10</v>
      </c>
      <c r="T424" t="n">
        <v>10</v>
      </c>
      <c r="U424" t="inlineStr">
        <is>
          <t>2000-04-29</t>
        </is>
      </c>
      <c r="V424" t="inlineStr">
        <is>
          <t>2000-04-29</t>
        </is>
      </c>
      <c r="W424" t="inlineStr">
        <is>
          <t>1993-02-17</t>
        </is>
      </c>
      <c r="X424" t="inlineStr">
        <is>
          <t>1993-02-17</t>
        </is>
      </c>
      <c r="Y424" t="n">
        <v>486</v>
      </c>
      <c r="Z424" t="n">
        <v>384</v>
      </c>
      <c r="AA424" t="n">
        <v>396</v>
      </c>
      <c r="AB424" t="n">
        <v>2</v>
      </c>
      <c r="AC424" t="n">
        <v>2</v>
      </c>
      <c r="AD424" t="n">
        <v>12</v>
      </c>
      <c r="AE424" t="n">
        <v>12</v>
      </c>
      <c r="AF424" t="n">
        <v>4</v>
      </c>
      <c r="AG424" t="n">
        <v>4</v>
      </c>
      <c r="AH424" t="n">
        <v>2</v>
      </c>
      <c r="AI424" t="n">
        <v>2</v>
      </c>
      <c r="AJ424" t="n">
        <v>9</v>
      </c>
      <c r="AK424" t="n">
        <v>9</v>
      </c>
      <c r="AL424" t="n">
        <v>1</v>
      </c>
      <c r="AM424" t="n">
        <v>1</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HYPERLINK("https://creighton-primo.hosted.exlibrisgroup.com/primo-explore/search?tab=default_tab&amp;search_scope=EVERYTHING&amp;vid=01CRU&amp;lang=en_US&amp;offset=0&amp;query=any,contains,991000391599702656","Catalog Record")</f>
        <v/>
      </c>
      <c r="AT424">
        <f>HYPERLINK("http://www.worldcat.org/oclc/10557690","WorldCat Record")</f>
        <v/>
      </c>
      <c r="AU424" t="inlineStr">
        <is>
          <t>796072235:eng</t>
        </is>
      </c>
      <c r="AV424" t="inlineStr">
        <is>
          <t>10557690</t>
        </is>
      </c>
      <c r="AW424" t="inlineStr">
        <is>
          <t>991000391599702656</t>
        </is>
      </c>
      <c r="AX424" t="inlineStr">
        <is>
          <t>991000391599702656</t>
        </is>
      </c>
      <c r="AY424" t="inlineStr">
        <is>
          <t>2271516700002656</t>
        </is>
      </c>
      <c r="AZ424" t="inlineStr">
        <is>
          <t>BOOK</t>
        </is>
      </c>
      <c r="BB424" t="inlineStr">
        <is>
          <t>9780192176943</t>
        </is>
      </c>
      <c r="BC424" t="inlineStr">
        <is>
          <t>32285001502516</t>
        </is>
      </c>
      <c r="BD424" t="inlineStr">
        <is>
          <t>893589398</t>
        </is>
      </c>
    </row>
    <row r="425">
      <c r="A425" t="inlineStr">
        <is>
          <t>No</t>
        </is>
      </c>
      <c r="B425" t="inlineStr">
        <is>
          <t>QL496 .R38 1991</t>
        </is>
      </c>
      <c r="C425" t="inlineStr">
        <is>
          <t>0                      QL 0496000R  38          1991</t>
        </is>
      </c>
      <c r="D425" t="inlineStr">
        <is>
          <t>Reproductive behaviour of insects : individuals and populations / edited by W.J. Bailey and J. Ridsdill-Smith.</t>
        </is>
      </c>
      <c r="F425" t="inlineStr">
        <is>
          <t>No</t>
        </is>
      </c>
      <c r="G425" t="inlineStr">
        <is>
          <t>1</t>
        </is>
      </c>
      <c r="H425" t="inlineStr">
        <is>
          <t>No</t>
        </is>
      </c>
      <c r="I425" t="inlineStr">
        <is>
          <t>No</t>
        </is>
      </c>
      <c r="J425" t="inlineStr">
        <is>
          <t>0</t>
        </is>
      </c>
      <c r="L425" t="inlineStr">
        <is>
          <t>London ; New York : Chapman and Hall, 1991.</t>
        </is>
      </c>
      <c r="M425" t="inlineStr">
        <is>
          <t>1991</t>
        </is>
      </c>
      <c r="N425" t="inlineStr">
        <is>
          <t>1st ed.</t>
        </is>
      </c>
      <c r="O425" t="inlineStr">
        <is>
          <t>eng</t>
        </is>
      </c>
      <c r="P425" t="inlineStr">
        <is>
          <t>enk</t>
        </is>
      </c>
      <c r="R425" t="inlineStr">
        <is>
          <t xml:space="preserve">QL </t>
        </is>
      </c>
      <c r="S425" t="n">
        <v>13</v>
      </c>
      <c r="T425" t="n">
        <v>13</v>
      </c>
      <c r="U425" t="inlineStr">
        <is>
          <t>2008-11-12</t>
        </is>
      </c>
      <c r="V425" t="inlineStr">
        <is>
          <t>2008-11-12</t>
        </is>
      </c>
      <c r="W425" t="inlineStr">
        <is>
          <t>1991-06-05</t>
        </is>
      </c>
      <c r="X425" t="inlineStr">
        <is>
          <t>1991-06-05</t>
        </is>
      </c>
      <c r="Y425" t="n">
        <v>383</v>
      </c>
      <c r="Z425" t="n">
        <v>232</v>
      </c>
      <c r="AA425" t="n">
        <v>232</v>
      </c>
      <c r="AB425" t="n">
        <v>2</v>
      </c>
      <c r="AC425" t="n">
        <v>2</v>
      </c>
      <c r="AD425" t="n">
        <v>16</v>
      </c>
      <c r="AE425" t="n">
        <v>16</v>
      </c>
      <c r="AF425" t="n">
        <v>5</v>
      </c>
      <c r="AG425" t="n">
        <v>5</v>
      </c>
      <c r="AH425" t="n">
        <v>5</v>
      </c>
      <c r="AI425" t="n">
        <v>5</v>
      </c>
      <c r="AJ425" t="n">
        <v>10</v>
      </c>
      <c r="AK425" t="n">
        <v>10</v>
      </c>
      <c r="AL425" t="n">
        <v>1</v>
      </c>
      <c r="AM425" t="n">
        <v>1</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HYPERLINK("https://creighton-primo.hosted.exlibrisgroup.com/primo-explore/search?tab=default_tab&amp;search_scope=EVERYTHING&amp;vid=01CRU&amp;lang=en_US&amp;offset=0&amp;query=any,contains,991001772299702656","Catalog Record")</f>
        <v/>
      </c>
      <c r="AT425">
        <f>HYPERLINK("http://www.worldcat.org/oclc/22381348","WorldCat Record")</f>
        <v/>
      </c>
      <c r="AU425" t="inlineStr">
        <is>
          <t>889884290:eng</t>
        </is>
      </c>
      <c r="AV425" t="inlineStr">
        <is>
          <t>22381348</t>
        </is>
      </c>
      <c r="AW425" t="inlineStr">
        <is>
          <t>991001772299702656</t>
        </is>
      </c>
      <c r="AX425" t="inlineStr">
        <is>
          <t>991001772299702656</t>
        </is>
      </c>
      <c r="AY425" t="inlineStr">
        <is>
          <t>2270681650002656</t>
        </is>
      </c>
      <c r="AZ425" t="inlineStr">
        <is>
          <t>BOOK</t>
        </is>
      </c>
      <c r="BB425" t="inlineStr">
        <is>
          <t>9780412312809</t>
        </is>
      </c>
      <c r="BC425" t="inlineStr">
        <is>
          <t>32285000592765</t>
        </is>
      </c>
      <c r="BD425" t="inlineStr">
        <is>
          <t>893420613</t>
        </is>
      </c>
    </row>
    <row r="426">
      <c r="A426" t="inlineStr">
        <is>
          <t>No</t>
        </is>
      </c>
      <c r="B426" t="inlineStr">
        <is>
          <t>QL496 .R585 1967</t>
        </is>
      </c>
      <c r="C426" t="inlineStr">
        <is>
          <t>0                      QL 0496000R  585         1967</t>
        </is>
      </c>
      <c r="D426" t="inlineStr">
        <is>
          <t>Nerve cells and insect behavior [by] Kenneth D. Roeder.</t>
        </is>
      </c>
      <c r="F426" t="inlineStr">
        <is>
          <t>No</t>
        </is>
      </c>
      <c r="G426" t="inlineStr">
        <is>
          <t>1</t>
        </is>
      </c>
      <c r="H426" t="inlineStr">
        <is>
          <t>No</t>
        </is>
      </c>
      <c r="I426" t="inlineStr">
        <is>
          <t>No</t>
        </is>
      </c>
      <c r="J426" t="inlineStr">
        <is>
          <t>0</t>
        </is>
      </c>
      <c r="K426" t="inlineStr">
        <is>
          <t>Roeder, Kenneth D. (Kenneth David), 1908-1979.</t>
        </is>
      </c>
      <c r="L426" t="inlineStr">
        <is>
          <t>Cambridge, Mass., Harvard University Press, 1967.</t>
        </is>
      </c>
      <c r="M426" t="inlineStr">
        <is>
          <t>1967</t>
        </is>
      </c>
      <c r="N426" t="inlineStr">
        <is>
          <t>Rev. ed.</t>
        </is>
      </c>
      <c r="O426" t="inlineStr">
        <is>
          <t>eng</t>
        </is>
      </c>
      <c r="P426" t="inlineStr">
        <is>
          <t>mau</t>
        </is>
      </c>
      <c r="Q426" t="inlineStr">
        <is>
          <t>Harvard books in biology ; no. 4</t>
        </is>
      </c>
      <c r="R426" t="inlineStr">
        <is>
          <t xml:space="preserve">QL </t>
        </is>
      </c>
      <c r="S426" t="n">
        <v>2</v>
      </c>
      <c r="T426" t="n">
        <v>2</v>
      </c>
      <c r="U426" t="inlineStr">
        <is>
          <t>1999-11-04</t>
        </is>
      </c>
      <c r="V426" t="inlineStr">
        <is>
          <t>1999-11-04</t>
        </is>
      </c>
      <c r="W426" t="inlineStr">
        <is>
          <t>1997-07-24</t>
        </is>
      </c>
      <c r="X426" t="inlineStr">
        <is>
          <t>1997-07-24</t>
        </is>
      </c>
      <c r="Y426" t="n">
        <v>590</v>
      </c>
      <c r="Z426" t="n">
        <v>513</v>
      </c>
      <c r="AA426" t="n">
        <v>728</v>
      </c>
      <c r="AB426" t="n">
        <v>3</v>
      </c>
      <c r="AC426" t="n">
        <v>3</v>
      </c>
      <c r="AD426" t="n">
        <v>22</v>
      </c>
      <c r="AE426" t="n">
        <v>28</v>
      </c>
      <c r="AF426" t="n">
        <v>8</v>
      </c>
      <c r="AG426" t="n">
        <v>12</v>
      </c>
      <c r="AH426" t="n">
        <v>5</v>
      </c>
      <c r="AI426" t="n">
        <v>6</v>
      </c>
      <c r="AJ426" t="n">
        <v>15</v>
      </c>
      <c r="AK426" t="n">
        <v>17</v>
      </c>
      <c r="AL426" t="n">
        <v>2</v>
      </c>
      <c r="AM426" t="n">
        <v>2</v>
      </c>
      <c r="AN426" t="n">
        <v>0</v>
      </c>
      <c r="AO426" t="n">
        <v>0</v>
      </c>
      <c r="AP426" t="inlineStr">
        <is>
          <t>No</t>
        </is>
      </c>
      <c r="AQ426" t="inlineStr">
        <is>
          <t>Yes</t>
        </is>
      </c>
      <c r="AR426">
        <f>HYPERLINK("http://catalog.hathitrust.org/Record/001496766","HathiTrust Record")</f>
        <v/>
      </c>
      <c r="AS426">
        <f>HYPERLINK("https://creighton-primo.hosted.exlibrisgroup.com/primo-explore/search?tab=default_tab&amp;search_scope=EVERYTHING&amp;vid=01CRU&amp;lang=en_US&amp;offset=0&amp;query=any,contains,991003110809702656","Catalog Record")</f>
        <v/>
      </c>
      <c r="AT426">
        <f>HYPERLINK("http://www.worldcat.org/oclc/656647","WorldCat Record")</f>
        <v/>
      </c>
      <c r="AU426" t="inlineStr">
        <is>
          <t>1360103:eng</t>
        </is>
      </c>
      <c r="AV426" t="inlineStr">
        <is>
          <t>656647</t>
        </is>
      </c>
      <c r="AW426" t="inlineStr">
        <is>
          <t>991003110809702656</t>
        </is>
      </c>
      <c r="AX426" t="inlineStr">
        <is>
          <t>991003110809702656</t>
        </is>
      </c>
      <c r="AY426" t="inlineStr">
        <is>
          <t>2263427110002656</t>
        </is>
      </c>
      <c r="AZ426" t="inlineStr">
        <is>
          <t>BOOK</t>
        </is>
      </c>
      <c r="BC426" t="inlineStr">
        <is>
          <t>32285002980992</t>
        </is>
      </c>
      <c r="BD426" t="inlineStr">
        <is>
          <t>893627463</t>
        </is>
      </c>
    </row>
    <row r="427">
      <c r="A427" t="inlineStr">
        <is>
          <t>No</t>
        </is>
      </c>
      <c r="B427" t="inlineStr">
        <is>
          <t>QL496 .S36 1998</t>
        </is>
      </c>
      <c r="C427" t="inlineStr">
        <is>
          <t>0                      QL 0496000S  36          1998</t>
        </is>
      </c>
      <c r="D427" t="inlineStr">
        <is>
          <t>Parasites in social insects / Paul Schmid-Hempel.</t>
        </is>
      </c>
      <c r="F427" t="inlineStr">
        <is>
          <t>No</t>
        </is>
      </c>
      <c r="G427" t="inlineStr">
        <is>
          <t>1</t>
        </is>
      </c>
      <c r="H427" t="inlineStr">
        <is>
          <t>No</t>
        </is>
      </c>
      <c r="I427" t="inlineStr">
        <is>
          <t>No</t>
        </is>
      </c>
      <c r="J427" t="inlineStr">
        <is>
          <t>0</t>
        </is>
      </c>
      <c r="K427" t="inlineStr">
        <is>
          <t>Schmid-Hempel, Paul.</t>
        </is>
      </c>
      <c r="L427" t="inlineStr">
        <is>
          <t>Princeton, N.J. : Princeton University Press, c1998.</t>
        </is>
      </c>
      <c r="M427" t="inlineStr">
        <is>
          <t>1998</t>
        </is>
      </c>
      <c r="O427" t="inlineStr">
        <is>
          <t>eng</t>
        </is>
      </c>
      <c r="P427" t="inlineStr">
        <is>
          <t>nju</t>
        </is>
      </c>
      <c r="Q427" t="inlineStr">
        <is>
          <t>Monographs in behavior and ecology</t>
        </is>
      </c>
      <c r="R427" t="inlineStr">
        <is>
          <t xml:space="preserve">QL </t>
        </is>
      </c>
      <c r="S427" t="n">
        <v>1</v>
      </c>
      <c r="T427" t="n">
        <v>1</v>
      </c>
      <c r="U427" t="inlineStr">
        <is>
          <t>2001-01-10</t>
        </is>
      </c>
      <c r="V427" t="inlineStr">
        <is>
          <t>2001-01-10</t>
        </is>
      </c>
      <c r="W427" t="inlineStr">
        <is>
          <t>2001-01-10</t>
        </is>
      </c>
      <c r="X427" t="inlineStr">
        <is>
          <t>2001-01-10</t>
        </is>
      </c>
      <c r="Y427" t="n">
        <v>390</v>
      </c>
      <c r="Z427" t="n">
        <v>291</v>
      </c>
      <c r="AA427" t="n">
        <v>466</v>
      </c>
      <c r="AB427" t="n">
        <v>4</v>
      </c>
      <c r="AC427" t="n">
        <v>4</v>
      </c>
      <c r="AD427" t="n">
        <v>15</v>
      </c>
      <c r="AE427" t="n">
        <v>25</v>
      </c>
      <c r="AF427" t="n">
        <v>6</v>
      </c>
      <c r="AG427" t="n">
        <v>11</v>
      </c>
      <c r="AH427" t="n">
        <v>4</v>
      </c>
      <c r="AI427" t="n">
        <v>7</v>
      </c>
      <c r="AJ427" t="n">
        <v>7</v>
      </c>
      <c r="AK427" t="n">
        <v>12</v>
      </c>
      <c r="AL427" t="n">
        <v>3</v>
      </c>
      <c r="AM427" t="n">
        <v>3</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HYPERLINK("https://creighton-primo.hosted.exlibrisgroup.com/primo-explore/search?tab=default_tab&amp;search_scope=EVERYTHING&amp;vid=01CRU&amp;lang=en_US&amp;offset=0&amp;query=any,contains,991003355149702656","Catalog Record")</f>
        <v/>
      </c>
      <c r="AT427">
        <f>HYPERLINK("http://www.worldcat.org/oclc/38286573","WorldCat Record")</f>
        <v/>
      </c>
      <c r="AU427" t="inlineStr">
        <is>
          <t>892443:eng</t>
        </is>
      </c>
      <c r="AV427" t="inlineStr">
        <is>
          <t>38286573</t>
        </is>
      </c>
      <c r="AW427" t="inlineStr">
        <is>
          <t>991003355149702656</t>
        </is>
      </c>
      <c r="AX427" t="inlineStr">
        <is>
          <t>991003355149702656</t>
        </is>
      </c>
      <c r="AY427" t="inlineStr">
        <is>
          <t>2256035080002656</t>
        </is>
      </c>
      <c r="AZ427" t="inlineStr">
        <is>
          <t>BOOK</t>
        </is>
      </c>
      <c r="BB427" t="inlineStr">
        <is>
          <t>9780691059235</t>
        </is>
      </c>
      <c r="BC427" t="inlineStr">
        <is>
          <t>32285004282272</t>
        </is>
      </c>
      <c r="BD427" t="inlineStr">
        <is>
          <t>893342489</t>
        </is>
      </c>
    </row>
    <row r="428">
      <c r="A428" t="inlineStr">
        <is>
          <t>No</t>
        </is>
      </c>
      <c r="B428" t="inlineStr">
        <is>
          <t>QL496 .S44</t>
        </is>
      </c>
      <c r="C428" t="inlineStr">
        <is>
          <t>0                      QL 0496000S  44</t>
        </is>
      </c>
      <c r="D428" t="inlineStr">
        <is>
          <t>Sexual selection and reproductive competition in insects / edited by Murray S. Blun, Nancy A. Blum.</t>
        </is>
      </c>
      <c r="F428" t="inlineStr">
        <is>
          <t>No</t>
        </is>
      </c>
      <c r="G428" t="inlineStr">
        <is>
          <t>1</t>
        </is>
      </c>
      <c r="H428" t="inlineStr">
        <is>
          <t>No</t>
        </is>
      </c>
      <c r="I428" t="inlineStr">
        <is>
          <t>No</t>
        </is>
      </c>
      <c r="J428" t="inlineStr">
        <is>
          <t>0</t>
        </is>
      </c>
      <c r="L428" t="inlineStr">
        <is>
          <t>New York : Academic Press, 1979.</t>
        </is>
      </c>
      <c r="M428" t="inlineStr">
        <is>
          <t>1979</t>
        </is>
      </c>
      <c r="O428" t="inlineStr">
        <is>
          <t>eng</t>
        </is>
      </c>
      <c r="P428" t="inlineStr">
        <is>
          <t>nyu</t>
        </is>
      </c>
      <c r="R428" t="inlineStr">
        <is>
          <t xml:space="preserve">QL </t>
        </is>
      </c>
      <c r="S428" t="n">
        <v>14</v>
      </c>
      <c r="T428" t="n">
        <v>14</v>
      </c>
      <c r="U428" t="inlineStr">
        <is>
          <t>2008-11-12</t>
        </is>
      </c>
      <c r="V428" t="inlineStr">
        <is>
          <t>2008-11-12</t>
        </is>
      </c>
      <c r="W428" t="inlineStr">
        <is>
          <t>1993-05-27</t>
        </is>
      </c>
      <c r="X428" t="inlineStr">
        <is>
          <t>1993-05-27</t>
        </is>
      </c>
      <c r="Y428" t="n">
        <v>440</v>
      </c>
      <c r="Z428" t="n">
        <v>314</v>
      </c>
      <c r="AA428" t="n">
        <v>351</v>
      </c>
      <c r="AB428" t="n">
        <v>4</v>
      </c>
      <c r="AC428" t="n">
        <v>4</v>
      </c>
      <c r="AD428" t="n">
        <v>13</v>
      </c>
      <c r="AE428" t="n">
        <v>14</v>
      </c>
      <c r="AF428" t="n">
        <v>5</v>
      </c>
      <c r="AG428" t="n">
        <v>5</v>
      </c>
      <c r="AH428" t="n">
        <v>5</v>
      </c>
      <c r="AI428" t="n">
        <v>6</v>
      </c>
      <c r="AJ428" t="n">
        <v>4</v>
      </c>
      <c r="AK428" t="n">
        <v>4</v>
      </c>
      <c r="AL428" t="n">
        <v>3</v>
      </c>
      <c r="AM428" t="n">
        <v>3</v>
      </c>
      <c r="AN428" t="n">
        <v>0</v>
      </c>
      <c r="AO428" t="n">
        <v>0</v>
      </c>
      <c r="AP428" t="inlineStr">
        <is>
          <t>No</t>
        </is>
      </c>
      <c r="AQ428" t="inlineStr">
        <is>
          <t>Yes</t>
        </is>
      </c>
      <c r="AR428">
        <f>HYPERLINK("http://catalog.hathitrust.org/Record/000267372","HathiTrust Record")</f>
        <v/>
      </c>
      <c r="AS428">
        <f>HYPERLINK("https://creighton-primo.hosted.exlibrisgroup.com/primo-explore/search?tab=default_tab&amp;search_scope=EVERYTHING&amp;vid=01CRU&amp;lang=en_US&amp;offset=0&amp;query=any,contains,991004647729702656","Catalog Record")</f>
        <v/>
      </c>
      <c r="AT428">
        <f>HYPERLINK("http://www.worldcat.org/oclc/4492684","WorldCat Record")</f>
        <v/>
      </c>
      <c r="AU428" t="inlineStr">
        <is>
          <t>14762215:eng</t>
        </is>
      </c>
      <c r="AV428" t="inlineStr">
        <is>
          <t>4492684</t>
        </is>
      </c>
      <c r="AW428" t="inlineStr">
        <is>
          <t>991004647729702656</t>
        </is>
      </c>
      <c r="AX428" t="inlineStr">
        <is>
          <t>991004647729702656</t>
        </is>
      </c>
      <c r="AY428" t="inlineStr">
        <is>
          <t>2263576210002656</t>
        </is>
      </c>
      <c r="AZ428" t="inlineStr">
        <is>
          <t>BOOK</t>
        </is>
      </c>
      <c r="BB428" t="inlineStr">
        <is>
          <t>9780121087500</t>
        </is>
      </c>
      <c r="BC428" t="inlineStr">
        <is>
          <t>32285001687382</t>
        </is>
      </c>
      <c r="BD428" t="inlineStr">
        <is>
          <t>893606287</t>
        </is>
      </c>
    </row>
    <row r="429">
      <c r="A429" t="inlineStr">
        <is>
          <t>No</t>
        </is>
      </c>
      <c r="B429" t="inlineStr">
        <is>
          <t>QL496 .S87 1984</t>
        </is>
      </c>
      <c r="C429" t="inlineStr">
        <is>
          <t>0                      QL 0496000S  87          1984</t>
        </is>
      </c>
      <c r="D429" t="inlineStr">
        <is>
          <t>Insects on plants : community patterns and mechanisms / D.R. Strong, J.H. Lawton, Sir Richard Southwood.</t>
        </is>
      </c>
      <c r="F429" t="inlineStr">
        <is>
          <t>No</t>
        </is>
      </c>
      <c r="G429" t="inlineStr">
        <is>
          <t>1</t>
        </is>
      </c>
      <c r="H429" t="inlineStr">
        <is>
          <t>No</t>
        </is>
      </c>
      <c r="I429" t="inlineStr">
        <is>
          <t>No</t>
        </is>
      </c>
      <c r="J429" t="inlineStr">
        <is>
          <t>0</t>
        </is>
      </c>
      <c r="K429" t="inlineStr">
        <is>
          <t>Strong, Donald R., 1944-</t>
        </is>
      </c>
      <c r="L429" t="inlineStr">
        <is>
          <t>Cambridge, Mass. : Harvard University Press, 1984.</t>
        </is>
      </c>
      <c r="M429" t="inlineStr">
        <is>
          <t>1984</t>
        </is>
      </c>
      <c r="O429" t="inlineStr">
        <is>
          <t>eng</t>
        </is>
      </c>
      <c r="P429" t="inlineStr">
        <is>
          <t>mau</t>
        </is>
      </c>
      <c r="R429" t="inlineStr">
        <is>
          <t xml:space="preserve">QL </t>
        </is>
      </c>
      <c r="S429" t="n">
        <v>6</v>
      </c>
      <c r="T429" t="n">
        <v>6</v>
      </c>
      <c r="U429" t="inlineStr">
        <is>
          <t>2009-02-25</t>
        </is>
      </c>
      <c r="V429" t="inlineStr">
        <is>
          <t>2009-02-25</t>
        </is>
      </c>
      <c r="W429" t="inlineStr">
        <is>
          <t>1992-09-30</t>
        </is>
      </c>
      <c r="X429" t="inlineStr">
        <is>
          <t>1992-09-30</t>
        </is>
      </c>
      <c r="Y429" t="n">
        <v>447</v>
      </c>
      <c r="Z429" t="n">
        <v>400</v>
      </c>
      <c r="AA429" t="n">
        <v>434</v>
      </c>
      <c r="AB429" t="n">
        <v>4</v>
      </c>
      <c r="AC429" t="n">
        <v>5</v>
      </c>
      <c r="AD429" t="n">
        <v>16</v>
      </c>
      <c r="AE429" t="n">
        <v>17</v>
      </c>
      <c r="AF429" t="n">
        <v>6</v>
      </c>
      <c r="AG429" t="n">
        <v>6</v>
      </c>
      <c r="AH429" t="n">
        <v>5</v>
      </c>
      <c r="AI429" t="n">
        <v>5</v>
      </c>
      <c r="AJ429" t="n">
        <v>7</v>
      </c>
      <c r="AK429" t="n">
        <v>7</v>
      </c>
      <c r="AL429" t="n">
        <v>3</v>
      </c>
      <c r="AM429" t="n">
        <v>4</v>
      </c>
      <c r="AN429" t="n">
        <v>0</v>
      </c>
      <c r="AO429" t="n">
        <v>0</v>
      </c>
      <c r="AP429" t="inlineStr">
        <is>
          <t>No</t>
        </is>
      </c>
      <c r="AQ429" t="inlineStr">
        <is>
          <t>Yes</t>
        </is>
      </c>
      <c r="AR429">
        <f>HYPERLINK("http://catalog.hathitrust.org/Record/000366294","HathiTrust Record")</f>
        <v/>
      </c>
      <c r="AS429">
        <f>HYPERLINK("https://creighton-primo.hosted.exlibrisgroup.com/primo-explore/search?tab=default_tab&amp;search_scope=EVERYTHING&amp;vid=01CRU&amp;lang=en_US&amp;offset=0&amp;query=any,contains,991000323679702656","Catalog Record")</f>
        <v/>
      </c>
      <c r="AT429">
        <f>HYPERLINK("http://www.worldcat.org/oclc/10162578","WorldCat Record")</f>
        <v/>
      </c>
      <c r="AU429" t="inlineStr">
        <is>
          <t>836659949:eng</t>
        </is>
      </c>
      <c r="AV429" t="inlineStr">
        <is>
          <t>10162578</t>
        </is>
      </c>
      <c r="AW429" t="inlineStr">
        <is>
          <t>991000323679702656</t>
        </is>
      </c>
      <c r="AX429" t="inlineStr">
        <is>
          <t>991000323679702656</t>
        </is>
      </c>
      <c r="AY429" t="inlineStr">
        <is>
          <t>2267973010002656</t>
        </is>
      </c>
      <c r="AZ429" t="inlineStr">
        <is>
          <t>BOOK</t>
        </is>
      </c>
      <c r="BB429" t="inlineStr">
        <is>
          <t>9780674455139</t>
        </is>
      </c>
      <c r="BC429" t="inlineStr">
        <is>
          <t>32285001323509</t>
        </is>
      </c>
      <c r="BD429" t="inlineStr">
        <is>
          <t>893784131</t>
        </is>
      </c>
    </row>
    <row r="430">
      <c r="A430" t="inlineStr">
        <is>
          <t>No</t>
        </is>
      </c>
      <c r="B430" t="inlineStr">
        <is>
          <t>QL496 .W34 1996</t>
        </is>
      </c>
      <c r="C430" t="inlineStr">
        <is>
          <t>0                      QL 0496000W  34          1996</t>
        </is>
      </c>
      <c r="D430" t="inlineStr">
        <is>
          <t>Insects through the seasons / Gilbert Waldbauer.</t>
        </is>
      </c>
      <c r="F430" t="inlineStr">
        <is>
          <t>No</t>
        </is>
      </c>
      <c r="G430" t="inlineStr">
        <is>
          <t>1</t>
        </is>
      </c>
      <c r="H430" t="inlineStr">
        <is>
          <t>No</t>
        </is>
      </c>
      <c r="I430" t="inlineStr">
        <is>
          <t>No</t>
        </is>
      </c>
      <c r="J430" t="inlineStr">
        <is>
          <t>0</t>
        </is>
      </c>
      <c r="K430" t="inlineStr">
        <is>
          <t>Waldbauer, Gilbert.</t>
        </is>
      </c>
      <c r="L430" t="inlineStr">
        <is>
          <t>Cambridge, Mass. : Harvard University Press, 1996.</t>
        </is>
      </c>
      <c r="M430" t="inlineStr">
        <is>
          <t>1996</t>
        </is>
      </c>
      <c r="O430" t="inlineStr">
        <is>
          <t>eng</t>
        </is>
      </c>
      <c r="P430" t="inlineStr">
        <is>
          <t>mau</t>
        </is>
      </c>
      <c r="R430" t="inlineStr">
        <is>
          <t xml:space="preserve">QL </t>
        </is>
      </c>
      <c r="S430" t="n">
        <v>10</v>
      </c>
      <c r="T430" t="n">
        <v>10</v>
      </c>
      <c r="U430" t="inlineStr">
        <is>
          <t>2006-03-27</t>
        </is>
      </c>
      <c r="V430" t="inlineStr">
        <is>
          <t>2006-03-27</t>
        </is>
      </c>
      <c r="W430" t="inlineStr">
        <is>
          <t>1996-07-15</t>
        </is>
      </c>
      <c r="X430" t="inlineStr">
        <is>
          <t>1996-07-15</t>
        </is>
      </c>
      <c r="Y430" t="n">
        <v>812</v>
      </c>
      <c r="Z430" t="n">
        <v>726</v>
      </c>
      <c r="AA430" t="n">
        <v>763</v>
      </c>
      <c r="AB430" t="n">
        <v>5</v>
      </c>
      <c r="AC430" t="n">
        <v>5</v>
      </c>
      <c r="AD430" t="n">
        <v>14</v>
      </c>
      <c r="AE430" t="n">
        <v>14</v>
      </c>
      <c r="AF430" t="n">
        <v>3</v>
      </c>
      <c r="AG430" t="n">
        <v>3</v>
      </c>
      <c r="AH430" t="n">
        <v>2</v>
      </c>
      <c r="AI430" t="n">
        <v>2</v>
      </c>
      <c r="AJ430" t="n">
        <v>7</v>
      </c>
      <c r="AK430" t="n">
        <v>7</v>
      </c>
      <c r="AL430" t="n">
        <v>3</v>
      </c>
      <c r="AM430" t="n">
        <v>3</v>
      </c>
      <c r="AN430" t="n">
        <v>0</v>
      </c>
      <c r="AO430" t="n">
        <v>0</v>
      </c>
      <c r="AP430" t="inlineStr">
        <is>
          <t>No</t>
        </is>
      </c>
      <c r="AQ430" t="inlineStr">
        <is>
          <t>Yes</t>
        </is>
      </c>
      <c r="AR430">
        <f>HYPERLINK("http://catalog.hathitrust.org/Record/003048889","HathiTrust Record")</f>
        <v/>
      </c>
      <c r="AS430">
        <f>HYPERLINK("https://creighton-primo.hosted.exlibrisgroup.com/primo-explore/search?tab=default_tab&amp;search_scope=EVERYTHING&amp;vid=01CRU&amp;lang=en_US&amp;offset=0&amp;query=any,contains,991002531369702656","Catalog Record")</f>
        <v/>
      </c>
      <c r="AT430">
        <f>HYPERLINK("http://www.worldcat.org/oclc/32893542","WorldCat Record")</f>
        <v/>
      </c>
      <c r="AU430" t="inlineStr">
        <is>
          <t>17737444:eng</t>
        </is>
      </c>
      <c r="AV430" t="inlineStr">
        <is>
          <t>32893542</t>
        </is>
      </c>
      <c r="AW430" t="inlineStr">
        <is>
          <t>991002531369702656</t>
        </is>
      </c>
      <c r="AX430" t="inlineStr">
        <is>
          <t>991002531369702656</t>
        </is>
      </c>
      <c r="AY430" t="inlineStr">
        <is>
          <t>2257626060002656</t>
        </is>
      </c>
      <c r="AZ430" t="inlineStr">
        <is>
          <t>BOOK</t>
        </is>
      </c>
      <c r="BB430" t="inlineStr">
        <is>
          <t>9780674454880</t>
        </is>
      </c>
      <c r="BC430" t="inlineStr">
        <is>
          <t>32285002212255</t>
        </is>
      </c>
      <c r="BD430" t="inlineStr">
        <is>
          <t>893597571</t>
        </is>
      </c>
    </row>
    <row r="431">
      <c r="A431" t="inlineStr">
        <is>
          <t>No</t>
        </is>
      </c>
      <c r="B431" t="inlineStr">
        <is>
          <t>QL496 .W36 2000</t>
        </is>
      </c>
      <c r="C431" t="inlineStr">
        <is>
          <t>0                      QL 0496000W  36          2000</t>
        </is>
      </c>
      <c r="D431" t="inlineStr">
        <is>
          <t>Millions of monarchs, bunches of beetles : how bugs find strength in numbers / Gilbert Waldbauer.</t>
        </is>
      </c>
      <c r="F431" t="inlineStr">
        <is>
          <t>No</t>
        </is>
      </c>
      <c r="G431" t="inlineStr">
        <is>
          <t>1</t>
        </is>
      </c>
      <c r="H431" t="inlineStr">
        <is>
          <t>No</t>
        </is>
      </c>
      <c r="I431" t="inlineStr">
        <is>
          <t>No</t>
        </is>
      </c>
      <c r="J431" t="inlineStr">
        <is>
          <t>0</t>
        </is>
      </c>
      <c r="K431" t="inlineStr">
        <is>
          <t>Waldbauer, Gilbert.</t>
        </is>
      </c>
      <c r="L431" t="inlineStr">
        <is>
          <t>Cambridge, Mass. : Harvard University Press, 2000.</t>
        </is>
      </c>
      <c r="M431" t="inlineStr">
        <is>
          <t>2000</t>
        </is>
      </c>
      <c r="O431" t="inlineStr">
        <is>
          <t>eng</t>
        </is>
      </c>
      <c r="P431" t="inlineStr">
        <is>
          <t>mau</t>
        </is>
      </c>
      <c r="R431" t="inlineStr">
        <is>
          <t xml:space="preserve">QL </t>
        </is>
      </c>
      <c r="S431" t="n">
        <v>5</v>
      </c>
      <c r="T431" t="n">
        <v>5</v>
      </c>
      <c r="U431" t="inlineStr">
        <is>
          <t>2005-02-19</t>
        </is>
      </c>
      <c r="V431" t="inlineStr">
        <is>
          <t>2005-02-19</t>
        </is>
      </c>
      <c r="W431" t="inlineStr">
        <is>
          <t>2000-09-18</t>
        </is>
      </c>
      <c r="X431" t="inlineStr">
        <is>
          <t>2000-09-18</t>
        </is>
      </c>
      <c r="Y431" t="n">
        <v>1029</v>
      </c>
      <c r="Z431" t="n">
        <v>937</v>
      </c>
      <c r="AA431" t="n">
        <v>944</v>
      </c>
      <c r="AB431" t="n">
        <v>7</v>
      </c>
      <c r="AC431" t="n">
        <v>7</v>
      </c>
      <c r="AD431" t="n">
        <v>28</v>
      </c>
      <c r="AE431" t="n">
        <v>28</v>
      </c>
      <c r="AF431" t="n">
        <v>10</v>
      </c>
      <c r="AG431" t="n">
        <v>10</v>
      </c>
      <c r="AH431" t="n">
        <v>6</v>
      </c>
      <c r="AI431" t="n">
        <v>6</v>
      </c>
      <c r="AJ431" t="n">
        <v>14</v>
      </c>
      <c r="AK431" t="n">
        <v>14</v>
      </c>
      <c r="AL431" t="n">
        <v>5</v>
      </c>
      <c r="AM431" t="n">
        <v>5</v>
      </c>
      <c r="AN431" t="n">
        <v>0</v>
      </c>
      <c r="AO431" t="n">
        <v>0</v>
      </c>
      <c r="AP431" t="inlineStr">
        <is>
          <t>No</t>
        </is>
      </c>
      <c r="AQ431" t="inlineStr">
        <is>
          <t>Yes</t>
        </is>
      </c>
      <c r="AR431">
        <f>HYPERLINK("http://catalog.hathitrust.org/Record/004076963","HathiTrust Record")</f>
        <v/>
      </c>
      <c r="AS431">
        <f>HYPERLINK("https://creighton-primo.hosted.exlibrisgroup.com/primo-explore/search?tab=default_tab&amp;search_scope=EVERYTHING&amp;vid=01CRU&amp;lang=en_US&amp;offset=0&amp;query=any,contains,991003240649702656","Catalog Record")</f>
        <v/>
      </c>
      <c r="AT431">
        <f>HYPERLINK("http://www.worldcat.org/oclc/42021523","WorldCat Record")</f>
        <v/>
      </c>
      <c r="AU431" t="inlineStr">
        <is>
          <t>27401887:eng</t>
        </is>
      </c>
      <c r="AV431" t="inlineStr">
        <is>
          <t>42021523</t>
        </is>
      </c>
      <c r="AW431" t="inlineStr">
        <is>
          <t>991003240649702656</t>
        </is>
      </c>
      <c r="AX431" t="inlineStr">
        <is>
          <t>991003240649702656</t>
        </is>
      </c>
      <c r="AY431" t="inlineStr">
        <is>
          <t>2264622370002656</t>
        </is>
      </c>
      <c r="AZ431" t="inlineStr">
        <is>
          <t>BOOK</t>
        </is>
      </c>
      <c r="BB431" t="inlineStr">
        <is>
          <t>9780674000902</t>
        </is>
      </c>
      <c r="BC431" t="inlineStr">
        <is>
          <t>32285003762589</t>
        </is>
      </c>
      <c r="BD431" t="inlineStr">
        <is>
          <t>893809886</t>
        </is>
      </c>
    </row>
    <row r="432">
      <c r="A432" t="inlineStr">
        <is>
          <t>No</t>
        </is>
      </c>
      <c r="B432" t="inlineStr">
        <is>
          <t>QL496 .W62</t>
        </is>
      </c>
      <c r="C432" t="inlineStr">
        <is>
          <t>0                      QL 0496000W  62</t>
        </is>
      </c>
      <c r="D432" t="inlineStr">
        <is>
          <t>The physiology of insect metamorphosis.</t>
        </is>
      </c>
      <c r="F432" t="inlineStr">
        <is>
          <t>No</t>
        </is>
      </c>
      <c r="G432" t="inlineStr">
        <is>
          <t>1</t>
        </is>
      </c>
      <c r="H432" t="inlineStr">
        <is>
          <t>No</t>
        </is>
      </c>
      <c r="I432" t="inlineStr">
        <is>
          <t>No</t>
        </is>
      </c>
      <c r="J432" t="inlineStr">
        <is>
          <t>0</t>
        </is>
      </c>
      <c r="K432" t="inlineStr">
        <is>
          <t>Wigglesworth, Vincent B. (Vincent Brian), Sir, 1899-1994.</t>
        </is>
      </c>
      <c r="L432" t="inlineStr">
        <is>
          <t>Cambridge [Eng.] University Press, 1954.</t>
        </is>
      </c>
      <c r="M432" t="inlineStr">
        <is>
          <t>1954</t>
        </is>
      </c>
      <c r="O432" t="inlineStr">
        <is>
          <t>eng</t>
        </is>
      </c>
      <c r="P432" t="inlineStr">
        <is>
          <t>enk</t>
        </is>
      </c>
      <c r="Q432" t="inlineStr">
        <is>
          <t>Cambridge monographs in experimental biology ; no. 1</t>
        </is>
      </c>
      <c r="R432" t="inlineStr">
        <is>
          <t xml:space="preserve">QL </t>
        </is>
      </c>
      <c r="S432" t="n">
        <v>1</v>
      </c>
      <c r="T432" t="n">
        <v>1</v>
      </c>
      <c r="U432" t="inlineStr">
        <is>
          <t>1999-03-24</t>
        </is>
      </c>
      <c r="V432" t="inlineStr">
        <is>
          <t>1999-03-24</t>
        </is>
      </c>
      <c r="W432" t="inlineStr">
        <is>
          <t>1997-07-24</t>
        </is>
      </c>
      <c r="X432" t="inlineStr">
        <is>
          <t>1997-07-24</t>
        </is>
      </c>
      <c r="Y432" t="n">
        <v>597</v>
      </c>
      <c r="Z432" t="n">
        <v>461</v>
      </c>
      <c r="AA432" t="n">
        <v>469</v>
      </c>
      <c r="AB432" t="n">
        <v>4</v>
      </c>
      <c r="AC432" t="n">
        <v>4</v>
      </c>
      <c r="AD432" t="n">
        <v>27</v>
      </c>
      <c r="AE432" t="n">
        <v>27</v>
      </c>
      <c r="AF432" t="n">
        <v>9</v>
      </c>
      <c r="AG432" t="n">
        <v>9</v>
      </c>
      <c r="AH432" t="n">
        <v>6</v>
      </c>
      <c r="AI432" t="n">
        <v>6</v>
      </c>
      <c r="AJ432" t="n">
        <v>15</v>
      </c>
      <c r="AK432" t="n">
        <v>15</v>
      </c>
      <c r="AL432" t="n">
        <v>3</v>
      </c>
      <c r="AM432" t="n">
        <v>3</v>
      </c>
      <c r="AN432" t="n">
        <v>0</v>
      </c>
      <c r="AO432" t="n">
        <v>0</v>
      </c>
      <c r="AP432" t="inlineStr">
        <is>
          <t>No</t>
        </is>
      </c>
      <c r="AQ432" t="inlineStr">
        <is>
          <t>Yes</t>
        </is>
      </c>
      <c r="AR432">
        <f>HYPERLINK("http://catalog.hathitrust.org/Record/001496767","HathiTrust Record")</f>
        <v/>
      </c>
      <c r="AS432">
        <f>HYPERLINK("https://creighton-primo.hosted.exlibrisgroup.com/primo-explore/search?tab=default_tab&amp;search_scope=EVERYTHING&amp;vid=01CRU&amp;lang=en_US&amp;offset=0&amp;query=any,contains,991002987569702656","Catalog Record")</f>
        <v/>
      </c>
      <c r="AT432">
        <f>HYPERLINK("http://www.worldcat.org/oclc/558423","WorldCat Record")</f>
        <v/>
      </c>
      <c r="AU432" t="inlineStr">
        <is>
          <t>141641303:eng</t>
        </is>
      </c>
      <c r="AV432" t="inlineStr">
        <is>
          <t>558423</t>
        </is>
      </c>
      <c r="AW432" t="inlineStr">
        <is>
          <t>991002987569702656</t>
        </is>
      </c>
      <c r="AX432" t="inlineStr">
        <is>
          <t>991002987569702656</t>
        </is>
      </c>
      <c r="AY432" t="inlineStr">
        <is>
          <t>2258230670002656</t>
        </is>
      </c>
      <c r="AZ432" t="inlineStr">
        <is>
          <t>BOOK</t>
        </is>
      </c>
      <c r="BC432" t="inlineStr">
        <is>
          <t>32285002981008</t>
        </is>
      </c>
      <c r="BD432" t="inlineStr">
        <is>
          <t>893880691</t>
        </is>
      </c>
    </row>
    <row r="433">
      <c r="A433" t="inlineStr">
        <is>
          <t>No</t>
        </is>
      </c>
      <c r="B433" t="inlineStr">
        <is>
          <t>QL496 .W66</t>
        </is>
      </c>
      <c r="C433" t="inlineStr">
        <is>
          <t>0                      QL 0496000W  66</t>
        </is>
      </c>
      <c r="D433" t="inlineStr">
        <is>
          <t>The insect societies / [by] Edward O. Wilson.</t>
        </is>
      </c>
      <c r="F433" t="inlineStr">
        <is>
          <t>No</t>
        </is>
      </c>
      <c r="G433" t="inlineStr">
        <is>
          <t>1</t>
        </is>
      </c>
      <c r="H433" t="inlineStr">
        <is>
          <t>No</t>
        </is>
      </c>
      <c r="I433" t="inlineStr">
        <is>
          <t>No</t>
        </is>
      </c>
      <c r="J433" t="inlineStr">
        <is>
          <t>0</t>
        </is>
      </c>
      <c r="K433" t="inlineStr">
        <is>
          <t>Wilson, Edward O.</t>
        </is>
      </c>
      <c r="L433" t="inlineStr">
        <is>
          <t>Cambridge, Mass. : Belknap Press of Harvard University Press, 1971.</t>
        </is>
      </c>
      <c r="M433" t="inlineStr">
        <is>
          <t>1971</t>
        </is>
      </c>
      <c r="O433" t="inlineStr">
        <is>
          <t>eng</t>
        </is>
      </c>
      <c r="P433" t="inlineStr">
        <is>
          <t>mau</t>
        </is>
      </c>
      <c r="R433" t="inlineStr">
        <is>
          <t xml:space="preserve">QL </t>
        </is>
      </c>
      <c r="S433" t="n">
        <v>12</v>
      </c>
      <c r="T433" t="n">
        <v>12</v>
      </c>
      <c r="U433" t="inlineStr">
        <is>
          <t>2008-05-27</t>
        </is>
      </c>
      <c r="V433" t="inlineStr">
        <is>
          <t>2008-05-27</t>
        </is>
      </c>
      <c r="W433" t="inlineStr">
        <is>
          <t>1992-10-16</t>
        </is>
      </c>
      <c r="X433" t="inlineStr">
        <is>
          <t>1992-10-16</t>
        </is>
      </c>
      <c r="Y433" t="n">
        <v>1693</v>
      </c>
      <c r="Z433" t="n">
        <v>1439</v>
      </c>
      <c r="AA433" t="n">
        <v>1450</v>
      </c>
      <c r="AB433" t="n">
        <v>11</v>
      </c>
      <c r="AC433" t="n">
        <v>11</v>
      </c>
      <c r="AD433" t="n">
        <v>50</v>
      </c>
      <c r="AE433" t="n">
        <v>50</v>
      </c>
      <c r="AF433" t="n">
        <v>19</v>
      </c>
      <c r="AG433" t="n">
        <v>19</v>
      </c>
      <c r="AH433" t="n">
        <v>8</v>
      </c>
      <c r="AI433" t="n">
        <v>8</v>
      </c>
      <c r="AJ433" t="n">
        <v>26</v>
      </c>
      <c r="AK433" t="n">
        <v>26</v>
      </c>
      <c r="AL433" t="n">
        <v>9</v>
      </c>
      <c r="AM433" t="n">
        <v>9</v>
      </c>
      <c r="AN433" t="n">
        <v>0</v>
      </c>
      <c r="AO433" t="n">
        <v>0</v>
      </c>
      <c r="AP433" t="inlineStr">
        <is>
          <t>No</t>
        </is>
      </c>
      <c r="AQ433" t="inlineStr">
        <is>
          <t>Yes</t>
        </is>
      </c>
      <c r="AR433">
        <f>HYPERLINK("http://catalog.hathitrust.org/Record/001500149","HathiTrust Record")</f>
        <v/>
      </c>
      <c r="AS433">
        <f>HYPERLINK("https://creighton-primo.hosted.exlibrisgroup.com/primo-explore/search?tab=default_tab&amp;search_scope=EVERYTHING&amp;vid=01CRU&amp;lang=en_US&amp;offset=0&amp;query=any,contains,991001224919702656","Catalog Record")</f>
        <v/>
      </c>
      <c r="AT433">
        <f>HYPERLINK("http://www.worldcat.org/oclc/199513","WorldCat Record")</f>
        <v/>
      </c>
      <c r="AU433" t="inlineStr">
        <is>
          <t>1380282:eng</t>
        </is>
      </c>
      <c r="AV433" t="inlineStr">
        <is>
          <t>199513</t>
        </is>
      </c>
      <c r="AW433" t="inlineStr">
        <is>
          <t>991001224919702656</t>
        </is>
      </c>
      <c r="AX433" t="inlineStr">
        <is>
          <t>991001224919702656</t>
        </is>
      </c>
      <c r="AY433" t="inlineStr">
        <is>
          <t>2269741480002656</t>
        </is>
      </c>
      <c r="AZ433" t="inlineStr">
        <is>
          <t>BOOK</t>
        </is>
      </c>
      <c r="BB433" t="inlineStr">
        <is>
          <t>9780674454903</t>
        </is>
      </c>
      <c r="BC433" t="inlineStr">
        <is>
          <t>32285001350247</t>
        </is>
      </c>
      <c r="BD433" t="inlineStr">
        <is>
          <t>893522398</t>
        </is>
      </c>
    </row>
    <row r="434">
      <c r="A434" t="inlineStr">
        <is>
          <t>No</t>
        </is>
      </c>
      <c r="B434" t="inlineStr">
        <is>
          <t>QL496.2 .I47 1995</t>
        </is>
      </c>
      <c r="C434" t="inlineStr">
        <is>
          <t>0                      QL 0496200I  47          1995</t>
        </is>
      </c>
      <c r="D434" t="inlineStr">
        <is>
          <t>Insect migration : tracking resources through space and time / edited by V.A. Drake and A.G. Gatehouse.</t>
        </is>
      </c>
      <c r="F434" t="inlineStr">
        <is>
          <t>No</t>
        </is>
      </c>
      <c r="G434" t="inlineStr">
        <is>
          <t>1</t>
        </is>
      </c>
      <c r="H434" t="inlineStr">
        <is>
          <t>No</t>
        </is>
      </c>
      <c r="I434" t="inlineStr">
        <is>
          <t>No</t>
        </is>
      </c>
      <c r="J434" t="inlineStr">
        <is>
          <t>0</t>
        </is>
      </c>
      <c r="L434" t="inlineStr">
        <is>
          <t>Cambridge ; New York, NY, USA : Cambridge University Press, 1995.</t>
        </is>
      </c>
      <c r="M434" t="inlineStr">
        <is>
          <t>1995</t>
        </is>
      </c>
      <c r="O434" t="inlineStr">
        <is>
          <t>eng</t>
        </is>
      </c>
      <c r="P434" t="inlineStr">
        <is>
          <t>enk</t>
        </is>
      </c>
      <c r="R434" t="inlineStr">
        <is>
          <t xml:space="preserve">QL </t>
        </is>
      </c>
      <c r="S434" t="n">
        <v>2</v>
      </c>
      <c r="T434" t="n">
        <v>2</v>
      </c>
      <c r="U434" t="inlineStr">
        <is>
          <t>1996-10-15</t>
        </is>
      </c>
      <c r="V434" t="inlineStr">
        <is>
          <t>1996-10-15</t>
        </is>
      </c>
      <c r="W434" t="inlineStr">
        <is>
          <t>1996-06-13</t>
        </is>
      </c>
      <c r="X434" t="inlineStr">
        <is>
          <t>1996-06-13</t>
        </is>
      </c>
      <c r="Y434" t="n">
        <v>295</v>
      </c>
      <c r="Z434" t="n">
        <v>199</v>
      </c>
      <c r="AA434" t="n">
        <v>211</v>
      </c>
      <c r="AB434" t="n">
        <v>3</v>
      </c>
      <c r="AC434" t="n">
        <v>3</v>
      </c>
      <c r="AD434" t="n">
        <v>10</v>
      </c>
      <c r="AE434" t="n">
        <v>10</v>
      </c>
      <c r="AF434" t="n">
        <v>2</v>
      </c>
      <c r="AG434" t="n">
        <v>2</v>
      </c>
      <c r="AH434" t="n">
        <v>2</v>
      </c>
      <c r="AI434" t="n">
        <v>2</v>
      </c>
      <c r="AJ434" t="n">
        <v>5</v>
      </c>
      <c r="AK434" t="n">
        <v>5</v>
      </c>
      <c r="AL434" t="n">
        <v>2</v>
      </c>
      <c r="AM434" t="n">
        <v>2</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HYPERLINK("https://creighton-primo.hosted.exlibrisgroup.com/primo-explore/search?tab=default_tab&amp;search_scope=EVERYTHING&amp;vid=01CRU&amp;lang=en_US&amp;offset=0&amp;query=any,contains,991002442319702656","Catalog Record")</f>
        <v/>
      </c>
      <c r="AT434">
        <f>HYPERLINK("http://www.worldcat.org/oclc/31865204","WorldCat Record")</f>
        <v/>
      </c>
      <c r="AU434" t="inlineStr">
        <is>
          <t>837012906:eng</t>
        </is>
      </c>
      <c r="AV434" t="inlineStr">
        <is>
          <t>31865204</t>
        </is>
      </c>
      <c r="AW434" t="inlineStr">
        <is>
          <t>991002442319702656</t>
        </is>
      </c>
      <c r="AX434" t="inlineStr">
        <is>
          <t>991002442319702656</t>
        </is>
      </c>
      <c r="AY434" t="inlineStr">
        <is>
          <t>2259270530002656</t>
        </is>
      </c>
      <c r="AZ434" t="inlineStr">
        <is>
          <t>BOOK</t>
        </is>
      </c>
      <c r="BB434" t="inlineStr">
        <is>
          <t>9780521440004</t>
        </is>
      </c>
      <c r="BC434" t="inlineStr">
        <is>
          <t>32285002192978</t>
        </is>
      </c>
      <c r="BD434" t="inlineStr">
        <is>
          <t>893716456</t>
        </is>
      </c>
    </row>
    <row r="435">
      <c r="A435" t="inlineStr">
        <is>
          <t>No</t>
        </is>
      </c>
      <c r="B435" t="inlineStr">
        <is>
          <t>QL496.4 .S36 1994</t>
        </is>
      </c>
      <c r="C435" t="inlineStr">
        <is>
          <t>0                      QL 0496400S  36          1994</t>
        </is>
      </c>
      <c r="D435" t="inlineStr">
        <is>
          <t>Insect conservation biology / Michael J. Samways.</t>
        </is>
      </c>
      <c r="F435" t="inlineStr">
        <is>
          <t>No</t>
        </is>
      </c>
      <c r="G435" t="inlineStr">
        <is>
          <t>1</t>
        </is>
      </c>
      <c r="H435" t="inlineStr">
        <is>
          <t>No</t>
        </is>
      </c>
      <c r="I435" t="inlineStr">
        <is>
          <t>No</t>
        </is>
      </c>
      <c r="J435" t="inlineStr">
        <is>
          <t>0</t>
        </is>
      </c>
      <c r="K435" t="inlineStr">
        <is>
          <t>Samways, Michael J.</t>
        </is>
      </c>
      <c r="L435" t="inlineStr">
        <is>
          <t>London ; New York : Chapman &amp; Hall, 1994.</t>
        </is>
      </c>
      <c r="M435" t="inlineStr">
        <is>
          <t>1994</t>
        </is>
      </c>
      <c r="N435" t="inlineStr">
        <is>
          <t>1st ed.</t>
        </is>
      </c>
      <c r="O435" t="inlineStr">
        <is>
          <t>eng</t>
        </is>
      </c>
      <c r="P435" t="inlineStr">
        <is>
          <t>enk</t>
        </is>
      </c>
      <c r="Q435" t="inlineStr">
        <is>
          <t>Conservation biology series</t>
        </is>
      </c>
      <c r="R435" t="inlineStr">
        <is>
          <t xml:space="preserve">QL </t>
        </is>
      </c>
      <c r="S435" t="n">
        <v>7</v>
      </c>
      <c r="T435" t="n">
        <v>7</v>
      </c>
      <c r="U435" t="inlineStr">
        <is>
          <t>2000-11-09</t>
        </is>
      </c>
      <c r="V435" t="inlineStr">
        <is>
          <t>2000-11-09</t>
        </is>
      </c>
      <c r="W435" t="inlineStr">
        <is>
          <t>1995-05-31</t>
        </is>
      </c>
      <c r="X435" t="inlineStr">
        <is>
          <t>1995-05-31</t>
        </is>
      </c>
      <c r="Y435" t="n">
        <v>308</v>
      </c>
      <c r="Z435" t="n">
        <v>168</v>
      </c>
      <c r="AA435" t="n">
        <v>199</v>
      </c>
      <c r="AB435" t="n">
        <v>2</v>
      </c>
      <c r="AC435" t="n">
        <v>2</v>
      </c>
      <c r="AD435" t="n">
        <v>5</v>
      </c>
      <c r="AE435" t="n">
        <v>6</v>
      </c>
      <c r="AF435" t="n">
        <v>0</v>
      </c>
      <c r="AG435" t="n">
        <v>0</v>
      </c>
      <c r="AH435" t="n">
        <v>2</v>
      </c>
      <c r="AI435" t="n">
        <v>2</v>
      </c>
      <c r="AJ435" t="n">
        <v>3</v>
      </c>
      <c r="AK435" t="n">
        <v>4</v>
      </c>
      <c r="AL435" t="n">
        <v>1</v>
      </c>
      <c r="AM435" t="n">
        <v>1</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HYPERLINK("https://creighton-primo.hosted.exlibrisgroup.com/primo-explore/search?tab=default_tab&amp;search_scope=EVERYTHING&amp;vid=01CRU&amp;lang=en_US&amp;offset=0&amp;query=any,contains,991002380829702656","Catalog Record")</f>
        <v/>
      </c>
      <c r="AT435">
        <f>HYPERLINK("http://www.worldcat.org/oclc/30920601","WorldCat Record")</f>
        <v/>
      </c>
      <c r="AU435" t="inlineStr">
        <is>
          <t>24137925:eng</t>
        </is>
      </c>
      <c r="AV435" t="inlineStr">
        <is>
          <t>30920601</t>
        </is>
      </c>
      <c r="AW435" t="inlineStr">
        <is>
          <t>991002380829702656</t>
        </is>
      </c>
      <c r="AX435" t="inlineStr">
        <is>
          <t>991002380829702656</t>
        </is>
      </c>
      <c r="AY435" t="inlineStr">
        <is>
          <t>2257398590002656</t>
        </is>
      </c>
      <c r="AZ435" t="inlineStr">
        <is>
          <t>BOOK</t>
        </is>
      </c>
      <c r="BB435" t="inlineStr">
        <is>
          <t>9780412454400</t>
        </is>
      </c>
      <c r="BC435" t="inlineStr">
        <is>
          <t>32285002047602</t>
        </is>
      </c>
      <c r="BD435" t="inlineStr">
        <is>
          <t>893529908</t>
        </is>
      </c>
    </row>
    <row r="436">
      <c r="A436" t="inlineStr">
        <is>
          <t>No</t>
        </is>
      </c>
      <c r="B436" t="inlineStr">
        <is>
          <t>QL496.5 .E96 1989</t>
        </is>
      </c>
      <c r="C436" t="inlineStr">
        <is>
          <t>0                      QL 0496500E  96          1989</t>
        </is>
      </c>
      <c r="D436" t="inlineStr">
        <is>
          <t>Arthropod bioacoustics : neurobiology and behaviour / Arthur W. Ewing.</t>
        </is>
      </c>
      <c r="F436" t="inlineStr">
        <is>
          <t>No</t>
        </is>
      </c>
      <c r="G436" t="inlineStr">
        <is>
          <t>1</t>
        </is>
      </c>
      <c r="H436" t="inlineStr">
        <is>
          <t>No</t>
        </is>
      </c>
      <c r="I436" t="inlineStr">
        <is>
          <t>No</t>
        </is>
      </c>
      <c r="J436" t="inlineStr">
        <is>
          <t>0</t>
        </is>
      </c>
      <c r="K436" t="inlineStr">
        <is>
          <t>Ewing, Arthur W.</t>
        </is>
      </c>
      <c r="L436" t="inlineStr">
        <is>
          <t>Edinburgh : Edinburgh University Press, 1989.</t>
        </is>
      </c>
      <c r="M436" t="inlineStr">
        <is>
          <t>1989</t>
        </is>
      </c>
      <c r="O436" t="inlineStr">
        <is>
          <t>eng</t>
        </is>
      </c>
      <c r="P436" t="inlineStr">
        <is>
          <t>stk</t>
        </is>
      </c>
      <c r="R436" t="inlineStr">
        <is>
          <t xml:space="preserve">QL </t>
        </is>
      </c>
      <c r="S436" t="n">
        <v>6</v>
      </c>
      <c r="T436" t="n">
        <v>6</v>
      </c>
      <c r="U436" t="inlineStr">
        <is>
          <t>1998-01-14</t>
        </is>
      </c>
      <c r="V436" t="inlineStr">
        <is>
          <t>1998-01-14</t>
        </is>
      </c>
      <c r="W436" t="inlineStr">
        <is>
          <t>1991-06-13</t>
        </is>
      </c>
      <c r="X436" t="inlineStr">
        <is>
          <t>1991-06-13</t>
        </is>
      </c>
      <c r="Y436" t="n">
        <v>79</v>
      </c>
      <c r="Z436" t="n">
        <v>26</v>
      </c>
      <c r="AA436" t="n">
        <v>312</v>
      </c>
      <c r="AB436" t="n">
        <v>2</v>
      </c>
      <c r="AC436" t="n">
        <v>4</v>
      </c>
      <c r="AD436" t="n">
        <v>1</v>
      </c>
      <c r="AE436" t="n">
        <v>15</v>
      </c>
      <c r="AF436" t="n">
        <v>0</v>
      </c>
      <c r="AG436" t="n">
        <v>5</v>
      </c>
      <c r="AH436" t="n">
        <v>0</v>
      </c>
      <c r="AI436" t="n">
        <v>3</v>
      </c>
      <c r="AJ436" t="n">
        <v>0</v>
      </c>
      <c r="AK436" t="n">
        <v>6</v>
      </c>
      <c r="AL436" t="n">
        <v>1</v>
      </c>
      <c r="AM436" t="n">
        <v>3</v>
      </c>
      <c r="AN436" t="n">
        <v>0</v>
      </c>
      <c r="AO436" t="n">
        <v>0</v>
      </c>
      <c r="AP436" t="inlineStr">
        <is>
          <t>No</t>
        </is>
      </c>
      <c r="AQ436" t="inlineStr">
        <is>
          <t>Yes</t>
        </is>
      </c>
      <c r="AR436">
        <f>HYPERLINK("http://catalog.hathitrust.org/Record/009496976","HathiTrust Record")</f>
        <v/>
      </c>
      <c r="AS436">
        <f>HYPERLINK("https://creighton-primo.hosted.exlibrisgroup.com/primo-explore/search?tab=default_tab&amp;search_scope=EVERYTHING&amp;vid=01CRU&amp;lang=en_US&amp;offset=0&amp;query=any,contains,991001583939702656","Catalog Record")</f>
        <v/>
      </c>
      <c r="AT436">
        <f>HYPERLINK("http://www.worldcat.org/oclc/20521968","WorldCat Record")</f>
        <v/>
      </c>
      <c r="AU436" t="inlineStr">
        <is>
          <t>22335097:eng</t>
        </is>
      </c>
      <c r="AV436" t="inlineStr">
        <is>
          <t>20521968</t>
        </is>
      </c>
      <c r="AW436" t="inlineStr">
        <is>
          <t>991001583939702656</t>
        </is>
      </c>
      <c r="AX436" t="inlineStr">
        <is>
          <t>991001583939702656</t>
        </is>
      </c>
      <c r="AY436" t="inlineStr">
        <is>
          <t>2269641490002656</t>
        </is>
      </c>
      <c r="AZ436" t="inlineStr">
        <is>
          <t>BOOK</t>
        </is>
      </c>
      <c r="BB436" t="inlineStr">
        <is>
          <t>9780748601486</t>
        </is>
      </c>
      <c r="BC436" t="inlineStr">
        <is>
          <t>32285000656339</t>
        </is>
      </c>
      <c r="BD436" t="inlineStr">
        <is>
          <t>893715528</t>
        </is>
      </c>
    </row>
    <row r="437">
      <c r="A437" t="inlineStr">
        <is>
          <t>No</t>
        </is>
      </c>
      <c r="B437" t="inlineStr">
        <is>
          <t>QL496.5 .I57 2006</t>
        </is>
      </c>
      <c r="C437" t="inlineStr">
        <is>
          <t>0                      QL 0496500I  57          2006</t>
        </is>
      </c>
      <c r="D437" t="inlineStr">
        <is>
          <t>Insect sounds and communication : physiology, behaviour, ecology, and evolution / edited by Sakis Drosopoulos and Michael F. Claridge.</t>
        </is>
      </c>
      <c r="F437" t="inlineStr">
        <is>
          <t>No</t>
        </is>
      </c>
      <c r="G437" t="inlineStr">
        <is>
          <t>1</t>
        </is>
      </c>
      <c r="H437" t="inlineStr">
        <is>
          <t>No</t>
        </is>
      </c>
      <c r="I437" t="inlineStr">
        <is>
          <t>No</t>
        </is>
      </c>
      <c r="J437" t="inlineStr">
        <is>
          <t>0</t>
        </is>
      </c>
      <c r="L437" t="inlineStr">
        <is>
          <t>Boca Raton : Taylor &amp; Francis, 2006.</t>
        </is>
      </c>
      <c r="M437" t="inlineStr">
        <is>
          <t>2006</t>
        </is>
      </c>
      <c r="O437" t="inlineStr">
        <is>
          <t>eng</t>
        </is>
      </c>
      <c r="P437" t="inlineStr">
        <is>
          <t>flu</t>
        </is>
      </c>
      <c r="Q437" t="inlineStr">
        <is>
          <t>Contemporary topics in entomology series</t>
        </is>
      </c>
      <c r="R437" t="inlineStr">
        <is>
          <t xml:space="preserve">QL </t>
        </is>
      </c>
      <c r="S437" t="n">
        <v>5</v>
      </c>
      <c r="T437" t="n">
        <v>5</v>
      </c>
      <c r="U437" t="inlineStr">
        <is>
          <t>2008-04-06</t>
        </is>
      </c>
      <c r="V437" t="inlineStr">
        <is>
          <t>2008-04-06</t>
        </is>
      </c>
      <c r="W437" t="inlineStr">
        <is>
          <t>2006-01-18</t>
        </is>
      </c>
      <c r="X437" t="inlineStr">
        <is>
          <t>2006-01-18</t>
        </is>
      </c>
      <c r="Y437" t="n">
        <v>294</v>
      </c>
      <c r="Z437" t="n">
        <v>211</v>
      </c>
      <c r="AA437" t="n">
        <v>256</v>
      </c>
      <c r="AB437" t="n">
        <v>3</v>
      </c>
      <c r="AC437" t="n">
        <v>3</v>
      </c>
      <c r="AD437" t="n">
        <v>8</v>
      </c>
      <c r="AE437" t="n">
        <v>8</v>
      </c>
      <c r="AF437" t="n">
        <v>4</v>
      </c>
      <c r="AG437" t="n">
        <v>4</v>
      </c>
      <c r="AH437" t="n">
        <v>2</v>
      </c>
      <c r="AI437" t="n">
        <v>2</v>
      </c>
      <c r="AJ437" t="n">
        <v>2</v>
      </c>
      <c r="AK437" t="n">
        <v>2</v>
      </c>
      <c r="AL437" t="n">
        <v>2</v>
      </c>
      <c r="AM437" t="n">
        <v>2</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HYPERLINK("https://creighton-primo.hosted.exlibrisgroup.com/primo-explore/search?tab=default_tab&amp;search_scope=EVERYTHING&amp;vid=01CRU&amp;lang=en_US&amp;offset=0&amp;query=any,contains,991004698969702656","Catalog Record")</f>
        <v/>
      </c>
      <c r="AT437">
        <f>HYPERLINK("http://www.worldcat.org/oclc/61463800","WorldCat Record")</f>
        <v/>
      </c>
      <c r="AU437" t="inlineStr">
        <is>
          <t>802202015:eng</t>
        </is>
      </c>
      <c r="AV437" t="inlineStr">
        <is>
          <t>61463800</t>
        </is>
      </c>
      <c r="AW437" t="inlineStr">
        <is>
          <t>991004698969702656</t>
        </is>
      </c>
      <c r="AX437" t="inlineStr">
        <is>
          <t>991004698969702656</t>
        </is>
      </c>
      <c r="AY437" t="inlineStr">
        <is>
          <t>2270695000002656</t>
        </is>
      </c>
      <c r="AZ437" t="inlineStr">
        <is>
          <t>BOOK</t>
        </is>
      </c>
      <c r="BB437" t="inlineStr">
        <is>
          <t>9780849320606</t>
        </is>
      </c>
      <c r="BC437" t="inlineStr">
        <is>
          <t>32285005106579</t>
        </is>
      </c>
      <c r="BD437" t="inlineStr">
        <is>
          <t>893263388</t>
        </is>
      </c>
    </row>
    <row r="438">
      <c r="A438" t="inlineStr">
        <is>
          <t>No</t>
        </is>
      </c>
      <c r="B438" t="inlineStr">
        <is>
          <t>QL496.7 .D83 2000</t>
        </is>
      </c>
      <c r="C438" t="inlineStr">
        <is>
          <t>0                      QL 0496700D  83          2000</t>
        </is>
      </c>
      <c r="D438" t="inlineStr">
        <is>
          <t>The biomechanics of insect flight : form, function, evolution / Robert Dudley.</t>
        </is>
      </c>
      <c r="F438" t="inlineStr">
        <is>
          <t>No</t>
        </is>
      </c>
      <c r="G438" t="inlineStr">
        <is>
          <t>1</t>
        </is>
      </c>
      <c r="H438" t="inlineStr">
        <is>
          <t>No</t>
        </is>
      </c>
      <c r="I438" t="inlineStr">
        <is>
          <t>No</t>
        </is>
      </c>
      <c r="J438" t="inlineStr">
        <is>
          <t>0</t>
        </is>
      </c>
      <c r="K438" t="inlineStr">
        <is>
          <t>Dudley, Robert, 1961-</t>
        </is>
      </c>
      <c r="L438" t="inlineStr">
        <is>
          <t>Princeton, N.J. : Princeton University Press, c2000.</t>
        </is>
      </c>
      <c r="M438" t="inlineStr">
        <is>
          <t>2000</t>
        </is>
      </c>
      <c r="O438" t="inlineStr">
        <is>
          <t>eng</t>
        </is>
      </c>
      <c r="P438" t="inlineStr">
        <is>
          <t>nju</t>
        </is>
      </c>
      <c r="R438" t="inlineStr">
        <is>
          <t xml:space="preserve">QL </t>
        </is>
      </c>
      <c r="S438" t="n">
        <v>3</v>
      </c>
      <c r="T438" t="n">
        <v>3</v>
      </c>
      <c r="U438" t="inlineStr">
        <is>
          <t>2008-02-08</t>
        </is>
      </c>
      <c r="V438" t="inlineStr">
        <is>
          <t>2008-02-08</t>
        </is>
      </c>
      <c r="W438" t="inlineStr">
        <is>
          <t>2001-01-10</t>
        </is>
      </c>
      <c r="X438" t="inlineStr">
        <is>
          <t>2001-01-10</t>
        </is>
      </c>
      <c r="Y438" t="n">
        <v>485</v>
      </c>
      <c r="Z438" t="n">
        <v>370</v>
      </c>
      <c r="AA438" t="n">
        <v>592</v>
      </c>
      <c r="AB438" t="n">
        <v>2</v>
      </c>
      <c r="AC438" t="n">
        <v>2</v>
      </c>
      <c r="AD438" t="n">
        <v>14</v>
      </c>
      <c r="AE438" t="n">
        <v>24</v>
      </c>
      <c r="AF438" t="n">
        <v>6</v>
      </c>
      <c r="AG438" t="n">
        <v>12</v>
      </c>
      <c r="AH438" t="n">
        <v>3</v>
      </c>
      <c r="AI438" t="n">
        <v>6</v>
      </c>
      <c r="AJ438" t="n">
        <v>10</v>
      </c>
      <c r="AK438" t="n">
        <v>14</v>
      </c>
      <c r="AL438" t="n">
        <v>1</v>
      </c>
      <c r="AM438" t="n">
        <v>1</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HYPERLINK("https://creighton-primo.hosted.exlibrisgroup.com/primo-explore/search?tab=default_tab&amp;search_scope=EVERYTHING&amp;vid=01CRU&amp;lang=en_US&amp;offset=0&amp;query=any,contains,991003261849702656","Catalog Record")</f>
        <v/>
      </c>
      <c r="AT438">
        <f>HYPERLINK("http://www.worldcat.org/oclc/41211612","WorldCat Record")</f>
        <v/>
      </c>
      <c r="AU438" t="inlineStr">
        <is>
          <t>795208108:eng</t>
        </is>
      </c>
      <c r="AV438" t="inlineStr">
        <is>
          <t>41211612</t>
        </is>
      </c>
      <c r="AW438" t="inlineStr">
        <is>
          <t>991003261849702656</t>
        </is>
      </c>
      <c r="AX438" t="inlineStr">
        <is>
          <t>991003261849702656</t>
        </is>
      </c>
      <c r="AY438" t="inlineStr">
        <is>
          <t>2259945820002656</t>
        </is>
      </c>
      <c r="AZ438" t="inlineStr">
        <is>
          <t>BOOK</t>
        </is>
      </c>
      <c r="BB438" t="inlineStr">
        <is>
          <t>9780691044309</t>
        </is>
      </c>
      <c r="BC438" t="inlineStr">
        <is>
          <t>32285004282330</t>
        </is>
      </c>
      <c r="BD438" t="inlineStr">
        <is>
          <t>893441098</t>
        </is>
      </c>
    </row>
    <row r="439">
      <c r="A439" t="inlineStr">
        <is>
          <t>No</t>
        </is>
      </c>
      <c r="B439" t="inlineStr">
        <is>
          <t>QL496.7 .I58 1986</t>
        </is>
      </c>
      <c r="C439" t="inlineStr">
        <is>
          <t>0                      QL 0496700I  58          1986</t>
        </is>
      </c>
      <c r="D439" t="inlineStr">
        <is>
          <t>Insect flight : dispersal and migration / edited by W. Danthanarayana.</t>
        </is>
      </c>
      <c r="F439" t="inlineStr">
        <is>
          <t>No</t>
        </is>
      </c>
      <c r="G439" t="inlineStr">
        <is>
          <t>1</t>
        </is>
      </c>
      <c r="H439" t="inlineStr">
        <is>
          <t>No</t>
        </is>
      </c>
      <c r="I439" t="inlineStr">
        <is>
          <t>No</t>
        </is>
      </c>
      <c r="J439" t="inlineStr">
        <is>
          <t>0</t>
        </is>
      </c>
      <c r="L439" t="inlineStr">
        <is>
          <t>Berlin ; New York : Springer-Verlag, c1986.</t>
        </is>
      </c>
      <c r="M439" t="inlineStr">
        <is>
          <t>1986</t>
        </is>
      </c>
      <c r="O439" t="inlineStr">
        <is>
          <t>eng</t>
        </is>
      </c>
      <c r="P439" t="inlineStr">
        <is>
          <t xml:space="preserve">gw </t>
        </is>
      </c>
      <c r="Q439" t="inlineStr">
        <is>
          <t>Proceedings in life sciences</t>
        </is>
      </c>
      <c r="R439" t="inlineStr">
        <is>
          <t xml:space="preserve">QL </t>
        </is>
      </c>
      <c r="S439" t="n">
        <v>4</v>
      </c>
      <c r="T439" t="n">
        <v>4</v>
      </c>
      <c r="U439" t="inlineStr">
        <is>
          <t>2001-11-15</t>
        </is>
      </c>
      <c r="V439" t="inlineStr">
        <is>
          <t>2001-11-15</t>
        </is>
      </c>
      <c r="W439" t="inlineStr">
        <is>
          <t>1993-05-27</t>
        </is>
      </c>
      <c r="X439" t="inlineStr">
        <is>
          <t>1993-05-27</t>
        </is>
      </c>
      <c r="Y439" t="n">
        <v>236</v>
      </c>
      <c r="Z439" t="n">
        <v>147</v>
      </c>
      <c r="AA439" t="n">
        <v>171</v>
      </c>
      <c r="AB439" t="n">
        <v>1</v>
      </c>
      <c r="AC439" t="n">
        <v>1</v>
      </c>
      <c r="AD439" t="n">
        <v>3</v>
      </c>
      <c r="AE439" t="n">
        <v>4</v>
      </c>
      <c r="AF439" t="n">
        <v>0</v>
      </c>
      <c r="AG439" t="n">
        <v>1</v>
      </c>
      <c r="AH439" t="n">
        <v>2</v>
      </c>
      <c r="AI439" t="n">
        <v>2</v>
      </c>
      <c r="AJ439" t="n">
        <v>2</v>
      </c>
      <c r="AK439" t="n">
        <v>3</v>
      </c>
      <c r="AL439" t="n">
        <v>0</v>
      </c>
      <c r="AM439" t="n">
        <v>0</v>
      </c>
      <c r="AN439" t="n">
        <v>0</v>
      </c>
      <c r="AO439" t="n">
        <v>0</v>
      </c>
      <c r="AP439" t="inlineStr">
        <is>
          <t>No</t>
        </is>
      </c>
      <c r="AQ439" t="inlineStr">
        <is>
          <t>Yes</t>
        </is>
      </c>
      <c r="AR439">
        <f>HYPERLINK("http://catalog.hathitrust.org/Record/000806258","HathiTrust Record")</f>
        <v/>
      </c>
      <c r="AS439">
        <f>HYPERLINK("https://creighton-primo.hosted.exlibrisgroup.com/primo-explore/search?tab=default_tab&amp;search_scope=EVERYTHING&amp;vid=01CRU&amp;lang=en_US&amp;offset=0&amp;query=any,contains,991000813719702656","Catalog Record")</f>
        <v/>
      </c>
      <c r="AT439">
        <f>HYPERLINK("http://www.worldcat.org/oclc/13333955","WorldCat Record")</f>
        <v/>
      </c>
      <c r="AU439" t="inlineStr">
        <is>
          <t>897962092:eng</t>
        </is>
      </c>
      <c r="AV439" t="inlineStr">
        <is>
          <t>13333955</t>
        </is>
      </c>
      <c r="AW439" t="inlineStr">
        <is>
          <t>991000813719702656</t>
        </is>
      </c>
      <c r="AX439" t="inlineStr">
        <is>
          <t>991000813719702656</t>
        </is>
      </c>
      <c r="AY439" t="inlineStr">
        <is>
          <t>2262141080002656</t>
        </is>
      </c>
      <c r="AZ439" t="inlineStr">
        <is>
          <t>BOOK</t>
        </is>
      </c>
      <c r="BB439" t="inlineStr">
        <is>
          <t>9780387165028</t>
        </is>
      </c>
      <c r="BC439" t="inlineStr">
        <is>
          <t>32285001687408</t>
        </is>
      </c>
      <c r="BD439" t="inlineStr">
        <is>
          <t>893683777</t>
        </is>
      </c>
    </row>
    <row r="440">
      <c r="A440" t="inlineStr">
        <is>
          <t>No</t>
        </is>
      </c>
      <c r="B440" t="inlineStr">
        <is>
          <t>QL496.C48 H6</t>
        </is>
      </c>
      <c r="C440" t="inlineStr">
        <is>
          <t>0                      QL 0496000C  48                 H  6</t>
        </is>
      </c>
      <c r="D440" t="inlineStr">
        <is>
          <t>How to know the immature insects; an illustrated key for identifying the orders and families of many of the immature insects with suggestions for collecting, rearing and studying them, by H. F. Chu.</t>
        </is>
      </c>
      <c r="F440" t="inlineStr">
        <is>
          <t>No</t>
        </is>
      </c>
      <c r="G440" t="inlineStr">
        <is>
          <t>1</t>
        </is>
      </c>
      <c r="H440" t="inlineStr">
        <is>
          <t>No</t>
        </is>
      </c>
      <c r="I440" t="inlineStr">
        <is>
          <t>No</t>
        </is>
      </c>
      <c r="J440" t="inlineStr">
        <is>
          <t>0</t>
        </is>
      </c>
      <c r="K440" t="inlineStr">
        <is>
          <t>Zhu, Hongfu, 1913-</t>
        </is>
      </c>
      <c r="L440" t="inlineStr">
        <is>
          <t>Dubuque, Iowa, W. C. Brown Co. [1949]</t>
        </is>
      </c>
      <c r="M440" t="inlineStr">
        <is>
          <t>1949</t>
        </is>
      </c>
      <c r="O440" t="inlineStr">
        <is>
          <t>eng</t>
        </is>
      </c>
      <c r="P440" t="inlineStr">
        <is>
          <t>iau</t>
        </is>
      </c>
      <c r="Q440" t="inlineStr">
        <is>
          <t>Pictured key nature series</t>
        </is>
      </c>
      <c r="R440" t="inlineStr">
        <is>
          <t xml:space="preserve">QL </t>
        </is>
      </c>
      <c r="S440" t="n">
        <v>2</v>
      </c>
      <c r="T440" t="n">
        <v>2</v>
      </c>
      <c r="U440" t="inlineStr">
        <is>
          <t>1999-12-06</t>
        </is>
      </c>
      <c r="V440" t="inlineStr">
        <is>
          <t>1999-12-06</t>
        </is>
      </c>
      <c r="W440" t="inlineStr">
        <is>
          <t>1997-07-24</t>
        </is>
      </c>
      <c r="X440" t="inlineStr">
        <is>
          <t>1997-07-24</t>
        </is>
      </c>
      <c r="Y440" t="n">
        <v>1099</v>
      </c>
      <c r="Z440" t="n">
        <v>972</v>
      </c>
      <c r="AA440" t="n">
        <v>1041</v>
      </c>
      <c r="AB440" t="n">
        <v>9</v>
      </c>
      <c r="AC440" t="n">
        <v>9</v>
      </c>
      <c r="AD440" t="n">
        <v>33</v>
      </c>
      <c r="AE440" t="n">
        <v>35</v>
      </c>
      <c r="AF440" t="n">
        <v>11</v>
      </c>
      <c r="AG440" t="n">
        <v>11</v>
      </c>
      <c r="AH440" t="n">
        <v>3</v>
      </c>
      <c r="AI440" t="n">
        <v>3</v>
      </c>
      <c r="AJ440" t="n">
        <v>18</v>
      </c>
      <c r="AK440" t="n">
        <v>20</v>
      </c>
      <c r="AL440" t="n">
        <v>7</v>
      </c>
      <c r="AM440" t="n">
        <v>7</v>
      </c>
      <c r="AN440" t="n">
        <v>0</v>
      </c>
      <c r="AO440" t="n">
        <v>0</v>
      </c>
      <c r="AP440" t="inlineStr">
        <is>
          <t>Yes</t>
        </is>
      </c>
      <c r="AQ440" t="inlineStr">
        <is>
          <t>No</t>
        </is>
      </c>
      <c r="AR440">
        <f>HYPERLINK("http://catalog.hathitrust.org/Record/001500048","HathiTrust Record")</f>
        <v/>
      </c>
      <c r="AS440">
        <f>HYPERLINK("https://creighton-primo.hosted.exlibrisgroup.com/primo-explore/search?tab=default_tab&amp;search_scope=EVERYTHING&amp;vid=01CRU&amp;lang=en_US&amp;offset=0&amp;query=any,contains,991001232109702656","Catalog Record")</f>
        <v/>
      </c>
      <c r="AT440">
        <f>HYPERLINK("http://www.worldcat.org/oclc/203882","WorldCat Record")</f>
        <v/>
      </c>
      <c r="AU440" t="inlineStr">
        <is>
          <t>9566342340:eng</t>
        </is>
      </c>
      <c r="AV440" t="inlineStr">
        <is>
          <t>203882</t>
        </is>
      </c>
      <c r="AW440" t="inlineStr">
        <is>
          <t>991001232109702656</t>
        </is>
      </c>
      <c r="AX440" t="inlineStr">
        <is>
          <t>991001232109702656</t>
        </is>
      </c>
      <c r="AY440" t="inlineStr">
        <is>
          <t>2255939700002656</t>
        </is>
      </c>
      <c r="AZ440" t="inlineStr">
        <is>
          <t>BOOK</t>
        </is>
      </c>
      <c r="BC440" t="inlineStr">
        <is>
          <t>32285002980927</t>
        </is>
      </c>
      <c r="BD440" t="inlineStr">
        <is>
          <t>893778658</t>
        </is>
      </c>
    </row>
    <row r="441">
      <c r="A441" t="inlineStr">
        <is>
          <t>No</t>
        </is>
      </c>
      <c r="B441" t="inlineStr">
        <is>
          <t>QL50 .B3</t>
        </is>
      </c>
      <c r="C441" t="inlineStr">
        <is>
          <t>0                      QL 0050000B  3</t>
        </is>
      </c>
      <c r="D441" t="inlineStr">
        <is>
          <t>Animal worlds / photos. by Emil Schulthess [and others] Drawings by Kenneth Gosner.</t>
        </is>
      </c>
      <c r="F441" t="inlineStr">
        <is>
          <t>No</t>
        </is>
      </c>
      <c r="G441" t="inlineStr">
        <is>
          <t>1</t>
        </is>
      </c>
      <c r="H441" t="inlineStr">
        <is>
          <t>No</t>
        </is>
      </c>
      <c r="I441" t="inlineStr">
        <is>
          <t>No</t>
        </is>
      </c>
      <c r="J441" t="inlineStr">
        <is>
          <t>0</t>
        </is>
      </c>
      <c r="K441" t="inlineStr">
        <is>
          <t>Bates, Marston, 1906-1974.</t>
        </is>
      </c>
      <c r="L441" t="inlineStr">
        <is>
          <t>New York : Random House, [1963]</t>
        </is>
      </c>
      <c r="M441" t="inlineStr">
        <is>
          <t>1963</t>
        </is>
      </c>
      <c r="O441" t="inlineStr">
        <is>
          <t>eng</t>
        </is>
      </c>
      <c r="P441" t="inlineStr">
        <is>
          <t>nyu</t>
        </is>
      </c>
      <c r="R441" t="inlineStr">
        <is>
          <t xml:space="preserve">QL </t>
        </is>
      </c>
      <c r="S441" t="n">
        <v>10</v>
      </c>
      <c r="T441" t="n">
        <v>10</v>
      </c>
      <c r="U441" t="inlineStr">
        <is>
          <t>1998-02-26</t>
        </is>
      </c>
      <c r="V441" t="inlineStr">
        <is>
          <t>1998-02-26</t>
        </is>
      </c>
      <c r="W441" t="inlineStr">
        <is>
          <t>1993-02-04</t>
        </is>
      </c>
      <c r="X441" t="inlineStr">
        <is>
          <t>1993-02-04</t>
        </is>
      </c>
      <c r="Y441" t="n">
        <v>509</v>
      </c>
      <c r="Z441" t="n">
        <v>484</v>
      </c>
      <c r="AA441" t="n">
        <v>530</v>
      </c>
      <c r="AB441" t="n">
        <v>5</v>
      </c>
      <c r="AC441" t="n">
        <v>5</v>
      </c>
      <c r="AD441" t="n">
        <v>11</v>
      </c>
      <c r="AE441" t="n">
        <v>11</v>
      </c>
      <c r="AF441" t="n">
        <v>3</v>
      </c>
      <c r="AG441" t="n">
        <v>3</v>
      </c>
      <c r="AH441" t="n">
        <v>2</v>
      </c>
      <c r="AI441" t="n">
        <v>2</v>
      </c>
      <c r="AJ441" t="n">
        <v>3</v>
      </c>
      <c r="AK441" t="n">
        <v>3</v>
      </c>
      <c r="AL441" t="n">
        <v>3</v>
      </c>
      <c r="AM441" t="n">
        <v>3</v>
      </c>
      <c r="AN441" t="n">
        <v>0</v>
      </c>
      <c r="AO441" t="n">
        <v>0</v>
      </c>
      <c r="AP441" t="inlineStr">
        <is>
          <t>No</t>
        </is>
      </c>
      <c r="AQ441" t="inlineStr">
        <is>
          <t>No</t>
        </is>
      </c>
      <c r="AR441">
        <f>HYPERLINK("http://catalog.hathitrust.org/Record/002012540","HathiTrust Record")</f>
        <v/>
      </c>
      <c r="AS441">
        <f>HYPERLINK("https://creighton-primo.hosted.exlibrisgroup.com/primo-explore/search?tab=default_tab&amp;search_scope=EVERYTHING&amp;vid=01CRU&amp;lang=en_US&amp;offset=0&amp;query=any,contains,991002229819702656","Catalog Record")</f>
        <v/>
      </c>
      <c r="AT441">
        <f>HYPERLINK("http://www.worldcat.org/oclc/293571","WorldCat Record")</f>
        <v/>
      </c>
      <c r="AU441" t="inlineStr">
        <is>
          <t>1484797:eng</t>
        </is>
      </c>
      <c r="AV441" t="inlineStr">
        <is>
          <t>293571</t>
        </is>
      </c>
      <c r="AW441" t="inlineStr">
        <is>
          <t>991002229819702656</t>
        </is>
      </c>
      <c r="AX441" t="inlineStr">
        <is>
          <t>991002229819702656</t>
        </is>
      </c>
      <c r="AY441" t="inlineStr">
        <is>
          <t>2266726140002656</t>
        </is>
      </c>
      <c r="AZ441" t="inlineStr">
        <is>
          <t>BOOK</t>
        </is>
      </c>
      <c r="BC441" t="inlineStr">
        <is>
          <t>32285001482743</t>
        </is>
      </c>
      <c r="BD441" t="inlineStr">
        <is>
          <t>893609610</t>
        </is>
      </c>
    </row>
    <row r="442">
      <c r="A442" t="inlineStr">
        <is>
          <t>No</t>
        </is>
      </c>
      <c r="B442" t="inlineStr">
        <is>
          <t>QL50 .O9 1975</t>
        </is>
      </c>
      <c r="C442" t="inlineStr">
        <is>
          <t>0                      QL 0050000O  9           1975</t>
        </is>
      </c>
      <c r="D442" t="inlineStr">
        <is>
          <t>Our magnificent wildlife : how to enjoy and preserve it.</t>
        </is>
      </c>
      <c r="F442" t="inlineStr">
        <is>
          <t>No</t>
        </is>
      </c>
      <c r="G442" t="inlineStr">
        <is>
          <t>1</t>
        </is>
      </c>
      <c r="H442" t="inlineStr">
        <is>
          <t>No</t>
        </is>
      </c>
      <c r="I442" t="inlineStr">
        <is>
          <t>No</t>
        </is>
      </c>
      <c r="J442" t="inlineStr">
        <is>
          <t>0</t>
        </is>
      </c>
      <c r="L442" t="inlineStr">
        <is>
          <t>Pleasantville, N.Y. : Reader's Digest Association, c1975.</t>
        </is>
      </c>
      <c r="M442" t="inlineStr">
        <is>
          <t>1975</t>
        </is>
      </c>
      <c r="O442" t="inlineStr">
        <is>
          <t>eng</t>
        </is>
      </c>
      <c r="P442" t="inlineStr">
        <is>
          <t>nyu</t>
        </is>
      </c>
      <c r="R442" t="inlineStr">
        <is>
          <t xml:space="preserve">QL </t>
        </is>
      </c>
      <c r="S442" t="n">
        <v>12</v>
      </c>
      <c r="T442" t="n">
        <v>12</v>
      </c>
      <c r="U442" t="inlineStr">
        <is>
          <t>1997-04-01</t>
        </is>
      </c>
      <c r="V442" t="inlineStr">
        <is>
          <t>1997-04-01</t>
        </is>
      </c>
      <c r="W442" t="inlineStr">
        <is>
          <t>1993-05-21</t>
        </is>
      </c>
      <c r="X442" t="inlineStr">
        <is>
          <t>1993-05-21</t>
        </is>
      </c>
      <c r="Y442" t="n">
        <v>770</v>
      </c>
      <c r="Z442" t="n">
        <v>733</v>
      </c>
      <c r="AA442" t="n">
        <v>750</v>
      </c>
      <c r="AB442" t="n">
        <v>7</v>
      </c>
      <c r="AC442" t="n">
        <v>7</v>
      </c>
      <c r="AD442" t="n">
        <v>1</v>
      </c>
      <c r="AE442" t="n">
        <v>3</v>
      </c>
      <c r="AF442" t="n">
        <v>0</v>
      </c>
      <c r="AG442" t="n">
        <v>1</v>
      </c>
      <c r="AH442" t="n">
        <v>0</v>
      </c>
      <c r="AI442" t="n">
        <v>1</v>
      </c>
      <c r="AJ442" t="n">
        <v>0</v>
      </c>
      <c r="AK442" t="n">
        <v>0</v>
      </c>
      <c r="AL442" t="n">
        <v>1</v>
      </c>
      <c r="AM442" t="n">
        <v>1</v>
      </c>
      <c r="AN442" t="n">
        <v>0</v>
      </c>
      <c r="AO442" t="n">
        <v>0</v>
      </c>
      <c r="AP442" t="inlineStr">
        <is>
          <t>No</t>
        </is>
      </c>
      <c r="AQ442" t="inlineStr">
        <is>
          <t>Yes</t>
        </is>
      </c>
      <c r="AR442">
        <f>HYPERLINK("http://catalog.hathitrust.org/Record/008450489","HathiTrust Record")</f>
        <v/>
      </c>
      <c r="AS442">
        <f>HYPERLINK("https://creighton-primo.hosted.exlibrisgroup.com/primo-explore/search?tab=default_tab&amp;search_scope=EVERYTHING&amp;vid=01CRU&amp;lang=en_US&amp;offset=0&amp;query=any,contains,991003883289702656","Catalog Record")</f>
        <v/>
      </c>
      <c r="AT442">
        <f>HYPERLINK("http://www.worldcat.org/oclc/1733198","WorldCat Record")</f>
        <v/>
      </c>
      <c r="AU442" t="inlineStr">
        <is>
          <t>8907469284:eng</t>
        </is>
      </c>
      <c r="AV442" t="inlineStr">
        <is>
          <t>1733198</t>
        </is>
      </c>
      <c r="AW442" t="inlineStr">
        <is>
          <t>991003883289702656</t>
        </is>
      </c>
      <c r="AX442" t="inlineStr">
        <is>
          <t>991003883289702656</t>
        </is>
      </c>
      <c r="AY442" t="inlineStr">
        <is>
          <t>2256943500002656</t>
        </is>
      </c>
      <c r="AZ442" t="inlineStr">
        <is>
          <t>BOOK</t>
        </is>
      </c>
      <c r="BC442" t="inlineStr">
        <is>
          <t>32285001686087</t>
        </is>
      </c>
      <c r="BD442" t="inlineStr">
        <is>
          <t>893722143</t>
        </is>
      </c>
    </row>
    <row r="443">
      <c r="A443" t="inlineStr">
        <is>
          <t>No</t>
        </is>
      </c>
      <c r="B443" t="inlineStr">
        <is>
          <t>QL50 .R28</t>
        </is>
      </c>
      <c r="C443" t="inlineStr">
        <is>
          <t>0                      QL 0050000R  28</t>
        </is>
      </c>
      <c r="D443" t="inlineStr">
        <is>
          <t>Marvels &amp; mysteries of our animal world / with introductions and a special supplement, "Animals from A to Z," by Jean George.</t>
        </is>
      </c>
      <c r="F443" t="inlineStr">
        <is>
          <t>No</t>
        </is>
      </c>
      <c r="G443" t="inlineStr">
        <is>
          <t>1</t>
        </is>
      </c>
      <c r="H443" t="inlineStr">
        <is>
          <t>No</t>
        </is>
      </c>
      <c r="I443" t="inlineStr">
        <is>
          <t>No</t>
        </is>
      </c>
      <c r="J443" t="inlineStr">
        <is>
          <t>0</t>
        </is>
      </c>
      <c r="K443" t="inlineStr">
        <is>
          <t>Reader's digest.</t>
        </is>
      </c>
      <c r="L443" t="inlineStr">
        <is>
          <t>Pleasantville, N.Y. : Reader's Digest Association, [1964]</t>
        </is>
      </c>
      <c r="M443" t="inlineStr">
        <is>
          <t>1964</t>
        </is>
      </c>
      <c r="O443" t="inlineStr">
        <is>
          <t>eng</t>
        </is>
      </c>
      <c r="P443" t="inlineStr">
        <is>
          <t>nyu</t>
        </is>
      </c>
      <c r="R443" t="inlineStr">
        <is>
          <t xml:space="preserve">QL </t>
        </is>
      </c>
      <c r="S443" t="n">
        <v>10</v>
      </c>
      <c r="T443" t="n">
        <v>10</v>
      </c>
      <c r="U443" t="inlineStr">
        <is>
          <t>2001-04-20</t>
        </is>
      </c>
      <c r="V443" t="inlineStr">
        <is>
          <t>2001-04-20</t>
        </is>
      </c>
      <c r="W443" t="inlineStr">
        <is>
          <t>1994-01-14</t>
        </is>
      </c>
      <c r="X443" t="inlineStr">
        <is>
          <t>1994-01-14</t>
        </is>
      </c>
      <c r="Y443" t="n">
        <v>768</v>
      </c>
      <c r="Z443" t="n">
        <v>714</v>
      </c>
      <c r="AA443" t="n">
        <v>729</v>
      </c>
      <c r="AB443" t="n">
        <v>8</v>
      </c>
      <c r="AC443" t="n">
        <v>9</v>
      </c>
      <c r="AD443" t="n">
        <v>4</v>
      </c>
      <c r="AE443" t="n">
        <v>4</v>
      </c>
      <c r="AF443" t="n">
        <v>1</v>
      </c>
      <c r="AG443" t="n">
        <v>1</v>
      </c>
      <c r="AH443" t="n">
        <v>2</v>
      </c>
      <c r="AI443" t="n">
        <v>2</v>
      </c>
      <c r="AJ443" t="n">
        <v>1</v>
      </c>
      <c r="AK443" t="n">
        <v>1</v>
      </c>
      <c r="AL443" t="n">
        <v>1</v>
      </c>
      <c r="AM443" t="n">
        <v>1</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HYPERLINK("https://creighton-primo.hosted.exlibrisgroup.com/primo-explore/search?tab=default_tab&amp;search_scope=EVERYTHING&amp;vid=01CRU&amp;lang=en_US&amp;offset=0&amp;query=any,contains,991003178239702656","Catalog Record")</f>
        <v/>
      </c>
      <c r="AT443">
        <f>HYPERLINK("http://www.worldcat.org/oclc/711196","WorldCat Record")</f>
        <v/>
      </c>
      <c r="AU443" t="inlineStr">
        <is>
          <t>1059982315:eng</t>
        </is>
      </c>
      <c r="AV443" t="inlineStr">
        <is>
          <t>711196</t>
        </is>
      </c>
      <c r="AW443" t="inlineStr">
        <is>
          <t>991003178239702656</t>
        </is>
      </c>
      <c r="AX443" t="inlineStr">
        <is>
          <t>991003178239702656</t>
        </is>
      </c>
      <c r="AY443" t="inlineStr">
        <is>
          <t>2263980950002656</t>
        </is>
      </c>
      <c r="AZ443" t="inlineStr">
        <is>
          <t>BOOK</t>
        </is>
      </c>
      <c r="BC443" t="inlineStr">
        <is>
          <t>32285001832954</t>
        </is>
      </c>
      <c r="BD443" t="inlineStr">
        <is>
          <t>893698725</t>
        </is>
      </c>
    </row>
    <row r="444">
      <c r="A444" t="inlineStr">
        <is>
          <t>No</t>
        </is>
      </c>
      <c r="B444" t="inlineStr">
        <is>
          <t>QL505.5 .S38 1999</t>
        </is>
      </c>
      <c r="C444" t="inlineStr">
        <is>
          <t>0                      QL 0505500S  38          1999</t>
        </is>
      </c>
      <c r="D444" t="inlineStr">
        <is>
          <t>The cockroach papers : a compendium of history and lore / Richard Schweid.</t>
        </is>
      </c>
      <c r="F444" t="inlineStr">
        <is>
          <t>No</t>
        </is>
      </c>
      <c r="G444" t="inlineStr">
        <is>
          <t>1</t>
        </is>
      </c>
      <c r="H444" t="inlineStr">
        <is>
          <t>No</t>
        </is>
      </c>
      <c r="I444" t="inlineStr">
        <is>
          <t>No</t>
        </is>
      </c>
      <c r="J444" t="inlineStr">
        <is>
          <t>0</t>
        </is>
      </c>
      <c r="K444" t="inlineStr">
        <is>
          <t>Schweid, Richard, 1946-</t>
        </is>
      </c>
      <c r="L444" t="inlineStr">
        <is>
          <t>New York : Four Walls Eight Windows ; [Emeryville, CA] : Distributed to the trade by Publishers Group West, c1999.</t>
        </is>
      </c>
      <c r="M444" t="inlineStr">
        <is>
          <t>1999</t>
        </is>
      </c>
      <c r="O444" t="inlineStr">
        <is>
          <t>eng</t>
        </is>
      </c>
      <c r="P444" t="inlineStr">
        <is>
          <t>nyu</t>
        </is>
      </c>
      <c r="R444" t="inlineStr">
        <is>
          <t xml:space="preserve">QL </t>
        </is>
      </c>
      <c r="S444" t="n">
        <v>5</v>
      </c>
      <c r="T444" t="n">
        <v>5</v>
      </c>
      <c r="U444" t="inlineStr">
        <is>
          <t>2007-02-18</t>
        </is>
      </c>
      <c r="V444" t="inlineStr">
        <is>
          <t>2007-02-18</t>
        </is>
      </c>
      <c r="W444" t="inlineStr">
        <is>
          <t>2000-11-21</t>
        </is>
      </c>
      <c r="X444" t="inlineStr">
        <is>
          <t>2000-11-21</t>
        </is>
      </c>
      <c r="Y444" t="n">
        <v>344</v>
      </c>
      <c r="Z444" t="n">
        <v>326</v>
      </c>
      <c r="AA444" t="n">
        <v>1085</v>
      </c>
      <c r="AB444" t="n">
        <v>2</v>
      </c>
      <c r="AC444" t="n">
        <v>4</v>
      </c>
      <c r="AD444" t="n">
        <v>8</v>
      </c>
      <c r="AE444" t="n">
        <v>27</v>
      </c>
      <c r="AF444" t="n">
        <v>4</v>
      </c>
      <c r="AG444" t="n">
        <v>16</v>
      </c>
      <c r="AH444" t="n">
        <v>1</v>
      </c>
      <c r="AI444" t="n">
        <v>5</v>
      </c>
      <c r="AJ444" t="n">
        <v>4</v>
      </c>
      <c r="AK444" t="n">
        <v>11</v>
      </c>
      <c r="AL444" t="n">
        <v>1</v>
      </c>
      <c r="AM444" t="n">
        <v>2</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HYPERLINK("https://creighton-primo.hosted.exlibrisgroup.com/primo-explore/search?tab=default_tab&amp;search_scope=EVERYTHING&amp;vid=01CRU&amp;lang=en_US&amp;offset=0&amp;query=any,contains,991003352299702656","Catalog Record")</f>
        <v/>
      </c>
      <c r="AT444">
        <f>HYPERLINK("http://www.worldcat.org/oclc/42290996","WorldCat Record")</f>
        <v/>
      </c>
      <c r="AU444" t="inlineStr">
        <is>
          <t>863894062:eng</t>
        </is>
      </c>
      <c r="AV444" t="inlineStr">
        <is>
          <t>42290996</t>
        </is>
      </c>
      <c r="AW444" t="inlineStr">
        <is>
          <t>991003352299702656</t>
        </is>
      </c>
      <c r="AX444" t="inlineStr">
        <is>
          <t>991003352299702656</t>
        </is>
      </c>
      <c r="AY444" t="inlineStr">
        <is>
          <t>2259663980002656</t>
        </is>
      </c>
      <c r="AZ444" t="inlineStr">
        <is>
          <t>BOOK</t>
        </is>
      </c>
      <c r="BB444" t="inlineStr">
        <is>
          <t>9781568581378</t>
        </is>
      </c>
      <c r="BC444" t="inlineStr">
        <is>
          <t>32285004267141</t>
        </is>
      </c>
      <c r="BD444" t="inlineStr">
        <is>
          <t>893874690</t>
        </is>
      </c>
    </row>
    <row r="445">
      <c r="A445" t="inlineStr">
        <is>
          <t>No</t>
        </is>
      </c>
      <c r="B445" t="inlineStr">
        <is>
          <t>QL505.6 .A437</t>
        </is>
      </c>
      <c r="C445" t="inlineStr">
        <is>
          <t>0                      QL 0505600A  437</t>
        </is>
      </c>
      <c r="D445" t="inlineStr">
        <is>
          <t>The American cockroach / edited by William J. Bell and K. G. Adiyodi.</t>
        </is>
      </c>
      <c r="F445" t="inlineStr">
        <is>
          <t>No</t>
        </is>
      </c>
      <c r="G445" t="inlineStr">
        <is>
          <t>1</t>
        </is>
      </c>
      <c r="H445" t="inlineStr">
        <is>
          <t>No</t>
        </is>
      </c>
      <c r="I445" t="inlineStr">
        <is>
          <t>No</t>
        </is>
      </c>
      <c r="J445" t="inlineStr">
        <is>
          <t>0</t>
        </is>
      </c>
      <c r="L445" t="inlineStr">
        <is>
          <t>London ; New York : Chapman and Hall, 1982, c1981.</t>
        </is>
      </c>
      <c r="M445" t="inlineStr">
        <is>
          <t>1982</t>
        </is>
      </c>
      <c r="O445" t="inlineStr">
        <is>
          <t>eng</t>
        </is>
      </c>
      <c r="P445" t="inlineStr">
        <is>
          <t>enk</t>
        </is>
      </c>
      <c r="R445" t="inlineStr">
        <is>
          <t xml:space="preserve">QL </t>
        </is>
      </c>
      <c r="S445" t="n">
        <v>18</v>
      </c>
      <c r="T445" t="n">
        <v>18</v>
      </c>
      <c r="U445" t="inlineStr">
        <is>
          <t>2007-02-18</t>
        </is>
      </c>
      <c r="V445" t="inlineStr">
        <is>
          <t>2007-02-18</t>
        </is>
      </c>
      <c r="W445" t="inlineStr">
        <is>
          <t>1992-08-05</t>
        </is>
      </c>
      <c r="X445" t="inlineStr">
        <is>
          <t>1992-08-05</t>
        </is>
      </c>
      <c r="Y445" t="n">
        <v>327</v>
      </c>
      <c r="Z445" t="n">
        <v>253</v>
      </c>
      <c r="AA445" t="n">
        <v>273</v>
      </c>
      <c r="AB445" t="n">
        <v>3</v>
      </c>
      <c r="AC445" t="n">
        <v>3</v>
      </c>
      <c r="AD445" t="n">
        <v>8</v>
      </c>
      <c r="AE445" t="n">
        <v>8</v>
      </c>
      <c r="AF445" t="n">
        <v>1</v>
      </c>
      <c r="AG445" t="n">
        <v>1</v>
      </c>
      <c r="AH445" t="n">
        <v>3</v>
      </c>
      <c r="AI445" t="n">
        <v>3</v>
      </c>
      <c r="AJ445" t="n">
        <v>4</v>
      </c>
      <c r="AK445" t="n">
        <v>4</v>
      </c>
      <c r="AL445" t="n">
        <v>2</v>
      </c>
      <c r="AM445" t="n">
        <v>2</v>
      </c>
      <c r="AN445" t="n">
        <v>0</v>
      </c>
      <c r="AO445" t="n">
        <v>0</v>
      </c>
      <c r="AP445" t="inlineStr">
        <is>
          <t>No</t>
        </is>
      </c>
      <c r="AQ445" t="inlineStr">
        <is>
          <t>Yes</t>
        </is>
      </c>
      <c r="AR445">
        <f>HYPERLINK("http://catalog.hathitrust.org/Record/000107655","HathiTrust Record")</f>
        <v/>
      </c>
      <c r="AS445">
        <f>HYPERLINK("https://creighton-primo.hosted.exlibrisgroup.com/primo-explore/search?tab=default_tab&amp;search_scope=EVERYTHING&amp;vid=01CRU&amp;lang=en_US&amp;offset=0&amp;query=any,contains,991005224069702656","Catalog Record")</f>
        <v/>
      </c>
      <c r="AT445">
        <f>HYPERLINK("http://www.worldcat.org/oclc/8268337","WorldCat Record")</f>
        <v/>
      </c>
      <c r="AU445" t="inlineStr">
        <is>
          <t>355677598:eng</t>
        </is>
      </c>
      <c r="AV445" t="inlineStr">
        <is>
          <t>8268337</t>
        </is>
      </c>
      <c r="AW445" t="inlineStr">
        <is>
          <t>991005224069702656</t>
        </is>
      </c>
      <c r="AX445" t="inlineStr">
        <is>
          <t>991005224069702656</t>
        </is>
      </c>
      <c r="AY445" t="inlineStr">
        <is>
          <t>2267642950002656</t>
        </is>
      </c>
      <c r="AZ445" t="inlineStr">
        <is>
          <t>BOOK</t>
        </is>
      </c>
      <c r="BB445" t="inlineStr">
        <is>
          <t>9780412161407</t>
        </is>
      </c>
      <c r="BC445" t="inlineStr">
        <is>
          <t>32285001241776</t>
        </is>
      </c>
      <c r="BD445" t="inlineStr">
        <is>
          <t>893527131</t>
        </is>
      </c>
    </row>
    <row r="446">
      <c r="A446" t="inlineStr">
        <is>
          <t>No</t>
        </is>
      </c>
      <c r="B446" t="inlineStr">
        <is>
          <t>QL506 .B56 1997</t>
        </is>
      </c>
      <c r="C446" t="inlineStr">
        <is>
          <t>0                      QL 0506000B  56          1997</t>
        </is>
      </c>
      <c r="D446" t="inlineStr">
        <is>
          <t>The bionomics of grasshoppers, katydids, and their kin / edited by S.K. Gangwere, M.C. Muralirangan, and Meera Muralirangan.</t>
        </is>
      </c>
      <c r="F446" t="inlineStr">
        <is>
          <t>No</t>
        </is>
      </c>
      <c r="G446" t="inlineStr">
        <is>
          <t>1</t>
        </is>
      </c>
      <c r="H446" t="inlineStr">
        <is>
          <t>No</t>
        </is>
      </c>
      <c r="I446" t="inlineStr">
        <is>
          <t>No</t>
        </is>
      </c>
      <c r="J446" t="inlineStr">
        <is>
          <t>0</t>
        </is>
      </c>
      <c r="L446" t="inlineStr">
        <is>
          <t>Oxon, OX, UK ; New York : CAB International, c1997.</t>
        </is>
      </c>
      <c r="M446" t="inlineStr">
        <is>
          <t>1997</t>
        </is>
      </c>
      <c r="O446" t="inlineStr">
        <is>
          <t>eng</t>
        </is>
      </c>
      <c r="P446" t="inlineStr">
        <is>
          <t>enk</t>
        </is>
      </c>
      <c r="R446" t="inlineStr">
        <is>
          <t xml:space="preserve">QL </t>
        </is>
      </c>
      <c r="S446" t="n">
        <v>5</v>
      </c>
      <c r="T446" t="n">
        <v>5</v>
      </c>
      <c r="U446" t="inlineStr">
        <is>
          <t>2007-02-25</t>
        </is>
      </c>
      <c r="V446" t="inlineStr">
        <is>
          <t>2007-02-25</t>
        </is>
      </c>
      <c r="W446" t="inlineStr">
        <is>
          <t>1999-04-27</t>
        </is>
      </c>
      <c r="X446" t="inlineStr">
        <is>
          <t>1999-04-27</t>
        </is>
      </c>
      <c r="Y446" t="n">
        <v>181</v>
      </c>
      <c r="Z446" t="n">
        <v>120</v>
      </c>
      <c r="AA446" t="n">
        <v>120</v>
      </c>
      <c r="AB446" t="n">
        <v>2</v>
      </c>
      <c r="AC446" t="n">
        <v>2</v>
      </c>
      <c r="AD446" t="n">
        <v>5</v>
      </c>
      <c r="AE446" t="n">
        <v>5</v>
      </c>
      <c r="AF446" t="n">
        <v>0</v>
      </c>
      <c r="AG446" t="n">
        <v>0</v>
      </c>
      <c r="AH446" t="n">
        <v>1</v>
      </c>
      <c r="AI446" t="n">
        <v>1</v>
      </c>
      <c r="AJ446" t="n">
        <v>3</v>
      </c>
      <c r="AK446" t="n">
        <v>3</v>
      </c>
      <c r="AL446" t="n">
        <v>1</v>
      </c>
      <c r="AM446" t="n">
        <v>1</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HYPERLINK("https://creighton-primo.hosted.exlibrisgroup.com/primo-explore/search?tab=default_tab&amp;search_scope=EVERYTHING&amp;vid=01CRU&amp;lang=en_US&amp;offset=0&amp;query=any,contains,991002734909702656","Catalog Record")</f>
        <v/>
      </c>
      <c r="AT446">
        <f>HYPERLINK("http://www.worldcat.org/oclc/35886135","WorldCat Record")</f>
        <v/>
      </c>
      <c r="AU446" t="inlineStr">
        <is>
          <t>350571221:eng</t>
        </is>
      </c>
      <c r="AV446" t="inlineStr">
        <is>
          <t>35886135</t>
        </is>
      </c>
      <c r="AW446" t="inlineStr">
        <is>
          <t>991002734909702656</t>
        </is>
      </c>
      <c r="AX446" t="inlineStr">
        <is>
          <t>991002734909702656</t>
        </is>
      </c>
      <c r="AY446" t="inlineStr">
        <is>
          <t>2264598770002656</t>
        </is>
      </c>
      <c r="AZ446" t="inlineStr">
        <is>
          <t>BOOK</t>
        </is>
      </c>
      <c r="BB446" t="inlineStr">
        <is>
          <t>9780851991412</t>
        </is>
      </c>
      <c r="BC446" t="inlineStr">
        <is>
          <t>32285003556403</t>
        </is>
      </c>
      <c r="BD446" t="inlineStr">
        <is>
          <t>893421733</t>
        </is>
      </c>
    </row>
    <row r="447">
      <c r="A447" t="inlineStr">
        <is>
          <t>No</t>
        </is>
      </c>
      <c r="B447" t="inlineStr">
        <is>
          <t>QL506 .E96 1987</t>
        </is>
      </c>
      <c r="C447" t="inlineStr">
        <is>
          <t>0                      QL 0506000E  96          1987</t>
        </is>
      </c>
      <c r="D447" t="inlineStr">
        <is>
          <t>Evolutionary biology of orthopteroid insects / editor, Baccio M. Baccetti.</t>
        </is>
      </c>
      <c r="F447" t="inlineStr">
        <is>
          <t>No</t>
        </is>
      </c>
      <c r="G447" t="inlineStr">
        <is>
          <t>1</t>
        </is>
      </c>
      <c r="H447" t="inlineStr">
        <is>
          <t>No</t>
        </is>
      </c>
      <c r="I447" t="inlineStr">
        <is>
          <t>No</t>
        </is>
      </c>
      <c r="J447" t="inlineStr">
        <is>
          <t>0</t>
        </is>
      </c>
      <c r="L447" t="inlineStr">
        <is>
          <t>Chichester, West Sussex, England : E. Horwood ; New York : Halsted Press, 1987.</t>
        </is>
      </c>
      <c r="M447" t="inlineStr">
        <is>
          <t>1987</t>
        </is>
      </c>
      <c r="O447" t="inlineStr">
        <is>
          <t>eng</t>
        </is>
      </c>
      <c r="P447" t="inlineStr">
        <is>
          <t>enk</t>
        </is>
      </c>
      <c r="Q447" t="inlineStr">
        <is>
          <t>Ellis Horwood series in entomology and acarology</t>
        </is>
      </c>
      <c r="R447" t="inlineStr">
        <is>
          <t xml:space="preserve">QL </t>
        </is>
      </c>
      <c r="S447" t="n">
        <v>12</v>
      </c>
      <c r="T447" t="n">
        <v>12</v>
      </c>
      <c r="U447" t="inlineStr">
        <is>
          <t>2009-02-27</t>
        </is>
      </c>
      <c r="V447" t="inlineStr">
        <is>
          <t>2009-02-27</t>
        </is>
      </c>
      <c r="W447" t="inlineStr">
        <is>
          <t>1993-05-27</t>
        </is>
      </c>
      <c r="X447" t="inlineStr">
        <is>
          <t>1993-05-27</t>
        </is>
      </c>
      <c r="Y447" t="n">
        <v>136</v>
      </c>
      <c r="Z447" t="n">
        <v>83</v>
      </c>
      <c r="AA447" t="n">
        <v>87</v>
      </c>
      <c r="AB447" t="n">
        <v>1</v>
      </c>
      <c r="AC447" t="n">
        <v>1</v>
      </c>
      <c r="AD447" t="n">
        <v>1</v>
      </c>
      <c r="AE447" t="n">
        <v>1</v>
      </c>
      <c r="AF447" t="n">
        <v>0</v>
      </c>
      <c r="AG447" t="n">
        <v>0</v>
      </c>
      <c r="AH447" t="n">
        <v>1</v>
      </c>
      <c r="AI447" t="n">
        <v>1</v>
      </c>
      <c r="AJ447" t="n">
        <v>1</v>
      </c>
      <c r="AK447" t="n">
        <v>1</v>
      </c>
      <c r="AL447" t="n">
        <v>0</v>
      </c>
      <c r="AM447" t="n">
        <v>0</v>
      </c>
      <c r="AN447" t="n">
        <v>0</v>
      </c>
      <c r="AO447" t="n">
        <v>0</v>
      </c>
      <c r="AP447" t="inlineStr">
        <is>
          <t>No</t>
        </is>
      </c>
      <c r="AQ447" t="inlineStr">
        <is>
          <t>Yes</t>
        </is>
      </c>
      <c r="AR447">
        <f>HYPERLINK("http://catalog.hathitrust.org/Record/000905227","HathiTrust Record")</f>
        <v/>
      </c>
      <c r="AS447">
        <f>HYPERLINK("https://creighton-primo.hosted.exlibrisgroup.com/primo-explore/search?tab=default_tab&amp;search_scope=EVERYTHING&amp;vid=01CRU&amp;lang=en_US&amp;offset=0&amp;query=any,contains,991001037989702656","Catalog Record")</f>
        <v/>
      </c>
      <c r="AT447">
        <f>HYPERLINK("http://www.worldcat.org/oclc/15550532","WorldCat Record")</f>
        <v/>
      </c>
      <c r="AU447" t="inlineStr">
        <is>
          <t>54942085:eng</t>
        </is>
      </c>
      <c r="AV447" t="inlineStr">
        <is>
          <t>15550532</t>
        </is>
      </c>
      <c r="AW447" t="inlineStr">
        <is>
          <t>991001037989702656</t>
        </is>
      </c>
      <c r="AX447" t="inlineStr">
        <is>
          <t>991001037989702656</t>
        </is>
      </c>
      <c r="AY447" t="inlineStr">
        <is>
          <t>2256314300002656</t>
        </is>
      </c>
      <c r="AZ447" t="inlineStr">
        <is>
          <t>BOOK</t>
        </is>
      </c>
      <c r="BB447" t="inlineStr">
        <is>
          <t>9780745802084</t>
        </is>
      </c>
      <c r="BC447" t="inlineStr">
        <is>
          <t>32285001687457</t>
        </is>
      </c>
      <c r="BD447" t="inlineStr">
        <is>
          <t>893327819</t>
        </is>
      </c>
    </row>
    <row r="448">
      <c r="A448" t="inlineStr">
        <is>
          <t>No</t>
        </is>
      </c>
      <c r="B448" t="inlineStr">
        <is>
          <t>QL506 .O78 1983</t>
        </is>
      </c>
      <c r="C448" t="inlineStr">
        <is>
          <t>0                      QL 0506000O  78          1983</t>
        </is>
      </c>
      <c r="D448" t="inlineStr">
        <is>
          <t>Orthopteran mating systems : sexual competition in a diverse group of insects / edited by Darryl T. Gwynne and Glenn K. Morris.</t>
        </is>
      </c>
      <c r="F448" t="inlineStr">
        <is>
          <t>No</t>
        </is>
      </c>
      <c r="G448" t="inlineStr">
        <is>
          <t>1</t>
        </is>
      </c>
      <c r="H448" t="inlineStr">
        <is>
          <t>No</t>
        </is>
      </c>
      <c r="I448" t="inlineStr">
        <is>
          <t>No</t>
        </is>
      </c>
      <c r="J448" t="inlineStr">
        <is>
          <t>0</t>
        </is>
      </c>
      <c r="L448" t="inlineStr">
        <is>
          <t>Boulder, Colo. : Westview Press, 1983.</t>
        </is>
      </c>
      <c r="M448" t="inlineStr">
        <is>
          <t>1983</t>
        </is>
      </c>
      <c r="O448" t="inlineStr">
        <is>
          <t>eng</t>
        </is>
      </c>
      <c r="P448" t="inlineStr">
        <is>
          <t>cou</t>
        </is>
      </c>
      <c r="Q448" t="inlineStr">
        <is>
          <t>A Westview science study</t>
        </is>
      </c>
      <c r="R448" t="inlineStr">
        <is>
          <t xml:space="preserve">QL </t>
        </is>
      </c>
      <c r="S448" t="n">
        <v>7</v>
      </c>
      <c r="T448" t="n">
        <v>7</v>
      </c>
      <c r="U448" t="inlineStr">
        <is>
          <t>2007-02-26</t>
        </is>
      </c>
      <c r="V448" t="inlineStr">
        <is>
          <t>2007-02-26</t>
        </is>
      </c>
      <c r="W448" t="inlineStr">
        <is>
          <t>1993-05-27</t>
        </is>
      </c>
      <c r="X448" t="inlineStr">
        <is>
          <t>1993-05-27</t>
        </is>
      </c>
      <c r="Y448" t="n">
        <v>173</v>
      </c>
      <c r="Z448" t="n">
        <v>127</v>
      </c>
      <c r="AA448" t="n">
        <v>131</v>
      </c>
      <c r="AB448" t="n">
        <v>2</v>
      </c>
      <c r="AC448" t="n">
        <v>2</v>
      </c>
      <c r="AD448" t="n">
        <v>4</v>
      </c>
      <c r="AE448" t="n">
        <v>4</v>
      </c>
      <c r="AF448" t="n">
        <v>1</v>
      </c>
      <c r="AG448" t="n">
        <v>1</v>
      </c>
      <c r="AH448" t="n">
        <v>2</v>
      </c>
      <c r="AI448" t="n">
        <v>2</v>
      </c>
      <c r="AJ448" t="n">
        <v>2</v>
      </c>
      <c r="AK448" t="n">
        <v>2</v>
      </c>
      <c r="AL448" t="n">
        <v>1</v>
      </c>
      <c r="AM448" t="n">
        <v>1</v>
      </c>
      <c r="AN448" t="n">
        <v>0</v>
      </c>
      <c r="AO448" t="n">
        <v>0</v>
      </c>
      <c r="AP448" t="inlineStr">
        <is>
          <t>No</t>
        </is>
      </c>
      <c r="AQ448" t="inlineStr">
        <is>
          <t>Yes</t>
        </is>
      </c>
      <c r="AR448">
        <f>HYPERLINK("http://catalog.hathitrust.org/Record/000229670","HathiTrust Record")</f>
        <v/>
      </c>
      <c r="AS448">
        <f>HYPERLINK("https://creighton-primo.hosted.exlibrisgroup.com/primo-explore/search?tab=default_tab&amp;search_scope=EVERYTHING&amp;vid=01CRU&amp;lang=en_US&amp;offset=0&amp;query=any,contains,991000161219702656","Catalog Record")</f>
        <v/>
      </c>
      <c r="AT448">
        <f>HYPERLINK("http://www.worldcat.org/oclc/9274647","WorldCat Record")</f>
        <v/>
      </c>
      <c r="AU448" t="inlineStr">
        <is>
          <t>796066173:eng</t>
        </is>
      </c>
      <c r="AV448" t="inlineStr">
        <is>
          <t>9274647</t>
        </is>
      </c>
      <c r="AW448" t="inlineStr">
        <is>
          <t>991000161219702656</t>
        </is>
      </c>
      <c r="AX448" t="inlineStr">
        <is>
          <t>991000161219702656</t>
        </is>
      </c>
      <c r="AY448" t="inlineStr">
        <is>
          <t>2265117230002656</t>
        </is>
      </c>
      <c r="AZ448" t="inlineStr">
        <is>
          <t>BOOK</t>
        </is>
      </c>
      <c r="BB448" t="inlineStr">
        <is>
          <t>9780865313910</t>
        </is>
      </c>
      <c r="BC448" t="inlineStr">
        <is>
          <t>32285001687465</t>
        </is>
      </c>
      <c r="BD448" t="inlineStr">
        <is>
          <t>893790301</t>
        </is>
      </c>
    </row>
    <row r="449">
      <c r="A449" t="inlineStr">
        <is>
          <t>No</t>
        </is>
      </c>
      <c r="B449" t="inlineStr">
        <is>
          <t>QL507.4.G7 M37 1988</t>
        </is>
      </c>
      <c r="C449" t="inlineStr">
        <is>
          <t>0                      QL 0507400G  7                  M  37          1988</t>
        </is>
      </c>
      <c r="D449" t="inlineStr">
        <is>
          <t>Grasshoppers and allied insects of Great Britain and Ireland / Judith A. Marshall &amp; E.C.M. Haes ; with colour plates and text figures by Denys Ovenden.</t>
        </is>
      </c>
      <c r="F449" t="inlineStr">
        <is>
          <t>No</t>
        </is>
      </c>
      <c r="G449" t="inlineStr">
        <is>
          <t>1</t>
        </is>
      </c>
      <c r="H449" t="inlineStr">
        <is>
          <t>No</t>
        </is>
      </c>
      <c r="I449" t="inlineStr">
        <is>
          <t>No</t>
        </is>
      </c>
      <c r="J449" t="inlineStr">
        <is>
          <t>0</t>
        </is>
      </c>
      <c r="K449" t="inlineStr">
        <is>
          <t>Marshall, Judith A.</t>
        </is>
      </c>
      <c r="L449" t="inlineStr">
        <is>
          <t>Essex : Harley, 1988.</t>
        </is>
      </c>
      <c r="M449" t="inlineStr">
        <is>
          <t>1988</t>
        </is>
      </c>
      <c r="O449" t="inlineStr">
        <is>
          <t>eng</t>
        </is>
      </c>
      <c r="P449" t="inlineStr">
        <is>
          <t>enk</t>
        </is>
      </c>
      <c r="R449" t="inlineStr">
        <is>
          <t xml:space="preserve">QL </t>
        </is>
      </c>
      <c r="S449" t="n">
        <v>3</v>
      </c>
      <c r="T449" t="n">
        <v>3</v>
      </c>
      <c r="U449" t="inlineStr">
        <is>
          <t>1994-10-04</t>
        </is>
      </c>
      <c r="V449" t="inlineStr">
        <is>
          <t>1994-10-04</t>
        </is>
      </c>
      <c r="W449" t="inlineStr">
        <is>
          <t>1990-01-09</t>
        </is>
      </c>
      <c r="X449" t="inlineStr">
        <is>
          <t>1990-01-09</t>
        </is>
      </c>
      <c r="Y449" t="n">
        <v>79</v>
      </c>
      <c r="Z449" t="n">
        <v>28</v>
      </c>
      <c r="AA449" t="n">
        <v>37</v>
      </c>
      <c r="AB449" t="n">
        <v>1</v>
      </c>
      <c r="AC449" t="n">
        <v>1</v>
      </c>
      <c r="AD449" t="n">
        <v>0</v>
      </c>
      <c r="AE449" t="n">
        <v>0</v>
      </c>
      <c r="AF449" t="n">
        <v>0</v>
      </c>
      <c r="AG449" t="n">
        <v>0</v>
      </c>
      <c r="AH449" t="n">
        <v>0</v>
      </c>
      <c r="AI449" t="n">
        <v>0</v>
      </c>
      <c r="AJ449" t="n">
        <v>0</v>
      </c>
      <c r="AK449" t="n">
        <v>0</v>
      </c>
      <c r="AL449" t="n">
        <v>0</v>
      </c>
      <c r="AM449" t="n">
        <v>0</v>
      </c>
      <c r="AN449" t="n">
        <v>0</v>
      </c>
      <c r="AO449" t="n">
        <v>0</v>
      </c>
      <c r="AP449" t="inlineStr">
        <is>
          <t>No</t>
        </is>
      </c>
      <c r="AQ449" t="inlineStr">
        <is>
          <t>Yes</t>
        </is>
      </c>
      <c r="AR449">
        <f>HYPERLINK("http://catalog.hathitrust.org/Record/008556083","HathiTrust Record")</f>
        <v/>
      </c>
      <c r="AS449">
        <f>HYPERLINK("https://creighton-primo.hosted.exlibrisgroup.com/primo-explore/search?tab=default_tab&amp;search_scope=EVERYTHING&amp;vid=01CRU&amp;lang=en_US&amp;offset=0&amp;query=any,contains,991001361319702656","Catalog Record")</f>
        <v/>
      </c>
      <c r="AT449">
        <f>HYPERLINK("http://www.worldcat.org/oclc/24430718","WorldCat Record")</f>
        <v/>
      </c>
      <c r="AU449" t="inlineStr">
        <is>
          <t>17619500:eng</t>
        </is>
      </c>
      <c r="AV449" t="inlineStr">
        <is>
          <t>24430718</t>
        </is>
      </c>
      <c r="AW449" t="inlineStr">
        <is>
          <t>991001361319702656</t>
        </is>
      </c>
      <c r="AX449" t="inlineStr">
        <is>
          <t>991001361319702656</t>
        </is>
      </c>
      <c r="AY449" t="inlineStr">
        <is>
          <t>2268180540002656</t>
        </is>
      </c>
      <c r="AZ449" t="inlineStr">
        <is>
          <t>BOOK</t>
        </is>
      </c>
      <c r="BB449" t="inlineStr">
        <is>
          <t>9780946589135</t>
        </is>
      </c>
      <c r="BC449" t="inlineStr">
        <is>
          <t>32285000026681</t>
        </is>
      </c>
      <c r="BD449" t="inlineStr">
        <is>
          <t>893778742</t>
        </is>
      </c>
    </row>
    <row r="450">
      <c r="A450" t="inlineStr">
        <is>
          <t>No</t>
        </is>
      </c>
      <c r="B450" t="inlineStr">
        <is>
          <t>QL507.4.S34 H6 1986</t>
        </is>
      </c>
      <c r="C450" t="inlineStr">
        <is>
          <t>0                      QL 0507400S  34                 H  6           1986</t>
        </is>
      </c>
      <c r="D450" t="inlineStr">
        <is>
          <t>The Saltatoria (bush-crickets, crickets and grasshoppers) of northern Europe / by Knud Th. Holst.</t>
        </is>
      </c>
      <c r="F450" t="inlineStr">
        <is>
          <t>No</t>
        </is>
      </c>
      <c r="G450" t="inlineStr">
        <is>
          <t>1</t>
        </is>
      </c>
      <c r="H450" t="inlineStr">
        <is>
          <t>No</t>
        </is>
      </c>
      <c r="I450" t="inlineStr">
        <is>
          <t>No</t>
        </is>
      </c>
      <c r="J450" t="inlineStr">
        <is>
          <t>0</t>
        </is>
      </c>
      <c r="K450" t="inlineStr">
        <is>
          <t>Holst, Knud Th.</t>
        </is>
      </c>
      <c r="L450" t="inlineStr">
        <is>
          <t>Leiden : E.J. Brill ; Copenhagen : Scandinavian Science Press, c1986.</t>
        </is>
      </c>
      <c r="M450" t="inlineStr">
        <is>
          <t>1986</t>
        </is>
      </c>
      <c r="O450" t="inlineStr">
        <is>
          <t>eng</t>
        </is>
      </c>
      <c r="P450" t="inlineStr">
        <is>
          <t xml:space="preserve">ne </t>
        </is>
      </c>
      <c r="Q450" t="inlineStr">
        <is>
          <t>Fauna entomologica Scandinavica, 0106-8377 ; v. 16</t>
        </is>
      </c>
      <c r="R450" t="inlineStr">
        <is>
          <t xml:space="preserve">QL </t>
        </is>
      </c>
      <c r="S450" t="n">
        <v>1</v>
      </c>
      <c r="T450" t="n">
        <v>1</v>
      </c>
      <c r="U450" t="inlineStr">
        <is>
          <t>2004-02-15</t>
        </is>
      </c>
      <c r="V450" t="inlineStr">
        <is>
          <t>2004-02-15</t>
        </is>
      </c>
      <c r="W450" t="inlineStr">
        <is>
          <t>1993-05-27</t>
        </is>
      </c>
      <c r="X450" t="inlineStr">
        <is>
          <t>1993-05-27</t>
        </is>
      </c>
      <c r="Y450" t="n">
        <v>54</v>
      </c>
      <c r="Z450" t="n">
        <v>35</v>
      </c>
      <c r="AA450" t="n">
        <v>36</v>
      </c>
      <c r="AB450" t="n">
        <v>1</v>
      </c>
      <c r="AC450" t="n">
        <v>1</v>
      </c>
      <c r="AD450" t="n">
        <v>0</v>
      </c>
      <c r="AE450" t="n">
        <v>0</v>
      </c>
      <c r="AF450" t="n">
        <v>0</v>
      </c>
      <c r="AG450" t="n">
        <v>0</v>
      </c>
      <c r="AH450" t="n">
        <v>0</v>
      </c>
      <c r="AI450" t="n">
        <v>0</v>
      </c>
      <c r="AJ450" t="n">
        <v>0</v>
      </c>
      <c r="AK450" t="n">
        <v>0</v>
      </c>
      <c r="AL450" t="n">
        <v>0</v>
      </c>
      <c r="AM450" t="n">
        <v>0</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HYPERLINK("https://creighton-primo.hosted.exlibrisgroup.com/primo-explore/search?tab=default_tab&amp;search_scope=EVERYTHING&amp;vid=01CRU&amp;lang=en_US&amp;offset=0&amp;query=any,contains,991000869819702656","Catalog Record")</f>
        <v/>
      </c>
      <c r="AT450">
        <f>HYPERLINK("http://www.worldcat.org/oclc/13786732","WorldCat Record")</f>
        <v/>
      </c>
      <c r="AU450" t="inlineStr">
        <is>
          <t>7686362:eng</t>
        </is>
      </c>
      <c r="AV450" t="inlineStr">
        <is>
          <t>13786732</t>
        </is>
      </c>
      <c r="AW450" t="inlineStr">
        <is>
          <t>991000869819702656</t>
        </is>
      </c>
      <c r="AX450" t="inlineStr">
        <is>
          <t>991000869819702656</t>
        </is>
      </c>
      <c r="AY450" t="inlineStr">
        <is>
          <t>2267818090002656</t>
        </is>
      </c>
      <c r="AZ450" t="inlineStr">
        <is>
          <t>BOOK</t>
        </is>
      </c>
      <c r="BB450" t="inlineStr">
        <is>
          <t>9789004078604</t>
        </is>
      </c>
      <c r="BC450" t="inlineStr">
        <is>
          <t>32285001687473</t>
        </is>
      </c>
      <c r="BD450" t="inlineStr">
        <is>
          <t>893720828</t>
        </is>
      </c>
    </row>
    <row r="451">
      <c r="A451" t="inlineStr">
        <is>
          <t>No</t>
        </is>
      </c>
      <c r="B451" t="inlineStr">
        <is>
          <t>QL507.7 .R46 1996</t>
        </is>
      </c>
      <c r="C451" t="inlineStr">
        <is>
          <t>0                      QL 0507700R  46          1996</t>
        </is>
      </c>
      <c r="D451" t="inlineStr">
        <is>
          <t>Grasshopper country : the abundant orthopteroid insects of Australia / D.C.F. Rentz.</t>
        </is>
      </c>
      <c r="F451" t="inlineStr">
        <is>
          <t>No</t>
        </is>
      </c>
      <c r="G451" t="inlineStr">
        <is>
          <t>1</t>
        </is>
      </c>
      <c r="H451" t="inlineStr">
        <is>
          <t>No</t>
        </is>
      </c>
      <c r="I451" t="inlineStr">
        <is>
          <t>No</t>
        </is>
      </c>
      <c r="J451" t="inlineStr">
        <is>
          <t>0</t>
        </is>
      </c>
      <c r="K451" t="inlineStr">
        <is>
          <t>Rentz, David C.</t>
        </is>
      </c>
      <c r="L451" t="inlineStr">
        <is>
          <t>Sydney, Australia : UNSW Press, 1996.</t>
        </is>
      </c>
      <c r="M451" t="inlineStr">
        <is>
          <t>1996</t>
        </is>
      </c>
      <c r="O451" t="inlineStr">
        <is>
          <t>eng</t>
        </is>
      </c>
      <c r="P451" t="inlineStr">
        <is>
          <t xml:space="preserve">at </t>
        </is>
      </c>
      <c r="R451" t="inlineStr">
        <is>
          <t xml:space="preserve">QL </t>
        </is>
      </c>
      <c r="S451" t="n">
        <v>9</v>
      </c>
      <c r="T451" t="n">
        <v>9</v>
      </c>
      <c r="U451" t="inlineStr">
        <is>
          <t>2009-02-27</t>
        </is>
      </c>
      <c r="V451" t="inlineStr">
        <is>
          <t>2009-02-27</t>
        </is>
      </c>
      <c r="W451" t="inlineStr">
        <is>
          <t>1997-02-25</t>
        </is>
      </c>
      <c r="X451" t="inlineStr">
        <is>
          <t>1997-02-25</t>
        </is>
      </c>
      <c r="Y451" t="n">
        <v>92</v>
      </c>
      <c r="Z451" t="n">
        <v>72</v>
      </c>
      <c r="AA451" t="n">
        <v>77</v>
      </c>
      <c r="AB451" t="n">
        <v>2</v>
      </c>
      <c r="AC451" t="n">
        <v>2</v>
      </c>
      <c r="AD451" t="n">
        <v>1</v>
      </c>
      <c r="AE451" t="n">
        <v>1</v>
      </c>
      <c r="AF451" t="n">
        <v>0</v>
      </c>
      <c r="AG451" t="n">
        <v>0</v>
      </c>
      <c r="AH451" t="n">
        <v>0</v>
      </c>
      <c r="AI451" t="n">
        <v>0</v>
      </c>
      <c r="AJ451" t="n">
        <v>0</v>
      </c>
      <c r="AK451" t="n">
        <v>0</v>
      </c>
      <c r="AL451" t="n">
        <v>1</v>
      </c>
      <c r="AM451" t="n">
        <v>1</v>
      </c>
      <c r="AN451" t="n">
        <v>0</v>
      </c>
      <c r="AO451" t="n">
        <v>0</v>
      </c>
      <c r="AP451" t="inlineStr">
        <is>
          <t>No</t>
        </is>
      </c>
      <c r="AQ451" t="inlineStr">
        <is>
          <t>No</t>
        </is>
      </c>
      <c r="AS451">
        <f>HYPERLINK("https://creighton-primo.hosted.exlibrisgroup.com/primo-explore/search?tab=default_tab&amp;search_scope=EVERYTHING&amp;vid=01CRU&amp;lang=en_US&amp;offset=0&amp;query=any,contains,991002716789702656","Catalog Record")</f>
        <v/>
      </c>
      <c r="AT451">
        <f>HYPERLINK("http://www.worldcat.org/oclc/35636469","WorldCat Record")</f>
        <v/>
      </c>
      <c r="AU451" t="inlineStr">
        <is>
          <t>51677040:eng</t>
        </is>
      </c>
      <c r="AV451" t="inlineStr">
        <is>
          <t>35636469</t>
        </is>
      </c>
      <c r="AW451" t="inlineStr">
        <is>
          <t>991002716789702656</t>
        </is>
      </c>
      <c r="AX451" t="inlineStr">
        <is>
          <t>991002716789702656</t>
        </is>
      </c>
      <c r="AY451" t="inlineStr">
        <is>
          <t>2267178880002656</t>
        </is>
      </c>
      <c r="AZ451" t="inlineStr">
        <is>
          <t>BOOK</t>
        </is>
      </c>
      <c r="BB451" t="inlineStr">
        <is>
          <t>9780868400631</t>
        </is>
      </c>
      <c r="BC451" t="inlineStr">
        <is>
          <t>32285002433299</t>
        </is>
      </c>
      <c r="BD451" t="inlineStr">
        <is>
          <t>893227195</t>
        </is>
      </c>
    </row>
    <row r="452">
      <c r="A452" t="inlineStr">
        <is>
          <t>No</t>
        </is>
      </c>
      <c r="B452" t="inlineStr">
        <is>
          <t>QL508.A2 B43</t>
        </is>
      </c>
      <c r="C452" t="inlineStr">
        <is>
          <t>0                      QL 0508000A  2                  B  43</t>
        </is>
      </c>
      <c r="D452" t="inlineStr">
        <is>
          <t>Locusts and grasshoppers of the U.S.S.R. and adjacent countries. (Saranchevye fauny SSSR i sopredelʹnykh stran) [by] G.Ya. Bei-Bienko and L.L. Mishchenko. Translated from Russian [and edited by IPST staff].</t>
        </is>
      </c>
      <c r="E452" t="inlineStr">
        <is>
          <t>V.1</t>
        </is>
      </c>
      <c r="F452" t="inlineStr">
        <is>
          <t>Yes</t>
        </is>
      </c>
      <c r="G452" t="inlineStr">
        <is>
          <t>1</t>
        </is>
      </c>
      <c r="H452" t="inlineStr">
        <is>
          <t>No</t>
        </is>
      </c>
      <c r="I452" t="inlineStr">
        <is>
          <t>No</t>
        </is>
      </c>
      <c r="J452" t="inlineStr">
        <is>
          <t>0</t>
        </is>
      </c>
      <c r="K452" t="inlineStr">
        <is>
          <t>Beĭ-Bienko, G. I︠A︡. (Grigoriĭ I︠A︡kovlevich), 1903-1971.</t>
        </is>
      </c>
      <c r="L452" t="inlineStr">
        <is>
          <t>Jerusalem, Israel Program for Scientific Translations; [available from the Office of Technical Services, U.S. Dept. of Commerce, Washington] 1963-64.</t>
        </is>
      </c>
      <c r="M452" t="inlineStr">
        <is>
          <t>1963</t>
        </is>
      </c>
      <c r="O452" t="inlineStr">
        <is>
          <t>eng</t>
        </is>
      </c>
      <c r="P452" t="inlineStr">
        <is>
          <t xml:space="preserve">is </t>
        </is>
      </c>
      <c r="R452" t="inlineStr">
        <is>
          <t xml:space="preserve">QL </t>
        </is>
      </c>
      <c r="S452" t="n">
        <v>0</v>
      </c>
      <c r="T452" t="n">
        <v>1</v>
      </c>
      <c r="V452" t="inlineStr">
        <is>
          <t>2005-02-26</t>
        </is>
      </c>
      <c r="W452" t="inlineStr">
        <is>
          <t>1997-07-24</t>
        </is>
      </c>
      <c r="X452" t="inlineStr">
        <is>
          <t>1997-07-24</t>
        </is>
      </c>
      <c r="Y452" t="n">
        <v>212</v>
      </c>
      <c r="Z452" t="n">
        <v>174</v>
      </c>
      <c r="AA452" t="n">
        <v>189</v>
      </c>
      <c r="AB452" t="n">
        <v>2</v>
      </c>
      <c r="AC452" t="n">
        <v>2</v>
      </c>
      <c r="AD452" t="n">
        <v>5</v>
      </c>
      <c r="AE452" t="n">
        <v>5</v>
      </c>
      <c r="AF452" t="n">
        <v>0</v>
      </c>
      <c r="AG452" t="n">
        <v>0</v>
      </c>
      <c r="AH452" t="n">
        <v>1</v>
      </c>
      <c r="AI452" t="n">
        <v>1</v>
      </c>
      <c r="AJ452" t="n">
        <v>3</v>
      </c>
      <c r="AK452" t="n">
        <v>3</v>
      </c>
      <c r="AL452" t="n">
        <v>1</v>
      </c>
      <c r="AM452" t="n">
        <v>1</v>
      </c>
      <c r="AN452" t="n">
        <v>0</v>
      </c>
      <c r="AO452" t="n">
        <v>0</v>
      </c>
      <c r="AP452" t="inlineStr">
        <is>
          <t>No</t>
        </is>
      </c>
      <c r="AQ452" t="inlineStr">
        <is>
          <t>Yes</t>
        </is>
      </c>
      <c r="AR452">
        <f>HYPERLINK("http://catalog.hathitrust.org/Record/001500190","HathiTrust Record")</f>
        <v/>
      </c>
      <c r="AS452">
        <f>HYPERLINK("https://creighton-primo.hosted.exlibrisgroup.com/primo-explore/search?tab=default_tab&amp;search_scope=EVERYTHING&amp;vid=01CRU&amp;lang=en_US&amp;offset=0&amp;query=any,contains,991000730589702656","Catalog Record")</f>
        <v/>
      </c>
      <c r="AT452">
        <f>HYPERLINK("http://www.worldcat.org/oclc/12723704","WorldCat Record")</f>
        <v/>
      </c>
      <c r="AU452" t="inlineStr">
        <is>
          <t>3372157948:eng</t>
        </is>
      </c>
      <c r="AV452" t="inlineStr">
        <is>
          <t>12723704</t>
        </is>
      </c>
      <c r="AW452" t="inlineStr">
        <is>
          <t>991000730589702656</t>
        </is>
      </c>
      <c r="AX452" t="inlineStr">
        <is>
          <t>991000730589702656</t>
        </is>
      </c>
      <c r="AY452" t="inlineStr">
        <is>
          <t>2268758750002656</t>
        </is>
      </c>
      <c r="AZ452" t="inlineStr">
        <is>
          <t>BOOK</t>
        </is>
      </c>
      <c r="BC452" t="inlineStr">
        <is>
          <t>32285002980950</t>
        </is>
      </c>
      <c r="BD452" t="inlineStr">
        <is>
          <t>893255681</t>
        </is>
      </c>
    </row>
    <row r="453">
      <c r="A453" t="inlineStr">
        <is>
          <t>No</t>
        </is>
      </c>
      <c r="B453" t="inlineStr">
        <is>
          <t>QL508.A2 B43</t>
        </is>
      </c>
      <c r="C453" t="inlineStr">
        <is>
          <t>0                      QL 0508000A  2                  B  43</t>
        </is>
      </c>
      <c r="D453" t="inlineStr">
        <is>
          <t>Locusts and grasshoppers of the U.S.S.R. and adjacent countries. (Saranchevye fauny SSSR i sopredelʹnykh stran) [by] G.Ya. Bei-Bienko and L.L. Mishchenko. Translated from Russian [and edited by IPST staff].</t>
        </is>
      </c>
      <c r="E453" t="inlineStr">
        <is>
          <t>V.2</t>
        </is>
      </c>
      <c r="F453" t="inlineStr">
        <is>
          <t>Yes</t>
        </is>
      </c>
      <c r="G453" t="inlineStr">
        <is>
          <t>1</t>
        </is>
      </c>
      <c r="H453" t="inlineStr">
        <is>
          <t>No</t>
        </is>
      </c>
      <c r="I453" t="inlineStr">
        <is>
          <t>No</t>
        </is>
      </c>
      <c r="J453" t="inlineStr">
        <is>
          <t>0</t>
        </is>
      </c>
      <c r="K453" t="inlineStr">
        <is>
          <t>Beĭ-Bienko, G. I︠A︡. (Grigoriĭ I︠A︡kovlevich), 1903-1971.</t>
        </is>
      </c>
      <c r="L453" t="inlineStr">
        <is>
          <t>Jerusalem, Israel Program for Scientific Translations; [available from the Office of Technical Services, U.S. Dept. of Commerce, Washington] 1963-64.</t>
        </is>
      </c>
      <c r="M453" t="inlineStr">
        <is>
          <t>1963</t>
        </is>
      </c>
      <c r="O453" t="inlineStr">
        <is>
          <t>eng</t>
        </is>
      </c>
      <c r="P453" t="inlineStr">
        <is>
          <t xml:space="preserve">is </t>
        </is>
      </c>
      <c r="R453" t="inlineStr">
        <is>
          <t xml:space="preserve">QL </t>
        </is>
      </c>
      <c r="S453" t="n">
        <v>1</v>
      </c>
      <c r="T453" t="n">
        <v>1</v>
      </c>
      <c r="U453" t="inlineStr">
        <is>
          <t>2005-02-26</t>
        </is>
      </c>
      <c r="V453" t="inlineStr">
        <is>
          <t>2005-02-26</t>
        </is>
      </c>
      <c r="W453" t="inlineStr">
        <is>
          <t>1997-07-24</t>
        </is>
      </c>
      <c r="X453" t="inlineStr">
        <is>
          <t>1997-07-24</t>
        </is>
      </c>
      <c r="Y453" t="n">
        <v>212</v>
      </c>
      <c r="Z453" t="n">
        <v>174</v>
      </c>
      <c r="AA453" t="n">
        <v>189</v>
      </c>
      <c r="AB453" t="n">
        <v>2</v>
      </c>
      <c r="AC453" t="n">
        <v>2</v>
      </c>
      <c r="AD453" t="n">
        <v>5</v>
      </c>
      <c r="AE453" t="n">
        <v>5</v>
      </c>
      <c r="AF453" t="n">
        <v>0</v>
      </c>
      <c r="AG453" t="n">
        <v>0</v>
      </c>
      <c r="AH453" t="n">
        <v>1</v>
      </c>
      <c r="AI453" t="n">
        <v>1</v>
      </c>
      <c r="AJ453" t="n">
        <v>3</v>
      </c>
      <c r="AK453" t="n">
        <v>3</v>
      </c>
      <c r="AL453" t="n">
        <v>1</v>
      </c>
      <c r="AM453" t="n">
        <v>1</v>
      </c>
      <c r="AN453" t="n">
        <v>0</v>
      </c>
      <c r="AO453" t="n">
        <v>0</v>
      </c>
      <c r="AP453" t="inlineStr">
        <is>
          <t>No</t>
        </is>
      </c>
      <c r="AQ453" t="inlineStr">
        <is>
          <t>Yes</t>
        </is>
      </c>
      <c r="AR453">
        <f>HYPERLINK("http://catalog.hathitrust.org/Record/001500190","HathiTrust Record")</f>
        <v/>
      </c>
      <c r="AS453">
        <f>HYPERLINK("https://creighton-primo.hosted.exlibrisgroup.com/primo-explore/search?tab=default_tab&amp;search_scope=EVERYTHING&amp;vid=01CRU&amp;lang=en_US&amp;offset=0&amp;query=any,contains,991000730589702656","Catalog Record")</f>
        <v/>
      </c>
      <c r="AT453">
        <f>HYPERLINK("http://www.worldcat.org/oclc/12723704","WorldCat Record")</f>
        <v/>
      </c>
      <c r="AU453" t="inlineStr">
        <is>
          <t>3372157948:eng</t>
        </is>
      </c>
      <c r="AV453" t="inlineStr">
        <is>
          <t>12723704</t>
        </is>
      </c>
      <c r="AW453" t="inlineStr">
        <is>
          <t>991000730589702656</t>
        </is>
      </c>
      <c r="AX453" t="inlineStr">
        <is>
          <t>991000730589702656</t>
        </is>
      </c>
      <c r="AY453" t="inlineStr">
        <is>
          <t>2268758750002656</t>
        </is>
      </c>
      <c r="AZ453" t="inlineStr">
        <is>
          <t>BOOK</t>
        </is>
      </c>
      <c r="BC453" t="inlineStr">
        <is>
          <t>32285002980968</t>
        </is>
      </c>
      <c r="BD453" t="inlineStr">
        <is>
          <t>893237563</t>
        </is>
      </c>
    </row>
    <row r="454">
      <c r="A454" t="inlineStr">
        <is>
          <t>No</t>
        </is>
      </c>
      <c r="B454" t="inlineStr">
        <is>
          <t>QL508.A2 B55 1990</t>
        </is>
      </c>
      <c r="C454" t="inlineStr">
        <is>
          <t>0                      QL 0508000A  2                  B  55          1990</t>
        </is>
      </c>
      <c r="D454" t="inlineStr">
        <is>
          <t>Biology of grasshoppers / edited by R.F. Chapman, A. Joern.</t>
        </is>
      </c>
      <c r="F454" t="inlineStr">
        <is>
          <t>No</t>
        </is>
      </c>
      <c r="G454" t="inlineStr">
        <is>
          <t>1</t>
        </is>
      </c>
      <c r="H454" t="inlineStr">
        <is>
          <t>No</t>
        </is>
      </c>
      <c r="I454" t="inlineStr">
        <is>
          <t>No</t>
        </is>
      </c>
      <c r="J454" t="inlineStr">
        <is>
          <t>0</t>
        </is>
      </c>
      <c r="L454" t="inlineStr">
        <is>
          <t>New York : Wiley, c1990.</t>
        </is>
      </c>
      <c r="M454" t="inlineStr">
        <is>
          <t>1990</t>
        </is>
      </c>
      <c r="O454" t="inlineStr">
        <is>
          <t>eng</t>
        </is>
      </c>
      <c r="P454" t="inlineStr">
        <is>
          <t>nyu</t>
        </is>
      </c>
      <c r="R454" t="inlineStr">
        <is>
          <t xml:space="preserve">QL </t>
        </is>
      </c>
      <c r="S454" t="n">
        <v>10</v>
      </c>
      <c r="T454" t="n">
        <v>10</v>
      </c>
      <c r="U454" t="inlineStr">
        <is>
          <t>2009-02-26</t>
        </is>
      </c>
      <c r="V454" t="inlineStr">
        <is>
          <t>2009-02-26</t>
        </is>
      </c>
      <c r="W454" t="inlineStr">
        <is>
          <t>1990-11-05</t>
        </is>
      </c>
      <c r="X454" t="inlineStr">
        <is>
          <t>1990-11-05</t>
        </is>
      </c>
      <c r="Y454" t="n">
        <v>399</v>
      </c>
      <c r="Z454" t="n">
        <v>292</v>
      </c>
      <c r="AA454" t="n">
        <v>293</v>
      </c>
      <c r="AB454" t="n">
        <v>1</v>
      </c>
      <c r="AC454" t="n">
        <v>1</v>
      </c>
      <c r="AD454" t="n">
        <v>10</v>
      </c>
      <c r="AE454" t="n">
        <v>10</v>
      </c>
      <c r="AF454" t="n">
        <v>4</v>
      </c>
      <c r="AG454" t="n">
        <v>4</v>
      </c>
      <c r="AH454" t="n">
        <v>3</v>
      </c>
      <c r="AI454" t="n">
        <v>3</v>
      </c>
      <c r="AJ454" t="n">
        <v>7</v>
      </c>
      <c r="AK454" t="n">
        <v>7</v>
      </c>
      <c r="AL454" t="n">
        <v>0</v>
      </c>
      <c r="AM454" t="n">
        <v>0</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HYPERLINK("https://creighton-primo.hosted.exlibrisgroup.com/primo-explore/search?tab=default_tab&amp;search_scope=EVERYTHING&amp;vid=01CRU&amp;lang=en_US&amp;offset=0&amp;query=any,contains,991001557939702656","Catalog Record")</f>
        <v/>
      </c>
      <c r="AT454">
        <f>HYPERLINK("http://www.worldcat.org/oclc/20294837","WorldCat Record")</f>
        <v/>
      </c>
      <c r="AU454" t="inlineStr">
        <is>
          <t>349960533:eng</t>
        </is>
      </c>
      <c r="AV454" t="inlineStr">
        <is>
          <t>20294837</t>
        </is>
      </c>
      <c r="AW454" t="inlineStr">
        <is>
          <t>991001557939702656</t>
        </is>
      </c>
      <c r="AX454" t="inlineStr">
        <is>
          <t>991001557939702656</t>
        </is>
      </c>
      <c r="AY454" t="inlineStr">
        <is>
          <t>2260068030002656</t>
        </is>
      </c>
      <c r="AZ454" t="inlineStr">
        <is>
          <t>BOOK</t>
        </is>
      </c>
      <c r="BB454" t="inlineStr">
        <is>
          <t>9780471609018</t>
        </is>
      </c>
      <c r="BC454" t="inlineStr">
        <is>
          <t>32285000313311</t>
        </is>
      </c>
      <c r="BD454" t="inlineStr">
        <is>
          <t>893602676</t>
        </is>
      </c>
    </row>
    <row r="455">
      <c r="A455" t="inlineStr">
        <is>
          <t>No</t>
        </is>
      </c>
      <c r="B455" t="inlineStr">
        <is>
          <t>QL508.A2 C25 2004</t>
        </is>
      </c>
      <c r="C455" t="inlineStr">
        <is>
          <t>0                      QL 0508000A  2                  C  25          2004</t>
        </is>
      </c>
      <c r="D455" t="inlineStr">
        <is>
          <t>Field guide to grasshoppers, katydids, and crickets of the United States / John L. Capinera, Ralph D. Scott, and Thomas J. Walker.</t>
        </is>
      </c>
      <c r="F455" t="inlineStr">
        <is>
          <t>No</t>
        </is>
      </c>
      <c r="G455" t="inlineStr">
        <is>
          <t>1</t>
        </is>
      </c>
      <c r="H455" t="inlineStr">
        <is>
          <t>No</t>
        </is>
      </c>
      <c r="I455" t="inlineStr">
        <is>
          <t>No</t>
        </is>
      </c>
      <c r="J455" t="inlineStr">
        <is>
          <t>0</t>
        </is>
      </c>
      <c r="K455" t="inlineStr">
        <is>
          <t>Capinera, John L.</t>
        </is>
      </c>
      <c r="L455" t="inlineStr">
        <is>
          <t>Ithaca, N.Y. : Comstock Pub. Associates/Cornell University Press, 2004.</t>
        </is>
      </c>
      <c r="M455" t="inlineStr">
        <is>
          <t>2004</t>
        </is>
      </c>
      <c r="O455" t="inlineStr">
        <is>
          <t>eng</t>
        </is>
      </c>
      <c r="P455" t="inlineStr">
        <is>
          <t>nyu</t>
        </is>
      </c>
      <c r="R455" t="inlineStr">
        <is>
          <t xml:space="preserve">QL </t>
        </is>
      </c>
      <c r="S455" t="n">
        <v>5</v>
      </c>
      <c r="T455" t="n">
        <v>5</v>
      </c>
      <c r="U455" t="inlineStr">
        <is>
          <t>2007-02-25</t>
        </is>
      </c>
      <c r="V455" t="inlineStr">
        <is>
          <t>2007-02-25</t>
        </is>
      </c>
      <c r="W455" t="inlineStr">
        <is>
          <t>2005-05-19</t>
        </is>
      </c>
      <c r="X455" t="inlineStr">
        <is>
          <t>2005-05-19</t>
        </is>
      </c>
      <c r="Y455" t="n">
        <v>870</v>
      </c>
      <c r="Z455" t="n">
        <v>849</v>
      </c>
      <c r="AA455" t="n">
        <v>874</v>
      </c>
      <c r="AB455" t="n">
        <v>7</v>
      </c>
      <c r="AC455" t="n">
        <v>7</v>
      </c>
      <c r="AD455" t="n">
        <v>21</v>
      </c>
      <c r="AE455" t="n">
        <v>21</v>
      </c>
      <c r="AF455" t="n">
        <v>9</v>
      </c>
      <c r="AG455" t="n">
        <v>9</v>
      </c>
      <c r="AH455" t="n">
        <v>4</v>
      </c>
      <c r="AI455" t="n">
        <v>4</v>
      </c>
      <c r="AJ455" t="n">
        <v>7</v>
      </c>
      <c r="AK455" t="n">
        <v>7</v>
      </c>
      <c r="AL455" t="n">
        <v>5</v>
      </c>
      <c r="AM455" t="n">
        <v>5</v>
      </c>
      <c r="AN455" t="n">
        <v>0</v>
      </c>
      <c r="AO455" t="n">
        <v>0</v>
      </c>
      <c r="AP455" t="inlineStr">
        <is>
          <t>No</t>
        </is>
      </c>
      <c r="AQ455" t="inlineStr">
        <is>
          <t>Yes</t>
        </is>
      </c>
      <c r="AR455">
        <f>HYPERLINK("http://catalog.hathitrust.org/Record/004948283","HathiTrust Record")</f>
        <v/>
      </c>
      <c r="AS455">
        <f>HYPERLINK("https://creighton-primo.hosted.exlibrisgroup.com/primo-explore/search?tab=default_tab&amp;search_scope=EVERYTHING&amp;vid=01CRU&amp;lang=en_US&amp;offset=0&amp;query=any,contains,991004531559702656","Catalog Record")</f>
        <v/>
      </c>
      <c r="AT455">
        <f>HYPERLINK("http://www.worldcat.org/oclc/55138832","WorldCat Record")</f>
        <v/>
      </c>
      <c r="AU455" t="inlineStr">
        <is>
          <t>885906:eng</t>
        </is>
      </c>
      <c r="AV455" t="inlineStr">
        <is>
          <t>55138832</t>
        </is>
      </c>
      <c r="AW455" t="inlineStr">
        <is>
          <t>991004531559702656</t>
        </is>
      </c>
      <c r="AX455" t="inlineStr">
        <is>
          <t>991004531559702656</t>
        </is>
      </c>
      <c r="AY455" t="inlineStr">
        <is>
          <t>2264497340002656</t>
        </is>
      </c>
      <c r="AZ455" t="inlineStr">
        <is>
          <t>BOOK</t>
        </is>
      </c>
      <c r="BB455" t="inlineStr">
        <is>
          <t>9780801442605</t>
        </is>
      </c>
      <c r="BC455" t="inlineStr">
        <is>
          <t>32285005038350</t>
        </is>
      </c>
      <c r="BD455" t="inlineStr">
        <is>
          <t>893325476</t>
        </is>
      </c>
    </row>
    <row r="456">
      <c r="A456" t="inlineStr">
        <is>
          <t>No</t>
        </is>
      </c>
      <c r="B456" t="inlineStr">
        <is>
          <t>QL508.A2 O88 1981, v...</t>
        </is>
      </c>
      <c r="C456" t="inlineStr">
        <is>
          <t>0                      QL 0508000A  2                  O  88          1981                  v...</t>
        </is>
      </c>
      <c r="D456" t="inlineStr">
        <is>
          <t>The North American grasshoppers / Daniel Otte.</t>
        </is>
      </c>
      <c r="E456" t="inlineStr">
        <is>
          <t>V.2</t>
        </is>
      </c>
      <c r="F456" t="inlineStr">
        <is>
          <t>Yes</t>
        </is>
      </c>
      <c r="G456" t="inlineStr">
        <is>
          <t>1</t>
        </is>
      </c>
      <c r="H456" t="inlineStr">
        <is>
          <t>No</t>
        </is>
      </c>
      <c r="I456" t="inlineStr">
        <is>
          <t>No</t>
        </is>
      </c>
      <c r="J456" t="inlineStr">
        <is>
          <t>0</t>
        </is>
      </c>
      <c r="K456" t="inlineStr">
        <is>
          <t>Otte, Daniel.</t>
        </is>
      </c>
      <c r="L456" t="inlineStr">
        <is>
          <t>Cambridge, Mass. : Harvard University Press, 1981-</t>
        </is>
      </c>
      <c r="M456" t="inlineStr">
        <is>
          <t>1981</t>
        </is>
      </c>
      <c r="O456" t="inlineStr">
        <is>
          <t>eng</t>
        </is>
      </c>
      <c r="P456" t="inlineStr">
        <is>
          <t>mau</t>
        </is>
      </c>
      <c r="R456" t="inlineStr">
        <is>
          <t xml:space="preserve">QL </t>
        </is>
      </c>
      <c r="S456" t="n">
        <v>7</v>
      </c>
      <c r="T456" t="n">
        <v>18</v>
      </c>
      <c r="U456" t="inlineStr">
        <is>
          <t>1998-06-02</t>
        </is>
      </c>
      <c r="V456" t="inlineStr">
        <is>
          <t>2009-02-26</t>
        </is>
      </c>
      <c r="W456" t="inlineStr">
        <is>
          <t>1990-07-03</t>
        </is>
      </c>
      <c r="X456" t="inlineStr">
        <is>
          <t>1990-07-03</t>
        </is>
      </c>
      <c r="Y456" t="n">
        <v>438</v>
      </c>
      <c r="Z456" t="n">
        <v>388</v>
      </c>
      <c r="AA456" t="n">
        <v>390</v>
      </c>
      <c r="AB456" t="n">
        <v>5</v>
      </c>
      <c r="AC456" t="n">
        <v>5</v>
      </c>
      <c r="AD456" t="n">
        <v>14</v>
      </c>
      <c r="AE456" t="n">
        <v>14</v>
      </c>
      <c r="AF456" t="n">
        <v>5</v>
      </c>
      <c r="AG456" t="n">
        <v>5</v>
      </c>
      <c r="AH456" t="n">
        <v>3</v>
      </c>
      <c r="AI456" t="n">
        <v>3</v>
      </c>
      <c r="AJ456" t="n">
        <v>6</v>
      </c>
      <c r="AK456" t="n">
        <v>6</v>
      </c>
      <c r="AL456" t="n">
        <v>4</v>
      </c>
      <c r="AM456" t="n">
        <v>4</v>
      </c>
      <c r="AN456" t="n">
        <v>0</v>
      </c>
      <c r="AO456" t="n">
        <v>0</v>
      </c>
      <c r="AP456" t="inlineStr">
        <is>
          <t>No</t>
        </is>
      </c>
      <c r="AQ456" t="inlineStr">
        <is>
          <t>Yes</t>
        </is>
      </c>
      <c r="AR456">
        <f>HYPERLINK("http://catalog.hathitrust.org/Record/000764371","HathiTrust Record")</f>
        <v/>
      </c>
      <c r="AS456">
        <f>HYPERLINK("https://creighton-primo.hosted.exlibrisgroup.com/primo-explore/search?tab=default_tab&amp;search_scope=EVERYTHING&amp;vid=01CRU&amp;lang=en_US&amp;offset=0&amp;query=any,contains,991005146249702656","Catalog Record")</f>
        <v/>
      </c>
      <c r="AT456">
        <f>HYPERLINK("http://www.worldcat.org/oclc/7671542","WorldCat Record")</f>
        <v/>
      </c>
      <c r="AU456" t="inlineStr">
        <is>
          <t>430139:eng</t>
        </is>
      </c>
      <c r="AV456" t="inlineStr">
        <is>
          <t>7671542</t>
        </is>
      </c>
      <c r="AW456" t="inlineStr">
        <is>
          <t>991005146249702656</t>
        </is>
      </c>
      <c r="AX456" t="inlineStr">
        <is>
          <t>991005146249702656</t>
        </is>
      </c>
      <c r="AY456" t="inlineStr">
        <is>
          <t>2272612140002656</t>
        </is>
      </c>
      <c r="AZ456" t="inlineStr">
        <is>
          <t>BOOK</t>
        </is>
      </c>
      <c r="BB456" t="inlineStr">
        <is>
          <t>9780674626607</t>
        </is>
      </c>
      <c r="BC456" t="inlineStr">
        <is>
          <t>32285000225200</t>
        </is>
      </c>
      <c r="BD456" t="inlineStr">
        <is>
          <t>893507684</t>
        </is>
      </c>
    </row>
    <row r="457">
      <c r="A457" t="inlineStr">
        <is>
          <t>No</t>
        </is>
      </c>
      <c r="B457" t="inlineStr">
        <is>
          <t>QL508.B6 G88 1968</t>
        </is>
      </c>
      <c r="C457" t="inlineStr">
        <is>
          <t>0                      QL 0508000B  6                  G  88          1968</t>
        </is>
      </c>
      <c r="D457" t="inlineStr">
        <is>
          <t>The biology of the cockroach / [by] D. M. Guthrie [and] A. R. Tindall.</t>
        </is>
      </c>
      <c r="F457" t="inlineStr">
        <is>
          <t>No</t>
        </is>
      </c>
      <c r="G457" t="inlineStr">
        <is>
          <t>1</t>
        </is>
      </c>
      <c r="H457" t="inlineStr">
        <is>
          <t>No</t>
        </is>
      </c>
      <c r="I457" t="inlineStr">
        <is>
          <t>No</t>
        </is>
      </c>
      <c r="J457" t="inlineStr">
        <is>
          <t>0</t>
        </is>
      </c>
      <c r="K457" t="inlineStr">
        <is>
          <t>Guthrie, D. M. (David Maltby)</t>
        </is>
      </c>
      <c r="L457" t="inlineStr">
        <is>
          <t>New York : St. Martin's Press, 1968.</t>
        </is>
      </c>
      <c r="M457" t="inlineStr">
        <is>
          <t>1968</t>
        </is>
      </c>
      <c r="O457" t="inlineStr">
        <is>
          <t>eng</t>
        </is>
      </c>
      <c r="P457" t="inlineStr">
        <is>
          <t>nyu</t>
        </is>
      </c>
      <c r="R457" t="inlineStr">
        <is>
          <t xml:space="preserve">QL </t>
        </is>
      </c>
      <c r="S457" t="n">
        <v>14</v>
      </c>
      <c r="T457" t="n">
        <v>14</v>
      </c>
      <c r="U457" t="inlineStr">
        <is>
          <t>2007-02-18</t>
        </is>
      </c>
      <c r="V457" t="inlineStr">
        <is>
          <t>2007-02-18</t>
        </is>
      </c>
      <c r="W457" t="inlineStr">
        <is>
          <t>1992-11-02</t>
        </is>
      </c>
      <c r="X457" t="inlineStr">
        <is>
          <t>1992-11-02</t>
        </is>
      </c>
      <c r="Y457" t="n">
        <v>278</v>
      </c>
      <c r="Z457" t="n">
        <v>268</v>
      </c>
      <c r="AA457" t="n">
        <v>488</v>
      </c>
      <c r="AB457" t="n">
        <v>5</v>
      </c>
      <c r="AC457" t="n">
        <v>5</v>
      </c>
      <c r="AD457" t="n">
        <v>12</v>
      </c>
      <c r="AE457" t="n">
        <v>26</v>
      </c>
      <c r="AF457" t="n">
        <v>2</v>
      </c>
      <c r="AG457" t="n">
        <v>9</v>
      </c>
      <c r="AH457" t="n">
        <v>3</v>
      </c>
      <c r="AI457" t="n">
        <v>6</v>
      </c>
      <c r="AJ457" t="n">
        <v>5</v>
      </c>
      <c r="AK457" t="n">
        <v>14</v>
      </c>
      <c r="AL457" t="n">
        <v>4</v>
      </c>
      <c r="AM457" t="n">
        <v>4</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HYPERLINK("https://creighton-primo.hosted.exlibrisgroup.com/primo-explore/search?tab=default_tab&amp;search_scope=EVERYTHING&amp;vid=01CRU&amp;lang=en_US&amp;offset=0&amp;query=any,contains,991002802599702656","Catalog Record")</f>
        <v/>
      </c>
      <c r="AT457">
        <f>HYPERLINK("http://www.worldcat.org/oclc/448240","WorldCat Record")</f>
        <v/>
      </c>
      <c r="AU457" t="inlineStr">
        <is>
          <t>1287110:eng</t>
        </is>
      </c>
      <c r="AV457" t="inlineStr">
        <is>
          <t>448240</t>
        </is>
      </c>
      <c r="AW457" t="inlineStr">
        <is>
          <t>991002802599702656</t>
        </is>
      </c>
      <c r="AX457" t="inlineStr">
        <is>
          <t>991002802599702656</t>
        </is>
      </c>
      <c r="AY457" t="inlineStr">
        <is>
          <t>2266642740002656</t>
        </is>
      </c>
      <c r="AZ457" t="inlineStr">
        <is>
          <t>BOOK</t>
        </is>
      </c>
      <c r="BC457" t="inlineStr">
        <is>
          <t>32285001379758</t>
        </is>
      </c>
      <c r="BD457" t="inlineStr">
        <is>
          <t>893716928</t>
        </is>
      </c>
    </row>
    <row r="458">
      <c r="A458" t="inlineStr">
        <is>
          <t>No</t>
        </is>
      </c>
      <c r="B458" t="inlineStr">
        <is>
          <t>QL508.M4 P7 1999</t>
        </is>
      </c>
      <c r="C458" t="inlineStr">
        <is>
          <t>0                      QL 0508000M  4                  P  7           1999</t>
        </is>
      </c>
      <c r="D458" t="inlineStr">
        <is>
          <t>The praying mantids / edited by Frederick R. Prete ... [et al.].</t>
        </is>
      </c>
      <c r="F458" t="inlineStr">
        <is>
          <t>No</t>
        </is>
      </c>
      <c r="G458" t="inlineStr">
        <is>
          <t>1</t>
        </is>
      </c>
      <c r="H458" t="inlineStr">
        <is>
          <t>No</t>
        </is>
      </c>
      <c r="I458" t="inlineStr">
        <is>
          <t>No</t>
        </is>
      </c>
      <c r="J458" t="inlineStr">
        <is>
          <t>0</t>
        </is>
      </c>
      <c r="L458" t="inlineStr">
        <is>
          <t>Baltimore : Johns Hopkins University Press, 1999.</t>
        </is>
      </c>
      <c r="M458" t="inlineStr">
        <is>
          <t>1999</t>
        </is>
      </c>
      <c r="O458" t="inlineStr">
        <is>
          <t>eng</t>
        </is>
      </c>
      <c r="P458" t="inlineStr">
        <is>
          <t>mdu</t>
        </is>
      </c>
      <c r="R458" t="inlineStr">
        <is>
          <t xml:space="preserve">QL </t>
        </is>
      </c>
      <c r="S458" t="n">
        <v>5</v>
      </c>
      <c r="T458" t="n">
        <v>5</v>
      </c>
      <c r="U458" t="inlineStr">
        <is>
          <t>2009-02-26</t>
        </is>
      </c>
      <c r="V458" t="inlineStr">
        <is>
          <t>2009-02-26</t>
        </is>
      </c>
      <c r="W458" t="inlineStr">
        <is>
          <t>2000-07-31</t>
        </is>
      </c>
      <c r="X458" t="inlineStr">
        <is>
          <t>2000-07-31</t>
        </is>
      </c>
      <c r="Y458" t="n">
        <v>374</v>
      </c>
      <c r="Z458" t="n">
        <v>323</v>
      </c>
      <c r="AA458" t="n">
        <v>328</v>
      </c>
      <c r="AB458" t="n">
        <v>2</v>
      </c>
      <c r="AC458" t="n">
        <v>2</v>
      </c>
      <c r="AD458" t="n">
        <v>15</v>
      </c>
      <c r="AE458" t="n">
        <v>15</v>
      </c>
      <c r="AF458" t="n">
        <v>9</v>
      </c>
      <c r="AG458" t="n">
        <v>9</v>
      </c>
      <c r="AH458" t="n">
        <v>2</v>
      </c>
      <c r="AI458" t="n">
        <v>2</v>
      </c>
      <c r="AJ458" t="n">
        <v>8</v>
      </c>
      <c r="AK458" t="n">
        <v>8</v>
      </c>
      <c r="AL458" t="n">
        <v>1</v>
      </c>
      <c r="AM458" t="n">
        <v>1</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HYPERLINK("https://creighton-primo.hosted.exlibrisgroup.com/primo-explore/search?tab=default_tab&amp;search_scope=EVERYTHING&amp;vid=01CRU&amp;lang=en_US&amp;offset=0&amp;query=any,contains,991003225079702656","Catalog Record")</f>
        <v/>
      </c>
      <c r="AT458">
        <f>HYPERLINK("http://www.worldcat.org/oclc/42275011","WorldCat Record")</f>
        <v/>
      </c>
      <c r="AU458" t="inlineStr">
        <is>
          <t>56459176:eng</t>
        </is>
      </c>
      <c r="AV458" t="inlineStr">
        <is>
          <t>42275011</t>
        </is>
      </c>
      <c r="AW458" t="inlineStr">
        <is>
          <t>991003225079702656</t>
        </is>
      </c>
      <c r="AX458" t="inlineStr">
        <is>
          <t>991003225079702656</t>
        </is>
      </c>
      <c r="AY458" t="inlineStr">
        <is>
          <t>2270963630002656</t>
        </is>
      </c>
      <c r="AZ458" t="inlineStr">
        <is>
          <t>BOOK</t>
        </is>
      </c>
      <c r="BB458" t="inlineStr">
        <is>
          <t>9780801861741</t>
        </is>
      </c>
      <c r="BC458" t="inlineStr">
        <is>
          <t>32285003743803</t>
        </is>
      </c>
      <c r="BD458" t="inlineStr">
        <is>
          <t>893416174</t>
        </is>
      </c>
    </row>
    <row r="459">
      <c r="A459" t="inlineStr">
        <is>
          <t>No</t>
        </is>
      </c>
      <c r="B459" t="inlineStr">
        <is>
          <t>QL508.T4 G89 2001</t>
        </is>
      </c>
      <c r="C459" t="inlineStr">
        <is>
          <t>0                      QL 0508000T  4                  G  89          2001</t>
        </is>
      </c>
      <c r="D459" t="inlineStr">
        <is>
          <t>Katydids and bush-crickets : reproductive behavior and evolution of the Tettigoniidae / Darryl T. Gwynne.</t>
        </is>
      </c>
      <c r="F459" t="inlineStr">
        <is>
          <t>No</t>
        </is>
      </c>
      <c r="G459" t="inlineStr">
        <is>
          <t>1</t>
        </is>
      </c>
      <c r="H459" t="inlineStr">
        <is>
          <t>No</t>
        </is>
      </c>
      <c r="I459" t="inlineStr">
        <is>
          <t>No</t>
        </is>
      </c>
      <c r="J459" t="inlineStr">
        <is>
          <t>0</t>
        </is>
      </c>
      <c r="K459" t="inlineStr">
        <is>
          <t>Gwynne, Darryl T.</t>
        </is>
      </c>
      <c r="L459" t="inlineStr">
        <is>
          <t>Ithaca : Comstock Pub. Associates, 2001.</t>
        </is>
      </c>
      <c r="M459" t="inlineStr">
        <is>
          <t>2001</t>
        </is>
      </c>
      <c r="O459" t="inlineStr">
        <is>
          <t>eng</t>
        </is>
      </c>
      <c r="P459" t="inlineStr">
        <is>
          <t>nyu</t>
        </is>
      </c>
      <c r="Q459" t="inlineStr">
        <is>
          <t>Cornell series in arthropod biology</t>
        </is>
      </c>
      <c r="R459" t="inlineStr">
        <is>
          <t xml:space="preserve">QL </t>
        </is>
      </c>
      <c r="S459" t="n">
        <v>9</v>
      </c>
      <c r="T459" t="n">
        <v>9</v>
      </c>
      <c r="U459" t="inlineStr">
        <is>
          <t>2007-02-25</t>
        </is>
      </c>
      <c r="V459" t="inlineStr">
        <is>
          <t>2007-02-25</t>
        </is>
      </c>
      <c r="W459" t="inlineStr">
        <is>
          <t>2002-09-10</t>
        </is>
      </c>
      <c r="X459" t="inlineStr">
        <is>
          <t>2002-09-10</t>
        </is>
      </c>
      <c r="Y459" t="n">
        <v>255</v>
      </c>
      <c r="Z459" t="n">
        <v>222</v>
      </c>
      <c r="AA459" t="n">
        <v>237</v>
      </c>
      <c r="AB459" t="n">
        <v>3</v>
      </c>
      <c r="AC459" t="n">
        <v>3</v>
      </c>
      <c r="AD459" t="n">
        <v>10</v>
      </c>
      <c r="AE459" t="n">
        <v>10</v>
      </c>
      <c r="AF459" t="n">
        <v>1</v>
      </c>
      <c r="AG459" t="n">
        <v>1</v>
      </c>
      <c r="AH459" t="n">
        <v>3</v>
      </c>
      <c r="AI459" t="n">
        <v>3</v>
      </c>
      <c r="AJ459" t="n">
        <v>6</v>
      </c>
      <c r="AK459" t="n">
        <v>6</v>
      </c>
      <c r="AL459" t="n">
        <v>2</v>
      </c>
      <c r="AM459" t="n">
        <v>2</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HYPERLINK("https://creighton-primo.hosted.exlibrisgroup.com/primo-explore/search?tab=default_tab&amp;search_scope=EVERYTHING&amp;vid=01CRU&amp;lang=en_US&amp;offset=0&amp;query=any,contains,991003860149702656","Catalog Record")</f>
        <v/>
      </c>
      <c r="AT459">
        <f>HYPERLINK("http://www.worldcat.org/oclc/45230349","WorldCat Record")</f>
        <v/>
      </c>
      <c r="AU459" t="inlineStr">
        <is>
          <t>6188787:eng</t>
        </is>
      </c>
      <c r="AV459" t="inlineStr">
        <is>
          <t>45230349</t>
        </is>
      </c>
      <c r="AW459" t="inlineStr">
        <is>
          <t>991003860149702656</t>
        </is>
      </c>
      <c r="AX459" t="inlineStr">
        <is>
          <t>991003860149702656</t>
        </is>
      </c>
      <c r="AY459" t="inlineStr">
        <is>
          <t>2268802760002656</t>
        </is>
      </c>
      <c r="AZ459" t="inlineStr">
        <is>
          <t>BOOK</t>
        </is>
      </c>
      <c r="BB459" t="inlineStr">
        <is>
          <t>9780801436550</t>
        </is>
      </c>
      <c r="BC459" t="inlineStr">
        <is>
          <t>32285004646567</t>
        </is>
      </c>
      <c r="BD459" t="inlineStr">
        <is>
          <t>893868966</t>
        </is>
      </c>
    </row>
    <row r="460">
      <c r="A460" t="inlineStr">
        <is>
          <t>No</t>
        </is>
      </c>
      <c r="B460" t="inlineStr">
        <is>
          <t>QL508.T4 R45 1985</t>
        </is>
      </c>
      <c r="C460" t="inlineStr">
        <is>
          <t>0                      QL 0508000T  4                  R  45          1985</t>
        </is>
      </c>
      <c r="D460" t="inlineStr">
        <is>
          <t>The Tettigoniinae / D.C.F. Rentz ; with an appendix by D.H. Colless.</t>
        </is>
      </c>
      <c r="F460" t="inlineStr">
        <is>
          <t>No</t>
        </is>
      </c>
      <c r="G460" t="inlineStr">
        <is>
          <t>1</t>
        </is>
      </c>
      <c r="H460" t="inlineStr">
        <is>
          <t>No</t>
        </is>
      </c>
      <c r="I460" t="inlineStr">
        <is>
          <t>No</t>
        </is>
      </c>
      <c r="J460" t="inlineStr">
        <is>
          <t>0</t>
        </is>
      </c>
      <c r="K460" t="inlineStr">
        <is>
          <t>Rentz, David C.</t>
        </is>
      </c>
      <c r="L460" t="inlineStr">
        <is>
          <t>[Victoria] Australia : Commonwealth Scientific and Industrial Research Organization, 1985.</t>
        </is>
      </c>
      <c r="M460" t="inlineStr">
        <is>
          <t>1985</t>
        </is>
      </c>
      <c r="O460" t="inlineStr">
        <is>
          <t>eng</t>
        </is>
      </c>
      <c r="P460" t="inlineStr">
        <is>
          <t xml:space="preserve">au </t>
        </is>
      </c>
      <c r="Q460" t="inlineStr">
        <is>
          <t>A Monograph of the Tettigoniidae of Australia ; v. 1</t>
        </is>
      </c>
      <c r="R460" t="inlineStr">
        <is>
          <t xml:space="preserve">QL </t>
        </is>
      </c>
      <c r="S460" t="n">
        <v>3</v>
      </c>
      <c r="T460" t="n">
        <v>3</v>
      </c>
      <c r="U460" t="inlineStr">
        <is>
          <t>2001-10-02</t>
        </is>
      </c>
      <c r="V460" t="inlineStr">
        <is>
          <t>2001-10-02</t>
        </is>
      </c>
      <c r="W460" t="inlineStr">
        <is>
          <t>1992-04-02</t>
        </is>
      </c>
      <c r="X460" t="inlineStr">
        <is>
          <t>1992-04-02</t>
        </is>
      </c>
      <c r="Y460" t="n">
        <v>24</v>
      </c>
      <c r="Z460" t="n">
        <v>21</v>
      </c>
      <c r="AA460" t="n">
        <v>22</v>
      </c>
      <c r="AB460" t="n">
        <v>1</v>
      </c>
      <c r="AC460" t="n">
        <v>1</v>
      </c>
      <c r="AD460" t="n">
        <v>0</v>
      </c>
      <c r="AE460" t="n">
        <v>0</v>
      </c>
      <c r="AF460" t="n">
        <v>0</v>
      </c>
      <c r="AG460" t="n">
        <v>0</v>
      </c>
      <c r="AH460" t="n">
        <v>0</v>
      </c>
      <c r="AI460" t="n">
        <v>0</v>
      </c>
      <c r="AJ460" t="n">
        <v>0</v>
      </c>
      <c r="AK460" t="n">
        <v>0</v>
      </c>
      <c r="AL460" t="n">
        <v>0</v>
      </c>
      <c r="AM460" t="n">
        <v>0</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HYPERLINK("https://creighton-primo.hosted.exlibrisgroup.com/primo-explore/search?tab=default_tab&amp;search_scope=EVERYTHING&amp;vid=01CRU&amp;lang=en_US&amp;offset=0&amp;query=any,contains,991001009429702656","Catalog Record")</f>
        <v/>
      </c>
      <c r="AT460">
        <f>HYPERLINK("http://www.worldcat.org/oclc/15276126","WorldCat Record")</f>
        <v/>
      </c>
      <c r="AU460" t="inlineStr">
        <is>
          <t>10303897:eng</t>
        </is>
      </c>
      <c r="AV460" t="inlineStr">
        <is>
          <t>15276126</t>
        </is>
      </c>
      <c r="AW460" t="inlineStr">
        <is>
          <t>991001009429702656</t>
        </is>
      </c>
      <c r="AX460" t="inlineStr">
        <is>
          <t>991001009429702656</t>
        </is>
      </c>
      <c r="AY460" t="inlineStr">
        <is>
          <t>2261107940002656</t>
        </is>
      </c>
      <c r="AZ460" t="inlineStr">
        <is>
          <t>BOOK</t>
        </is>
      </c>
      <c r="BB460" t="inlineStr">
        <is>
          <t>9780643038394</t>
        </is>
      </c>
      <c r="BC460" t="inlineStr">
        <is>
          <t>32285001008555</t>
        </is>
      </c>
      <c r="BD460" t="inlineStr">
        <is>
          <t>893626537</t>
        </is>
      </c>
    </row>
    <row r="461">
      <c r="A461" t="inlineStr">
        <is>
          <t>No</t>
        </is>
      </c>
      <c r="B461" t="inlineStr">
        <is>
          <t>QL513.T3 B5</t>
        </is>
      </c>
      <c r="C461" t="inlineStr">
        <is>
          <t>0                      QL 0513000T  3                  B  5</t>
        </is>
      </c>
      <c r="D461" t="inlineStr">
        <is>
          <t>Biology of termites / edited by Kumar Krishna and Frances M. Weesner.</t>
        </is>
      </c>
      <c r="E461" t="inlineStr">
        <is>
          <t>V.2</t>
        </is>
      </c>
      <c r="F461" t="inlineStr">
        <is>
          <t>Yes</t>
        </is>
      </c>
      <c r="G461" t="inlineStr">
        <is>
          <t>1</t>
        </is>
      </c>
      <c r="H461" t="inlineStr">
        <is>
          <t>No</t>
        </is>
      </c>
      <c r="I461" t="inlineStr">
        <is>
          <t>No</t>
        </is>
      </c>
      <c r="J461" t="inlineStr">
        <is>
          <t>0</t>
        </is>
      </c>
      <c r="L461" t="inlineStr">
        <is>
          <t>New York : Academic Press, 1969-70.</t>
        </is>
      </c>
      <c r="M461" t="inlineStr">
        <is>
          <t>1969</t>
        </is>
      </c>
      <c r="O461" t="inlineStr">
        <is>
          <t>eng</t>
        </is>
      </c>
      <c r="P461" t="inlineStr">
        <is>
          <t>nyu</t>
        </is>
      </c>
      <c r="R461" t="inlineStr">
        <is>
          <t xml:space="preserve">QL </t>
        </is>
      </c>
      <c r="S461" t="n">
        <v>6</v>
      </c>
      <c r="T461" t="n">
        <v>12</v>
      </c>
      <c r="U461" t="inlineStr">
        <is>
          <t>2000-02-24</t>
        </is>
      </c>
      <c r="V461" t="inlineStr">
        <is>
          <t>2009-03-01</t>
        </is>
      </c>
      <c r="W461" t="inlineStr">
        <is>
          <t>1992-02-12</t>
        </is>
      </c>
      <c r="X461" t="inlineStr">
        <is>
          <t>1992-10-29</t>
        </is>
      </c>
      <c r="Y461" t="n">
        <v>484</v>
      </c>
      <c r="Z461" t="n">
        <v>375</v>
      </c>
      <c r="AA461" t="n">
        <v>396</v>
      </c>
      <c r="AB461" t="n">
        <v>4</v>
      </c>
      <c r="AC461" t="n">
        <v>4</v>
      </c>
      <c r="AD461" t="n">
        <v>13</v>
      </c>
      <c r="AE461" t="n">
        <v>15</v>
      </c>
      <c r="AF461" t="n">
        <v>3</v>
      </c>
      <c r="AG461" t="n">
        <v>4</v>
      </c>
      <c r="AH461" t="n">
        <v>3</v>
      </c>
      <c r="AI461" t="n">
        <v>4</v>
      </c>
      <c r="AJ461" t="n">
        <v>8</v>
      </c>
      <c r="AK461" t="n">
        <v>8</v>
      </c>
      <c r="AL461" t="n">
        <v>2</v>
      </c>
      <c r="AM461" t="n">
        <v>2</v>
      </c>
      <c r="AN461" t="n">
        <v>0</v>
      </c>
      <c r="AO461" t="n">
        <v>0</v>
      </c>
      <c r="AP461" t="inlineStr">
        <is>
          <t>No</t>
        </is>
      </c>
      <c r="AQ461" t="inlineStr">
        <is>
          <t>Yes</t>
        </is>
      </c>
      <c r="AR461">
        <f>HYPERLINK("http://catalog.hathitrust.org/Record/000199550","HathiTrust Record")</f>
        <v/>
      </c>
      <c r="AS461">
        <f>HYPERLINK("https://creighton-primo.hosted.exlibrisgroup.com/primo-explore/search?tab=default_tab&amp;search_scope=EVERYTHING&amp;vid=01CRU&amp;lang=en_US&amp;offset=0&amp;query=any,contains,991005433099702656","Catalog Record")</f>
        <v/>
      </c>
      <c r="AT461">
        <f>HYPERLINK("http://www.worldcat.org/oclc/1620","WorldCat Record")</f>
        <v/>
      </c>
      <c r="AU461" t="inlineStr">
        <is>
          <t>364361011:eng</t>
        </is>
      </c>
      <c r="AV461" t="inlineStr">
        <is>
          <t>1620</t>
        </is>
      </c>
      <c r="AW461" t="inlineStr">
        <is>
          <t>991005433099702656</t>
        </is>
      </c>
      <c r="AX461" t="inlineStr">
        <is>
          <t>991005433099702656</t>
        </is>
      </c>
      <c r="AY461" t="inlineStr">
        <is>
          <t>2271301350002656</t>
        </is>
      </c>
      <c r="AZ461" t="inlineStr">
        <is>
          <t>BOOK</t>
        </is>
      </c>
      <c r="BC461" t="inlineStr">
        <is>
          <t>32285000955889</t>
        </is>
      </c>
      <c r="BD461" t="inlineStr">
        <is>
          <t>893613703</t>
        </is>
      </c>
    </row>
    <row r="462">
      <c r="A462" t="inlineStr">
        <is>
          <t>No</t>
        </is>
      </c>
      <c r="B462" t="inlineStr">
        <is>
          <t>QL513.T3 B5</t>
        </is>
      </c>
      <c r="C462" t="inlineStr">
        <is>
          <t>0                      QL 0513000T  3                  B  5</t>
        </is>
      </c>
      <c r="D462" t="inlineStr">
        <is>
          <t>Biology of termites / edited by Kumar Krishna and Frances M. Weesner.</t>
        </is>
      </c>
      <c r="E462" t="inlineStr">
        <is>
          <t>V.1</t>
        </is>
      </c>
      <c r="F462" t="inlineStr">
        <is>
          <t>Yes</t>
        </is>
      </c>
      <c r="G462" t="inlineStr">
        <is>
          <t>1</t>
        </is>
      </c>
      <c r="H462" t="inlineStr">
        <is>
          <t>No</t>
        </is>
      </c>
      <c r="I462" t="inlineStr">
        <is>
          <t>No</t>
        </is>
      </c>
      <c r="J462" t="inlineStr">
        <is>
          <t>0</t>
        </is>
      </c>
      <c r="L462" t="inlineStr">
        <is>
          <t>New York : Academic Press, 1969-70.</t>
        </is>
      </c>
      <c r="M462" t="inlineStr">
        <is>
          <t>1969</t>
        </is>
      </c>
      <c r="O462" t="inlineStr">
        <is>
          <t>eng</t>
        </is>
      </c>
      <c r="P462" t="inlineStr">
        <is>
          <t>nyu</t>
        </is>
      </c>
      <c r="R462" t="inlineStr">
        <is>
          <t xml:space="preserve">QL </t>
        </is>
      </c>
      <c r="S462" t="n">
        <v>6</v>
      </c>
      <c r="T462" t="n">
        <v>12</v>
      </c>
      <c r="U462" t="inlineStr">
        <is>
          <t>2009-03-01</t>
        </is>
      </c>
      <c r="V462" t="inlineStr">
        <is>
          <t>2009-03-01</t>
        </is>
      </c>
      <c r="W462" t="inlineStr">
        <is>
          <t>1992-10-29</t>
        </is>
      </c>
      <c r="X462" t="inlineStr">
        <is>
          <t>1992-10-29</t>
        </is>
      </c>
      <c r="Y462" t="n">
        <v>484</v>
      </c>
      <c r="Z462" t="n">
        <v>375</v>
      </c>
      <c r="AA462" t="n">
        <v>396</v>
      </c>
      <c r="AB462" t="n">
        <v>4</v>
      </c>
      <c r="AC462" t="n">
        <v>4</v>
      </c>
      <c r="AD462" t="n">
        <v>13</v>
      </c>
      <c r="AE462" t="n">
        <v>15</v>
      </c>
      <c r="AF462" t="n">
        <v>3</v>
      </c>
      <c r="AG462" t="n">
        <v>4</v>
      </c>
      <c r="AH462" t="n">
        <v>3</v>
      </c>
      <c r="AI462" t="n">
        <v>4</v>
      </c>
      <c r="AJ462" t="n">
        <v>8</v>
      </c>
      <c r="AK462" t="n">
        <v>8</v>
      </c>
      <c r="AL462" t="n">
        <v>2</v>
      </c>
      <c r="AM462" t="n">
        <v>2</v>
      </c>
      <c r="AN462" t="n">
        <v>0</v>
      </c>
      <c r="AO462" t="n">
        <v>0</v>
      </c>
      <c r="AP462" t="inlineStr">
        <is>
          <t>No</t>
        </is>
      </c>
      <c r="AQ462" t="inlineStr">
        <is>
          <t>Yes</t>
        </is>
      </c>
      <c r="AR462">
        <f>HYPERLINK("http://catalog.hathitrust.org/Record/000199550","HathiTrust Record")</f>
        <v/>
      </c>
      <c r="AS462">
        <f>HYPERLINK("https://creighton-primo.hosted.exlibrisgroup.com/primo-explore/search?tab=default_tab&amp;search_scope=EVERYTHING&amp;vid=01CRU&amp;lang=en_US&amp;offset=0&amp;query=any,contains,991005433099702656","Catalog Record")</f>
        <v/>
      </c>
      <c r="AT462">
        <f>HYPERLINK("http://www.worldcat.org/oclc/1620","WorldCat Record")</f>
        <v/>
      </c>
      <c r="AU462" t="inlineStr">
        <is>
          <t>364361011:eng</t>
        </is>
      </c>
      <c r="AV462" t="inlineStr">
        <is>
          <t>1620</t>
        </is>
      </c>
      <c r="AW462" t="inlineStr">
        <is>
          <t>991005433099702656</t>
        </is>
      </c>
      <c r="AX462" t="inlineStr">
        <is>
          <t>991005433099702656</t>
        </is>
      </c>
      <c r="AY462" t="inlineStr">
        <is>
          <t>2271301350002656</t>
        </is>
      </c>
      <c r="AZ462" t="inlineStr">
        <is>
          <t>BOOK</t>
        </is>
      </c>
      <c r="BC462" t="inlineStr">
        <is>
          <t>32285001387777</t>
        </is>
      </c>
      <c r="BD462" t="inlineStr">
        <is>
          <t>893595058</t>
        </is>
      </c>
    </row>
    <row r="463">
      <c r="A463" t="inlineStr">
        <is>
          <t>No</t>
        </is>
      </c>
      <c r="B463" t="inlineStr">
        <is>
          <t>QL520 .B76 2003</t>
        </is>
      </c>
      <c r="C463" t="inlineStr">
        <is>
          <t>0                      QL 0520000B  76          2003</t>
        </is>
      </c>
      <c r="D463" t="inlineStr">
        <is>
          <t>Dragonflies / Steve Brooks.</t>
        </is>
      </c>
      <c r="F463" t="inlineStr">
        <is>
          <t>No</t>
        </is>
      </c>
      <c r="G463" t="inlineStr">
        <is>
          <t>1</t>
        </is>
      </c>
      <c r="H463" t="inlineStr">
        <is>
          <t>No</t>
        </is>
      </c>
      <c r="I463" t="inlineStr">
        <is>
          <t>No</t>
        </is>
      </c>
      <c r="J463" t="inlineStr">
        <is>
          <t>0</t>
        </is>
      </c>
      <c r="K463" t="inlineStr">
        <is>
          <t>Brooks, S. J.</t>
        </is>
      </c>
      <c r="L463" t="inlineStr">
        <is>
          <t>Washington, D.C. : Smithsonian Books, in association with the Natural History Museum, London, c2003.</t>
        </is>
      </c>
      <c r="M463" t="inlineStr">
        <is>
          <t>2003</t>
        </is>
      </c>
      <c r="O463" t="inlineStr">
        <is>
          <t>eng</t>
        </is>
      </c>
      <c r="P463" t="inlineStr">
        <is>
          <t>dcu</t>
        </is>
      </c>
      <c r="Q463" t="inlineStr">
        <is>
          <t>Natural world series</t>
        </is>
      </c>
      <c r="R463" t="inlineStr">
        <is>
          <t xml:space="preserve">QL </t>
        </is>
      </c>
      <c r="S463" t="n">
        <v>6</v>
      </c>
      <c r="T463" t="n">
        <v>6</v>
      </c>
      <c r="U463" t="inlineStr">
        <is>
          <t>2008-02-25</t>
        </is>
      </c>
      <c r="V463" t="inlineStr">
        <is>
          <t>2008-02-25</t>
        </is>
      </c>
      <c r="W463" t="inlineStr">
        <is>
          <t>2003-09-30</t>
        </is>
      </c>
      <c r="X463" t="inlineStr">
        <is>
          <t>2003-09-30</t>
        </is>
      </c>
      <c r="Y463" t="n">
        <v>193</v>
      </c>
      <c r="Z463" t="n">
        <v>183</v>
      </c>
      <c r="AA463" t="n">
        <v>185</v>
      </c>
      <c r="AB463" t="n">
        <v>1</v>
      </c>
      <c r="AC463" t="n">
        <v>1</v>
      </c>
      <c r="AD463" t="n">
        <v>1</v>
      </c>
      <c r="AE463" t="n">
        <v>1</v>
      </c>
      <c r="AF463" t="n">
        <v>0</v>
      </c>
      <c r="AG463" t="n">
        <v>0</v>
      </c>
      <c r="AH463" t="n">
        <v>1</v>
      </c>
      <c r="AI463" t="n">
        <v>1</v>
      </c>
      <c r="AJ463" t="n">
        <v>0</v>
      </c>
      <c r="AK463" t="n">
        <v>0</v>
      </c>
      <c r="AL463" t="n">
        <v>0</v>
      </c>
      <c r="AM463" t="n">
        <v>0</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HYPERLINK("https://creighton-primo.hosted.exlibrisgroup.com/primo-explore/search?tab=default_tab&amp;search_scope=EVERYTHING&amp;vid=01CRU&amp;lang=en_US&amp;offset=0&amp;query=any,contains,991004141779702656","Catalog Record")</f>
        <v/>
      </c>
      <c r="AT463">
        <f>HYPERLINK("http://www.worldcat.org/oclc/50693204","WorldCat Record")</f>
        <v/>
      </c>
      <c r="AU463" t="inlineStr">
        <is>
          <t>3943445906:eng</t>
        </is>
      </c>
      <c r="AV463" t="inlineStr">
        <is>
          <t>50693204</t>
        </is>
      </c>
      <c r="AW463" t="inlineStr">
        <is>
          <t>991004141779702656</t>
        </is>
      </c>
      <c r="AX463" t="inlineStr">
        <is>
          <t>991004141779702656</t>
        </is>
      </c>
      <c r="AY463" t="inlineStr">
        <is>
          <t>2255961970002656</t>
        </is>
      </c>
      <c r="AZ463" t="inlineStr">
        <is>
          <t>BOOK</t>
        </is>
      </c>
      <c r="BB463" t="inlineStr">
        <is>
          <t>9781588340641</t>
        </is>
      </c>
      <c r="BC463" t="inlineStr">
        <is>
          <t>32285004796545</t>
        </is>
      </c>
      <c r="BD463" t="inlineStr">
        <is>
          <t>893442252</t>
        </is>
      </c>
    </row>
    <row r="464">
      <c r="A464" t="inlineStr">
        <is>
          <t>No</t>
        </is>
      </c>
      <c r="B464" t="inlineStr">
        <is>
          <t>QL520.2.U6 A23 2005</t>
        </is>
      </c>
      <c r="C464" t="inlineStr">
        <is>
          <t>0                      QL 0520200U  6                  A  23          2005</t>
        </is>
      </c>
      <c r="D464" t="inlineStr">
        <is>
          <t>Dragonflies and damselflies of Texas and the South-Central United States : Texas, Louisiana, Arkansas, Oklahoma, and New Mexico / John C. Abbott.</t>
        </is>
      </c>
      <c r="F464" t="inlineStr">
        <is>
          <t>No</t>
        </is>
      </c>
      <c r="G464" t="inlineStr">
        <is>
          <t>1</t>
        </is>
      </c>
      <c r="H464" t="inlineStr">
        <is>
          <t>No</t>
        </is>
      </c>
      <c r="I464" t="inlineStr">
        <is>
          <t>No</t>
        </is>
      </c>
      <c r="J464" t="inlineStr">
        <is>
          <t>0</t>
        </is>
      </c>
      <c r="K464" t="inlineStr">
        <is>
          <t>Abbott, John C., 1972-</t>
        </is>
      </c>
      <c r="L464" t="inlineStr">
        <is>
          <t>Princeton, N.J. : Princeton University Press, c2005.</t>
        </is>
      </c>
      <c r="M464" t="inlineStr">
        <is>
          <t>2005</t>
        </is>
      </c>
      <c r="O464" t="inlineStr">
        <is>
          <t>eng</t>
        </is>
      </c>
      <c r="P464" t="inlineStr">
        <is>
          <t>nju</t>
        </is>
      </c>
      <c r="R464" t="inlineStr">
        <is>
          <t xml:space="preserve">QL </t>
        </is>
      </c>
      <c r="S464" t="n">
        <v>2</v>
      </c>
      <c r="T464" t="n">
        <v>2</v>
      </c>
      <c r="U464" t="inlineStr">
        <is>
          <t>2010-03-02</t>
        </is>
      </c>
      <c r="V464" t="inlineStr">
        <is>
          <t>2010-03-02</t>
        </is>
      </c>
      <c r="W464" t="inlineStr">
        <is>
          <t>2005-08-17</t>
        </is>
      </c>
      <c r="X464" t="inlineStr">
        <is>
          <t>2005-08-17</t>
        </is>
      </c>
      <c r="Y464" t="n">
        <v>250</v>
      </c>
      <c r="Z464" t="n">
        <v>235</v>
      </c>
      <c r="AA464" t="n">
        <v>240</v>
      </c>
      <c r="AB464" t="n">
        <v>2</v>
      </c>
      <c r="AC464" t="n">
        <v>2</v>
      </c>
      <c r="AD464" t="n">
        <v>3</v>
      </c>
      <c r="AE464" t="n">
        <v>3</v>
      </c>
      <c r="AF464" t="n">
        <v>0</v>
      </c>
      <c r="AG464" t="n">
        <v>0</v>
      </c>
      <c r="AH464" t="n">
        <v>0</v>
      </c>
      <c r="AI464" t="n">
        <v>0</v>
      </c>
      <c r="AJ464" t="n">
        <v>2</v>
      </c>
      <c r="AK464" t="n">
        <v>2</v>
      </c>
      <c r="AL464" t="n">
        <v>1</v>
      </c>
      <c r="AM464" t="n">
        <v>1</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HYPERLINK("https://creighton-primo.hosted.exlibrisgroup.com/primo-explore/search?tab=default_tab&amp;search_scope=EVERYTHING&amp;vid=01CRU&amp;lang=en_US&amp;offset=0&amp;query=any,contains,991004629949702656","Catalog Record")</f>
        <v/>
      </c>
      <c r="AT464">
        <f>HYPERLINK("http://www.worldcat.org/oclc/54685968","WorldCat Record")</f>
        <v/>
      </c>
      <c r="AU464" t="inlineStr">
        <is>
          <t>257434138:eng</t>
        </is>
      </c>
      <c r="AV464" t="inlineStr">
        <is>
          <t>54685968</t>
        </is>
      </c>
      <c r="AW464" t="inlineStr">
        <is>
          <t>991004629949702656</t>
        </is>
      </c>
      <c r="AX464" t="inlineStr">
        <is>
          <t>991004629949702656</t>
        </is>
      </c>
      <c r="AY464" t="inlineStr">
        <is>
          <t>2265817740002656</t>
        </is>
      </c>
      <c r="AZ464" t="inlineStr">
        <is>
          <t>BOOK</t>
        </is>
      </c>
      <c r="BB464" t="inlineStr">
        <is>
          <t>9780691113630</t>
        </is>
      </c>
      <c r="BC464" t="inlineStr">
        <is>
          <t>32285005081475</t>
        </is>
      </c>
      <c r="BD464" t="inlineStr">
        <is>
          <t>893788933</t>
        </is>
      </c>
    </row>
    <row r="465">
      <c r="A465" t="inlineStr">
        <is>
          <t>No</t>
        </is>
      </c>
      <c r="B465" t="inlineStr">
        <is>
          <t>QL520.2.U6 D87 2000</t>
        </is>
      </c>
      <c r="C465" t="inlineStr">
        <is>
          <t>0                      QL 0520200U  6                  D  87          2000</t>
        </is>
      </c>
      <c r="D465" t="inlineStr">
        <is>
          <t>Dragonflies through binoculars : a field guide to dragonflies of North America / by Sidney W. Dunkle.</t>
        </is>
      </c>
      <c r="F465" t="inlineStr">
        <is>
          <t>No</t>
        </is>
      </c>
      <c r="G465" t="inlineStr">
        <is>
          <t>1</t>
        </is>
      </c>
      <c r="H465" t="inlineStr">
        <is>
          <t>No</t>
        </is>
      </c>
      <c r="I465" t="inlineStr">
        <is>
          <t>No</t>
        </is>
      </c>
      <c r="J465" t="inlineStr">
        <is>
          <t>0</t>
        </is>
      </c>
      <c r="K465" t="inlineStr">
        <is>
          <t>Dunkle, Sidney W., 1940-</t>
        </is>
      </c>
      <c r="L465" t="inlineStr">
        <is>
          <t>New York : Oxford University, c2000.</t>
        </is>
      </c>
      <c r="M465" t="inlineStr">
        <is>
          <t>2000</t>
        </is>
      </c>
      <c r="O465" t="inlineStr">
        <is>
          <t>eng</t>
        </is>
      </c>
      <c r="P465" t="inlineStr">
        <is>
          <t>nyu</t>
        </is>
      </c>
      <c r="Q465" t="inlineStr">
        <is>
          <t>Butterflies [and others] through binoculars field guide series</t>
        </is>
      </c>
      <c r="R465" t="inlineStr">
        <is>
          <t xml:space="preserve">QL </t>
        </is>
      </c>
      <c r="S465" t="n">
        <v>2</v>
      </c>
      <c r="T465" t="n">
        <v>2</v>
      </c>
      <c r="U465" t="inlineStr">
        <is>
          <t>2010-03-02</t>
        </is>
      </c>
      <c r="V465" t="inlineStr">
        <is>
          <t>2010-03-02</t>
        </is>
      </c>
      <c r="W465" t="inlineStr">
        <is>
          <t>2001-12-20</t>
        </is>
      </c>
      <c r="X465" t="inlineStr">
        <is>
          <t>2001-12-20</t>
        </is>
      </c>
      <c r="Y465" t="n">
        <v>631</v>
      </c>
      <c r="Z465" t="n">
        <v>598</v>
      </c>
      <c r="AA465" t="n">
        <v>654</v>
      </c>
      <c r="AB465" t="n">
        <v>4</v>
      </c>
      <c r="AC465" t="n">
        <v>4</v>
      </c>
      <c r="AD465" t="n">
        <v>8</v>
      </c>
      <c r="AE465" t="n">
        <v>9</v>
      </c>
      <c r="AF465" t="n">
        <v>3</v>
      </c>
      <c r="AG465" t="n">
        <v>4</v>
      </c>
      <c r="AH465" t="n">
        <v>1</v>
      </c>
      <c r="AI465" t="n">
        <v>2</v>
      </c>
      <c r="AJ465" t="n">
        <v>2</v>
      </c>
      <c r="AK465" t="n">
        <v>2</v>
      </c>
      <c r="AL465" t="n">
        <v>2</v>
      </c>
      <c r="AM465" t="n">
        <v>2</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HYPERLINK("https://creighton-primo.hosted.exlibrisgroup.com/primo-explore/search?tab=default_tab&amp;search_scope=EVERYTHING&amp;vid=01CRU&amp;lang=en_US&amp;offset=0&amp;query=any,contains,991003671579702656","Catalog Record")</f>
        <v/>
      </c>
      <c r="AT465">
        <f>HYPERLINK("http://www.worldcat.org/oclc/41488813","WorldCat Record")</f>
        <v/>
      </c>
      <c r="AU465" t="inlineStr">
        <is>
          <t>6235145:eng</t>
        </is>
      </c>
      <c r="AV465" t="inlineStr">
        <is>
          <t>41488813</t>
        </is>
      </c>
      <c r="AW465" t="inlineStr">
        <is>
          <t>991003671579702656</t>
        </is>
      </c>
      <c r="AX465" t="inlineStr">
        <is>
          <t>991003671579702656</t>
        </is>
      </c>
      <c r="AY465" t="inlineStr">
        <is>
          <t>2257673260002656</t>
        </is>
      </c>
      <c r="AZ465" t="inlineStr">
        <is>
          <t>BOOK</t>
        </is>
      </c>
      <c r="BB465" t="inlineStr">
        <is>
          <t>9780195112689</t>
        </is>
      </c>
      <c r="BC465" t="inlineStr">
        <is>
          <t>32285004429774</t>
        </is>
      </c>
      <c r="BD465" t="inlineStr">
        <is>
          <t>893342841</t>
        </is>
      </c>
    </row>
    <row r="466">
      <c r="A466" t="inlineStr">
        <is>
          <t>No</t>
        </is>
      </c>
      <c r="B466" t="inlineStr">
        <is>
          <t>QL520.24.G7 M55 1987</t>
        </is>
      </c>
      <c r="C466" t="inlineStr">
        <is>
          <t>0                      QL 0520240G  7                  M  55          1987</t>
        </is>
      </c>
      <c r="D466" t="inlineStr">
        <is>
          <t>Dragonflies / P.L. Miller ; plates by Rupert Lee ; figures by Sophie Allington ; figures for the key to adults by David Chelmick ; key to larvae by Graham Vick ; key to adults by David Chelmick.</t>
        </is>
      </c>
      <c r="F466" t="inlineStr">
        <is>
          <t>No</t>
        </is>
      </c>
      <c r="G466" t="inlineStr">
        <is>
          <t>1</t>
        </is>
      </c>
      <c r="H466" t="inlineStr">
        <is>
          <t>No</t>
        </is>
      </c>
      <c r="I466" t="inlineStr">
        <is>
          <t>No</t>
        </is>
      </c>
      <c r="J466" t="inlineStr">
        <is>
          <t>0</t>
        </is>
      </c>
      <c r="K466" t="inlineStr">
        <is>
          <t>Miller, P. L.</t>
        </is>
      </c>
      <c r="L466" t="inlineStr">
        <is>
          <t>Cambridge [Cambridgeshire] ; New York : Cambridge University Press, 1987.</t>
        </is>
      </c>
      <c r="M466" t="inlineStr">
        <is>
          <t>1987</t>
        </is>
      </c>
      <c r="O466" t="inlineStr">
        <is>
          <t>eng</t>
        </is>
      </c>
      <c r="P466" t="inlineStr">
        <is>
          <t>enk</t>
        </is>
      </c>
      <c r="Q466" t="inlineStr">
        <is>
          <t>Naturalists' handbooks ; 7</t>
        </is>
      </c>
      <c r="R466" t="inlineStr">
        <is>
          <t xml:space="preserve">QL </t>
        </is>
      </c>
      <c r="S466" t="n">
        <v>14</v>
      </c>
      <c r="T466" t="n">
        <v>14</v>
      </c>
      <c r="U466" t="inlineStr">
        <is>
          <t>2008-02-25</t>
        </is>
      </c>
      <c r="V466" t="inlineStr">
        <is>
          <t>2008-02-25</t>
        </is>
      </c>
      <c r="W466" t="inlineStr">
        <is>
          <t>1993-05-27</t>
        </is>
      </c>
      <c r="X466" t="inlineStr">
        <is>
          <t>1993-05-27</t>
        </is>
      </c>
      <c r="Y466" t="n">
        <v>265</v>
      </c>
      <c r="Z466" t="n">
        <v>179</v>
      </c>
      <c r="AA466" t="n">
        <v>184</v>
      </c>
      <c r="AB466" t="n">
        <v>1</v>
      </c>
      <c r="AC466" t="n">
        <v>1</v>
      </c>
      <c r="AD466" t="n">
        <v>3</v>
      </c>
      <c r="AE466" t="n">
        <v>3</v>
      </c>
      <c r="AF466" t="n">
        <v>1</v>
      </c>
      <c r="AG466" t="n">
        <v>1</v>
      </c>
      <c r="AH466" t="n">
        <v>1</v>
      </c>
      <c r="AI466" t="n">
        <v>1</v>
      </c>
      <c r="AJ466" t="n">
        <v>1</v>
      </c>
      <c r="AK466" t="n">
        <v>1</v>
      </c>
      <c r="AL466" t="n">
        <v>0</v>
      </c>
      <c r="AM466" t="n">
        <v>0</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HYPERLINK("https://creighton-primo.hosted.exlibrisgroup.com/primo-explore/search?tab=default_tab&amp;search_scope=EVERYTHING&amp;vid=01CRU&amp;lang=en_US&amp;offset=0&amp;query=any,contains,991000973219702656","Catalog Record")</f>
        <v/>
      </c>
      <c r="AT466">
        <f>HYPERLINK("http://www.worldcat.org/oclc/14967163","WorldCat Record")</f>
        <v/>
      </c>
      <c r="AU466" t="inlineStr">
        <is>
          <t>8558024:eng</t>
        </is>
      </c>
      <c r="AV466" t="inlineStr">
        <is>
          <t>14967163</t>
        </is>
      </c>
      <c r="AW466" t="inlineStr">
        <is>
          <t>991000973219702656</t>
        </is>
      </c>
      <c r="AX466" t="inlineStr">
        <is>
          <t>991000973219702656</t>
        </is>
      </c>
      <c r="AY466" t="inlineStr">
        <is>
          <t>2262338390002656</t>
        </is>
      </c>
      <c r="AZ466" t="inlineStr">
        <is>
          <t>BOOK</t>
        </is>
      </c>
      <c r="BB466" t="inlineStr">
        <is>
          <t>9780521317658</t>
        </is>
      </c>
      <c r="BC466" t="inlineStr">
        <is>
          <t>32285001687481</t>
        </is>
      </c>
      <c r="BD466" t="inlineStr">
        <is>
          <t>893340051</t>
        </is>
      </c>
    </row>
    <row r="467">
      <c r="A467" t="inlineStr">
        <is>
          <t>No</t>
        </is>
      </c>
      <c r="B467" t="inlineStr">
        <is>
          <t>QL521 .S38 1995</t>
        </is>
      </c>
      <c r="C467" t="inlineStr">
        <is>
          <t>0                      QL 0521000S  38          1995</t>
        </is>
      </c>
      <c r="D467" t="inlineStr">
        <is>
          <t>True bugs of the world (Hemiptera:Heteroptera) : classification and natural history / Randall T. Schuh, James A. Slater.</t>
        </is>
      </c>
      <c r="F467" t="inlineStr">
        <is>
          <t>No</t>
        </is>
      </c>
      <c r="G467" t="inlineStr">
        <is>
          <t>1</t>
        </is>
      </c>
      <c r="H467" t="inlineStr">
        <is>
          <t>No</t>
        </is>
      </c>
      <c r="I467" t="inlineStr">
        <is>
          <t>No</t>
        </is>
      </c>
      <c r="J467" t="inlineStr">
        <is>
          <t>0</t>
        </is>
      </c>
      <c r="K467" t="inlineStr">
        <is>
          <t>Schuh, Randall T.</t>
        </is>
      </c>
      <c r="L467" t="inlineStr">
        <is>
          <t>Ithaca : Comstock Pub. Associates, 1995.</t>
        </is>
      </c>
      <c r="M467" t="inlineStr">
        <is>
          <t>1995</t>
        </is>
      </c>
      <c r="O467" t="inlineStr">
        <is>
          <t>eng</t>
        </is>
      </c>
      <c r="P467" t="inlineStr">
        <is>
          <t>nyu</t>
        </is>
      </c>
      <c r="R467" t="inlineStr">
        <is>
          <t xml:space="preserve">QL </t>
        </is>
      </c>
      <c r="S467" t="n">
        <v>3</v>
      </c>
      <c r="T467" t="n">
        <v>3</v>
      </c>
      <c r="U467" t="inlineStr">
        <is>
          <t>1999-12-06</t>
        </is>
      </c>
      <c r="V467" t="inlineStr">
        <is>
          <t>1999-12-06</t>
        </is>
      </c>
      <c r="W467" t="inlineStr">
        <is>
          <t>1996-06-17</t>
        </is>
      </c>
      <c r="X467" t="inlineStr">
        <is>
          <t>1996-06-17</t>
        </is>
      </c>
      <c r="Y467" t="n">
        <v>440</v>
      </c>
      <c r="Z467" t="n">
        <v>354</v>
      </c>
      <c r="AA467" t="n">
        <v>354</v>
      </c>
      <c r="AB467" t="n">
        <v>3</v>
      </c>
      <c r="AC467" t="n">
        <v>3</v>
      </c>
      <c r="AD467" t="n">
        <v>16</v>
      </c>
      <c r="AE467" t="n">
        <v>16</v>
      </c>
      <c r="AF467" t="n">
        <v>5</v>
      </c>
      <c r="AG467" t="n">
        <v>5</v>
      </c>
      <c r="AH467" t="n">
        <v>4</v>
      </c>
      <c r="AI467" t="n">
        <v>4</v>
      </c>
      <c r="AJ467" t="n">
        <v>9</v>
      </c>
      <c r="AK467" t="n">
        <v>9</v>
      </c>
      <c r="AL467" t="n">
        <v>2</v>
      </c>
      <c r="AM467" t="n">
        <v>2</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HYPERLINK("https://creighton-primo.hosted.exlibrisgroup.com/primo-explore/search?tab=default_tab&amp;search_scope=EVERYTHING&amp;vid=01CRU&amp;lang=en_US&amp;offset=0&amp;query=any,contains,991002396439702656","Catalog Record")</f>
        <v/>
      </c>
      <c r="AT467">
        <f>HYPERLINK("http://www.worldcat.org/oclc/31132787","WorldCat Record")</f>
        <v/>
      </c>
      <c r="AU467" t="inlineStr">
        <is>
          <t>959344:eng</t>
        </is>
      </c>
      <c r="AV467" t="inlineStr">
        <is>
          <t>31132787</t>
        </is>
      </c>
      <c r="AW467" t="inlineStr">
        <is>
          <t>991002396439702656</t>
        </is>
      </c>
      <c r="AX467" t="inlineStr">
        <is>
          <t>991002396439702656</t>
        </is>
      </c>
      <c r="AY467" t="inlineStr">
        <is>
          <t>2271286550002656</t>
        </is>
      </c>
      <c r="AZ467" t="inlineStr">
        <is>
          <t>BOOK</t>
        </is>
      </c>
      <c r="BB467" t="inlineStr">
        <is>
          <t>9780801420665</t>
        </is>
      </c>
      <c r="BC467" t="inlineStr">
        <is>
          <t>32285002193638</t>
        </is>
      </c>
      <c r="BD467" t="inlineStr">
        <is>
          <t>893627110</t>
        </is>
      </c>
    </row>
    <row r="468">
      <c r="A468" t="inlineStr">
        <is>
          <t>No</t>
        </is>
      </c>
      <c r="B468" t="inlineStr">
        <is>
          <t>QL531 .M84 1982</t>
        </is>
      </c>
      <c r="C468" t="inlineStr">
        <is>
          <t>0                      QL 0531000M  84          1982</t>
        </is>
      </c>
      <c r="D468" t="inlineStr">
        <is>
          <t>Behaviour patterns of blood-sucking flies / E.C. Muirhead-Thomson.</t>
        </is>
      </c>
      <c r="F468" t="inlineStr">
        <is>
          <t>No</t>
        </is>
      </c>
      <c r="G468" t="inlineStr">
        <is>
          <t>1</t>
        </is>
      </c>
      <c r="H468" t="inlineStr">
        <is>
          <t>No</t>
        </is>
      </c>
      <c r="I468" t="inlineStr">
        <is>
          <t>No</t>
        </is>
      </c>
      <c r="J468" t="inlineStr">
        <is>
          <t>0</t>
        </is>
      </c>
      <c r="K468" t="inlineStr">
        <is>
          <t>Muirhead-Thomson, R. C.</t>
        </is>
      </c>
      <c r="L468" t="inlineStr">
        <is>
          <t>Oxford ; New York : Pergamon Press, 1982.</t>
        </is>
      </c>
      <c r="M468" t="inlineStr">
        <is>
          <t>1982</t>
        </is>
      </c>
      <c r="N468" t="inlineStr">
        <is>
          <t>1st ed.</t>
        </is>
      </c>
      <c r="O468" t="inlineStr">
        <is>
          <t>eng</t>
        </is>
      </c>
      <c r="P468" t="inlineStr">
        <is>
          <t>enk</t>
        </is>
      </c>
      <c r="R468" t="inlineStr">
        <is>
          <t xml:space="preserve">QL </t>
        </is>
      </c>
      <c r="S468" t="n">
        <v>4</v>
      </c>
      <c r="T468" t="n">
        <v>4</v>
      </c>
      <c r="U468" t="inlineStr">
        <is>
          <t>2005-02-27</t>
        </is>
      </c>
      <c r="V468" t="inlineStr">
        <is>
          <t>2005-02-27</t>
        </is>
      </c>
      <c r="W468" t="inlineStr">
        <is>
          <t>1993-05-27</t>
        </is>
      </c>
      <c r="X468" t="inlineStr">
        <is>
          <t>1993-05-27</t>
        </is>
      </c>
      <c r="Y468" t="n">
        <v>233</v>
      </c>
      <c r="Z468" t="n">
        <v>169</v>
      </c>
      <c r="AA468" t="n">
        <v>171</v>
      </c>
      <c r="AB468" t="n">
        <v>2</v>
      </c>
      <c r="AC468" t="n">
        <v>2</v>
      </c>
      <c r="AD468" t="n">
        <v>2</v>
      </c>
      <c r="AE468" t="n">
        <v>2</v>
      </c>
      <c r="AF468" t="n">
        <v>0</v>
      </c>
      <c r="AG468" t="n">
        <v>0</v>
      </c>
      <c r="AH468" t="n">
        <v>0</v>
      </c>
      <c r="AI468" t="n">
        <v>0</v>
      </c>
      <c r="AJ468" t="n">
        <v>1</v>
      </c>
      <c r="AK468" t="n">
        <v>1</v>
      </c>
      <c r="AL468" t="n">
        <v>1</v>
      </c>
      <c r="AM468" t="n">
        <v>1</v>
      </c>
      <c r="AN468" t="n">
        <v>0</v>
      </c>
      <c r="AO468" t="n">
        <v>0</v>
      </c>
      <c r="AP468" t="inlineStr">
        <is>
          <t>No</t>
        </is>
      </c>
      <c r="AQ468" t="inlineStr">
        <is>
          <t>Yes</t>
        </is>
      </c>
      <c r="AR468">
        <f>HYPERLINK("http://catalog.hathitrust.org/Record/000567426","HathiTrust Record")</f>
        <v/>
      </c>
      <c r="AS468">
        <f>HYPERLINK("https://creighton-primo.hosted.exlibrisgroup.com/primo-explore/search?tab=default_tab&amp;search_scope=EVERYTHING&amp;vid=01CRU&amp;lang=en_US&amp;offset=0&amp;query=any,contains,991005191379702656","Catalog Record")</f>
        <v/>
      </c>
      <c r="AT468">
        <f>HYPERLINK("http://www.worldcat.org/oclc/7999445","WorldCat Record")</f>
        <v/>
      </c>
      <c r="AU468" t="inlineStr">
        <is>
          <t>407672:eng</t>
        </is>
      </c>
      <c r="AV468" t="inlineStr">
        <is>
          <t>7999445</t>
        </is>
      </c>
      <c r="AW468" t="inlineStr">
        <is>
          <t>991005191379702656</t>
        </is>
      </c>
      <c r="AX468" t="inlineStr">
        <is>
          <t>991005191379702656</t>
        </is>
      </c>
      <c r="AY468" t="inlineStr">
        <is>
          <t>2258063110002656</t>
        </is>
      </c>
      <c r="AZ468" t="inlineStr">
        <is>
          <t>BOOK</t>
        </is>
      </c>
      <c r="BB468" t="inlineStr">
        <is>
          <t>9780080254975</t>
        </is>
      </c>
      <c r="BC468" t="inlineStr">
        <is>
          <t>32285001687499</t>
        </is>
      </c>
      <c r="BD468" t="inlineStr">
        <is>
          <t>893606985</t>
        </is>
      </c>
    </row>
    <row r="469">
      <c r="A469" t="inlineStr">
        <is>
          <t>No</t>
        </is>
      </c>
      <c r="B469" t="inlineStr">
        <is>
          <t>QL533 .D4</t>
        </is>
      </c>
      <c r="C469" t="inlineStr">
        <is>
          <t>0                      QL 0533000D  4</t>
        </is>
      </c>
      <c r="D469" t="inlineStr">
        <is>
          <t>To know a fly / illustrated by Bill Clark and Vincent Dethier.</t>
        </is>
      </c>
      <c r="F469" t="inlineStr">
        <is>
          <t>No</t>
        </is>
      </c>
      <c r="G469" t="inlineStr">
        <is>
          <t>1</t>
        </is>
      </c>
      <c r="H469" t="inlineStr">
        <is>
          <t>No</t>
        </is>
      </c>
      <c r="I469" t="inlineStr">
        <is>
          <t>No</t>
        </is>
      </c>
      <c r="J469" t="inlineStr">
        <is>
          <t>0</t>
        </is>
      </c>
      <c r="K469" t="inlineStr">
        <is>
          <t>Dethier, V. G. (Vincent Gaston), 1915-1993.</t>
        </is>
      </c>
      <c r="L469" t="inlineStr">
        <is>
          <t>San Francisco : Holden-Day, 1962.</t>
        </is>
      </c>
      <c r="M469" t="inlineStr">
        <is>
          <t>1962</t>
        </is>
      </c>
      <c r="O469" t="inlineStr">
        <is>
          <t>eng</t>
        </is>
      </c>
      <c r="P469" t="inlineStr">
        <is>
          <t>cau</t>
        </is>
      </c>
      <c r="R469" t="inlineStr">
        <is>
          <t xml:space="preserve">QL </t>
        </is>
      </c>
      <c r="S469" t="n">
        <v>3</v>
      </c>
      <c r="T469" t="n">
        <v>3</v>
      </c>
      <c r="U469" t="inlineStr">
        <is>
          <t>2005-01-21</t>
        </is>
      </c>
      <c r="V469" t="inlineStr">
        <is>
          <t>2005-01-21</t>
        </is>
      </c>
      <c r="W469" t="inlineStr">
        <is>
          <t>1992-04-09</t>
        </is>
      </c>
      <c r="X469" t="inlineStr">
        <is>
          <t>1992-04-09</t>
        </is>
      </c>
      <c r="Y469" t="n">
        <v>821</v>
      </c>
      <c r="Z469" t="n">
        <v>727</v>
      </c>
      <c r="AA469" t="n">
        <v>780</v>
      </c>
      <c r="AB469" t="n">
        <v>6</v>
      </c>
      <c r="AC469" t="n">
        <v>6</v>
      </c>
      <c r="AD469" t="n">
        <v>21</v>
      </c>
      <c r="AE469" t="n">
        <v>23</v>
      </c>
      <c r="AF469" t="n">
        <v>7</v>
      </c>
      <c r="AG469" t="n">
        <v>7</v>
      </c>
      <c r="AH469" t="n">
        <v>5</v>
      </c>
      <c r="AI469" t="n">
        <v>6</v>
      </c>
      <c r="AJ469" t="n">
        <v>8</v>
      </c>
      <c r="AK469" t="n">
        <v>10</v>
      </c>
      <c r="AL469" t="n">
        <v>5</v>
      </c>
      <c r="AM469" t="n">
        <v>5</v>
      </c>
      <c r="AN469" t="n">
        <v>0</v>
      </c>
      <c r="AO469" t="n">
        <v>0</v>
      </c>
      <c r="AP469" t="inlineStr">
        <is>
          <t>No</t>
        </is>
      </c>
      <c r="AQ469" t="inlineStr">
        <is>
          <t>Yes</t>
        </is>
      </c>
      <c r="AR469">
        <f>HYPERLINK("http://catalog.hathitrust.org/Record/001500299","HathiTrust Record")</f>
        <v/>
      </c>
      <c r="AS469">
        <f>HYPERLINK("https://creighton-primo.hosted.exlibrisgroup.com/primo-explore/search?tab=default_tab&amp;search_scope=EVERYTHING&amp;vid=01CRU&amp;lang=en_US&amp;offset=0&amp;query=any,contains,991001012489702656","Catalog Record")</f>
        <v/>
      </c>
      <c r="AT469">
        <f>HYPERLINK("http://www.worldcat.org/oclc/173465","WorldCat Record")</f>
        <v/>
      </c>
      <c r="AU469" t="inlineStr">
        <is>
          <t>1303386:eng</t>
        </is>
      </c>
      <c r="AV469" t="inlineStr">
        <is>
          <t>173465</t>
        </is>
      </c>
      <c r="AW469" t="inlineStr">
        <is>
          <t>991001012489702656</t>
        </is>
      </c>
      <c r="AX469" t="inlineStr">
        <is>
          <t>991001012489702656</t>
        </is>
      </c>
      <c r="AY469" t="inlineStr">
        <is>
          <t>2268440940002656</t>
        </is>
      </c>
      <c r="AZ469" t="inlineStr">
        <is>
          <t>BOOK</t>
        </is>
      </c>
      <c r="BC469" t="inlineStr">
        <is>
          <t>32285001056869</t>
        </is>
      </c>
      <c r="BD469" t="inlineStr">
        <is>
          <t>893884963</t>
        </is>
      </c>
    </row>
    <row r="470">
      <c r="A470" t="inlineStr">
        <is>
          <t>No</t>
        </is>
      </c>
      <c r="B470" t="inlineStr">
        <is>
          <t>QL533 .F2</t>
        </is>
      </c>
      <c r="C470" t="inlineStr">
        <is>
          <t>0                      QL 0533000F  2</t>
        </is>
      </c>
      <c r="D470" t="inlineStr">
        <is>
          <t>The life of the fly : with which are interspersed some chapters of autobiography / by J. Henry Fabre ; tr. by Alexander Teixeira de Mattos.</t>
        </is>
      </c>
      <c r="F470" t="inlineStr">
        <is>
          <t>No</t>
        </is>
      </c>
      <c r="G470" t="inlineStr">
        <is>
          <t>1</t>
        </is>
      </c>
      <c r="H470" t="inlineStr">
        <is>
          <t>No</t>
        </is>
      </c>
      <c r="I470" t="inlineStr">
        <is>
          <t>No</t>
        </is>
      </c>
      <c r="J470" t="inlineStr">
        <is>
          <t>0</t>
        </is>
      </c>
      <c r="K470" t="inlineStr">
        <is>
          <t>Fabre, Jean-Henri, 1823-1915.</t>
        </is>
      </c>
      <c r="L470" t="inlineStr">
        <is>
          <t>New York : Dodd, Mead, and Company, 1913.</t>
        </is>
      </c>
      <c r="M470" t="inlineStr">
        <is>
          <t>1913</t>
        </is>
      </c>
      <c r="O470" t="inlineStr">
        <is>
          <t>eng</t>
        </is>
      </c>
      <c r="P470" t="inlineStr">
        <is>
          <t>nyu</t>
        </is>
      </c>
      <c r="R470" t="inlineStr">
        <is>
          <t xml:space="preserve">QL </t>
        </is>
      </c>
      <c r="S470" t="n">
        <v>2</v>
      </c>
      <c r="T470" t="n">
        <v>2</v>
      </c>
      <c r="U470" t="inlineStr">
        <is>
          <t>1994-02-07</t>
        </is>
      </c>
      <c r="V470" t="inlineStr">
        <is>
          <t>1994-02-07</t>
        </is>
      </c>
      <c r="W470" t="inlineStr">
        <is>
          <t>1992-04-09</t>
        </is>
      </c>
      <c r="X470" t="inlineStr">
        <is>
          <t>1992-04-09</t>
        </is>
      </c>
      <c r="Y470" t="n">
        <v>305</v>
      </c>
      <c r="Z470" t="n">
        <v>287</v>
      </c>
      <c r="AA470" t="n">
        <v>521</v>
      </c>
      <c r="AB470" t="n">
        <v>4</v>
      </c>
      <c r="AC470" t="n">
        <v>4</v>
      </c>
      <c r="AD470" t="n">
        <v>9</v>
      </c>
      <c r="AE470" t="n">
        <v>21</v>
      </c>
      <c r="AF470" t="n">
        <v>2</v>
      </c>
      <c r="AG470" t="n">
        <v>7</v>
      </c>
      <c r="AH470" t="n">
        <v>2</v>
      </c>
      <c r="AI470" t="n">
        <v>4</v>
      </c>
      <c r="AJ470" t="n">
        <v>4</v>
      </c>
      <c r="AK470" t="n">
        <v>11</v>
      </c>
      <c r="AL470" t="n">
        <v>3</v>
      </c>
      <c r="AM470" t="n">
        <v>3</v>
      </c>
      <c r="AN470" t="n">
        <v>0</v>
      </c>
      <c r="AO470" t="n">
        <v>0</v>
      </c>
      <c r="AP470" t="inlineStr">
        <is>
          <t>Yes</t>
        </is>
      </c>
      <c r="AQ470" t="inlineStr">
        <is>
          <t>No</t>
        </is>
      </c>
      <c r="AR470">
        <f>HYPERLINK("http://catalog.hathitrust.org/Record/001500300","HathiTrust Record")</f>
        <v/>
      </c>
      <c r="AS470">
        <f>HYPERLINK("https://creighton-primo.hosted.exlibrisgroup.com/primo-explore/search?tab=default_tab&amp;search_scope=EVERYTHING&amp;vid=01CRU&amp;lang=en_US&amp;offset=0&amp;query=any,contains,991003463009702656","Catalog Record")</f>
        <v/>
      </c>
      <c r="AT470">
        <f>HYPERLINK("http://www.worldcat.org/oclc/1004912","WorldCat Record")</f>
        <v/>
      </c>
      <c r="AU470" t="inlineStr">
        <is>
          <t>2863417300:eng</t>
        </is>
      </c>
      <c r="AV470" t="inlineStr">
        <is>
          <t>1004912</t>
        </is>
      </c>
      <c r="AW470" t="inlineStr">
        <is>
          <t>991003463009702656</t>
        </is>
      </c>
      <c r="AX470" t="inlineStr">
        <is>
          <t>991003463009702656</t>
        </is>
      </c>
      <c r="AY470" t="inlineStr">
        <is>
          <t>2255279110002656</t>
        </is>
      </c>
      <c r="AZ470" t="inlineStr">
        <is>
          <t>BOOK</t>
        </is>
      </c>
      <c r="BC470" t="inlineStr">
        <is>
          <t>32285001056851</t>
        </is>
      </c>
      <c r="BD470" t="inlineStr">
        <is>
          <t>893711384</t>
        </is>
      </c>
    </row>
    <row r="471">
      <c r="A471" t="inlineStr">
        <is>
          <t>No</t>
        </is>
      </c>
      <c r="B471" t="inlineStr">
        <is>
          <t>QL535.1 .C63</t>
        </is>
      </c>
      <c r="C471" t="inlineStr">
        <is>
          <t>0                      QL 0535100C  63</t>
        </is>
      </c>
      <c r="D471" t="inlineStr">
        <is>
          <t>The flies of western North America, by Frank R. Cole with the collaboration of Evert I. Schlinger.</t>
        </is>
      </c>
      <c r="F471" t="inlineStr">
        <is>
          <t>No</t>
        </is>
      </c>
      <c r="G471" t="inlineStr">
        <is>
          <t>1</t>
        </is>
      </c>
      <c r="H471" t="inlineStr">
        <is>
          <t>No</t>
        </is>
      </c>
      <c r="I471" t="inlineStr">
        <is>
          <t>No</t>
        </is>
      </c>
      <c r="J471" t="inlineStr">
        <is>
          <t>0</t>
        </is>
      </c>
      <c r="K471" t="inlineStr">
        <is>
          <t>Cole, Frank R. (Frank Raymond)</t>
        </is>
      </c>
      <c r="L471" t="inlineStr">
        <is>
          <t>Berkeley, University of California Press, 1969.</t>
        </is>
      </c>
      <c r="M471" t="inlineStr">
        <is>
          <t>1969</t>
        </is>
      </c>
      <c r="O471" t="inlineStr">
        <is>
          <t>eng</t>
        </is>
      </c>
      <c r="P471" t="inlineStr">
        <is>
          <t>cau</t>
        </is>
      </c>
      <c r="R471" t="inlineStr">
        <is>
          <t xml:space="preserve">QL </t>
        </is>
      </c>
      <c r="S471" t="n">
        <v>1</v>
      </c>
      <c r="T471" t="n">
        <v>1</v>
      </c>
      <c r="U471" t="inlineStr">
        <is>
          <t>2005-02-11</t>
        </is>
      </c>
      <c r="V471" t="inlineStr">
        <is>
          <t>2005-02-11</t>
        </is>
      </c>
      <c r="W471" t="inlineStr">
        <is>
          <t>1997-07-24</t>
        </is>
      </c>
      <c r="X471" t="inlineStr">
        <is>
          <t>1997-07-24</t>
        </is>
      </c>
      <c r="Y471" t="n">
        <v>452</v>
      </c>
      <c r="Z471" t="n">
        <v>382</v>
      </c>
      <c r="AA471" t="n">
        <v>382</v>
      </c>
      <c r="AB471" t="n">
        <v>4</v>
      </c>
      <c r="AC471" t="n">
        <v>4</v>
      </c>
      <c r="AD471" t="n">
        <v>10</v>
      </c>
      <c r="AE471" t="n">
        <v>10</v>
      </c>
      <c r="AF471" t="n">
        <v>2</v>
      </c>
      <c r="AG471" t="n">
        <v>2</v>
      </c>
      <c r="AH471" t="n">
        <v>1</v>
      </c>
      <c r="AI471" t="n">
        <v>1</v>
      </c>
      <c r="AJ471" t="n">
        <v>6</v>
      </c>
      <c r="AK471" t="n">
        <v>6</v>
      </c>
      <c r="AL471" t="n">
        <v>3</v>
      </c>
      <c r="AM471" t="n">
        <v>3</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HYPERLINK("https://creighton-primo.hosted.exlibrisgroup.com/primo-explore/search?tab=default_tab&amp;search_scope=EVERYTHING&amp;vid=01CRU&amp;lang=en_US&amp;offset=0&amp;query=any,contains,991000116449702656","Catalog Record")</f>
        <v/>
      </c>
      <c r="AT471">
        <f>HYPERLINK("http://www.worldcat.org/oclc/49352","WorldCat Record")</f>
        <v/>
      </c>
      <c r="AU471" t="inlineStr">
        <is>
          <t>1218916:eng</t>
        </is>
      </c>
      <c r="AV471" t="inlineStr">
        <is>
          <t>49352</t>
        </is>
      </c>
      <c r="AW471" t="inlineStr">
        <is>
          <t>991000116449702656</t>
        </is>
      </c>
      <c r="AX471" t="inlineStr">
        <is>
          <t>991000116449702656</t>
        </is>
      </c>
      <c r="AY471" t="inlineStr">
        <is>
          <t>2263577610002656</t>
        </is>
      </c>
      <c r="AZ471" t="inlineStr">
        <is>
          <t>BOOK</t>
        </is>
      </c>
      <c r="BC471" t="inlineStr">
        <is>
          <t>32285002981081</t>
        </is>
      </c>
      <c r="BD471" t="inlineStr">
        <is>
          <t>893871420</t>
        </is>
      </c>
    </row>
    <row r="472">
      <c r="A472" t="inlineStr">
        <is>
          <t>No</t>
        </is>
      </c>
      <c r="B472" t="inlineStr">
        <is>
          <t>QL535.1.A1 C37 1983</t>
        </is>
      </c>
      <c r="C472" t="inlineStr">
        <is>
          <t>0                      QL 0535100A  1                  C  37          1983</t>
        </is>
      </c>
      <c r="D472" t="inlineStr">
        <is>
          <t>A Catalog of the Diptera of America north of Mexico / prepared cooperatively by specialists on the various groups of Diptera under the direction of Alan Stone ... [et al.], Agricultural Research Service, United States Department of Agriculture.</t>
        </is>
      </c>
      <c r="F472" t="inlineStr">
        <is>
          <t>No</t>
        </is>
      </c>
      <c r="G472" t="inlineStr">
        <is>
          <t>1</t>
        </is>
      </c>
      <c r="H472" t="inlineStr">
        <is>
          <t>No</t>
        </is>
      </c>
      <c r="I472" t="inlineStr">
        <is>
          <t>No</t>
        </is>
      </c>
      <c r="J472" t="inlineStr">
        <is>
          <t>0</t>
        </is>
      </c>
      <c r="L472" t="inlineStr">
        <is>
          <t>Washington, D.C. : Smithsonian Institution Press, 1983.</t>
        </is>
      </c>
      <c r="M472" t="inlineStr">
        <is>
          <t>1983</t>
        </is>
      </c>
      <c r="O472" t="inlineStr">
        <is>
          <t>eng</t>
        </is>
      </c>
      <c r="P472" t="inlineStr">
        <is>
          <t>dcu</t>
        </is>
      </c>
      <c r="R472" t="inlineStr">
        <is>
          <t xml:space="preserve">QL </t>
        </is>
      </c>
      <c r="S472" t="n">
        <v>2</v>
      </c>
      <c r="T472" t="n">
        <v>2</v>
      </c>
      <c r="U472" t="inlineStr">
        <is>
          <t>2009-02-28</t>
        </is>
      </c>
      <c r="V472" t="inlineStr">
        <is>
          <t>2009-02-28</t>
        </is>
      </c>
      <c r="W472" t="inlineStr">
        <is>
          <t>1993-05-27</t>
        </is>
      </c>
      <c r="X472" t="inlineStr">
        <is>
          <t>1993-05-27</t>
        </is>
      </c>
      <c r="Y472" t="n">
        <v>68</v>
      </c>
      <c r="Z472" t="n">
        <v>63</v>
      </c>
      <c r="AA472" t="n">
        <v>262</v>
      </c>
      <c r="AB472" t="n">
        <v>2</v>
      </c>
      <c r="AC472" t="n">
        <v>4</v>
      </c>
      <c r="AD472" t="n">
        <v>1</v>
      </c>
      <c r="AE472" t="n">
        <v>6</v>
      </c>
      <c r="AF472" t="n">
        <v>0</v>
      </c>
      <c r="AG472" t="n">
        <v>2</v>
      </c>
      <c r="AH472" t="n">
        <v>0</v>
      </c>
      <c r="AI472" t="n">
        <v>0</v>
      </c>
      <c r="AJ472" t="n">
        <v>0</v>
      </c>
      <c r="AK472" t="n">
        <v>1</v>
      </c>
      <c r="AL472" t="n">
        <v>1</v>
      </c>
      <c r="AM472" t="n">
        <v>3</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HYPERLINK("https://creighton-primo.hosted.exlibrisgroup.com/primo-explore/search?tab=default_tab&amp;search_scope=EVERYTHING&amp;vid=01CRU&amp;lang=en_US&amp;offset=0&amp;query=any,contains,991000159319702656","Catalog Record")</f>
        <v/>
      </c>
      <c r="AT472">
        <f>HYPERLINK("http://www.worldcat.org/oclc/9256341","WorldCat Record")</f>
        <v/>
      </c>
      <c r="AU472" t="inlineStr">
        <is>
          <t>5534160030:eng</t>
        </is>
      </c>
      <c r="AV472" t="inlineStr">
        <is>
          <t>9256341</t>
        </is>
      </c>
      <c r="AW472" t="inlineStr">
        <is>
          <t>991000159319702656</t>
        </is>
      </c>
      <c r="AX472" t="inlineStr">
        <is>
          <t>991000159319702656</t>
        </is>
      </c>
      <c r="AY472" t="inlineStr">
        <is>
          <t>2256181970002656</t>
        </is>
      </c>
      <c r="AZ472" t="inlineStr">
        <is>
          <t>BOOK</t>
        </is>
      </c>
      <c r="BB472" t="inlineStr">
        <is>
          <t>9780874748901</t>
        </is>
      </c>
      <c r="BC472" t="inlineStr">
        <is>
          <t>32285001687507</t>
        </is>
      </c>
      <c r="BD472" t="inlineStr">
        <is>
          <t>893890466</t>
        </is>
      </c>
    </row>
    <row r="473">
      <c r="A473" t="inlineStr">
        <is>
          <t>No</t>
        </is>
      </c>
      <c r="B473" t="inlineStr">
        <is>
          <t>QL536 .B38</t>
        </is>
      </c>
      <c r="C473" t="inlineStr">
        <is>
          <t>0                      QL 0536000B  38</t>
        </is>
      </c>
      <c r="D473" t="inlineStr">
        <is>
          <t>The natural history of mosquitoes.</t>
        </is>
      </c>
      <c r="F473" t="inlineStr">
        <is>
          <t>No</t>
        </is>
      </c>
      <c r="G473" t="inlineStr">
        <is>
          <t>1</t>
        </is>
      </c>
      <c r="H473" t="inlineStr">
        <is>
          <t>No</t>
        </is>
      </c>
      <c r="I473" t="inlineStr">
        <is>
          <t>No</t>
        </is>
      </c>
      <c r="J473" t="inlineStr">
        <is>
          <t>0</t>
        </is>
      </c>
      <c r="K473" t="inlineStr">
        <is>
          <t>Bates, Marston, 1906-1974.</t>
        </is>
      </c>
      <c r="L473" t="inlineStr">
        <is>
          <t>New York : Macmillan Co., 1949.</t>
        </is>
      </c>
      <c r="M473" t="inlineStr">
        <is>
          <t>1949</t>
        </is>
      </c>
      <c r="O473" t="inlineStr">
        <is>
          <t>eng</t>
        </is>
      </c>
      <c r="P473" t="inlineStr">
        <is>
          <t>nyu</t>
        </is>
      </c>
      <c r="R473" t="inlineStr">
        <is>
          <t xml:space="preserve">QL </t>
        </is>
      </c>
      <c r="S473" t="n">
        <v>9</v>
      </c>
      <c r="T473" t="n">
        <v>9</v>
      </c>
      <c r="U473" t="inlineStr">
        <is>
          <t>2007-02-23</t>
        </is>
      </c>
      <c r="V473" t="inlineStr">
        <is>
          <t>2007-02-23</t>
        </is>
      </c>
      <c r="W473" t="inlineStr">
        <is>
          <t>1992-02-12</t>
        </is>
      </c>
      <c r="X473" t="inlineStr">
        <is>
          <t>1992-02-12</t>
        </is>
      </c>
      <c r="Y473" t="n">
        <v>500</v>
      </c>
      <c r="Z473" t="n">
        <v>406</v>
      </c>
      <c r="AA473" t="n">
        <v>621</v>
      </c>
      <c r="AB473" t="n">
        <v>4</v>
      </c>
      <c r="AC473" t="n">
        <v>5</v>
      </c>
      <c r="AD473" t="n">
        <v>17</v>
      </c>
      <c r="AE473" t="n">
        <v>24</v>
      </c>
      <c r="AF473" t="n">
        <v>4</v>
      </c>
      <c r="AG473" t="n">
        <v>8</v>
      </c>
      <c r="AH473" t="n">
        <v>3</v>
      </c>
      <c r="AI473" t="n">
        <v>3</v>
      </c>
      <c r="AJ473" t="n">
        <v>11</v>
      </c>
      <c r="AK473" t="n">
        <v>14</v>
      </c>
      <c r="AL473" t="n">
        <v>3</v>
      </c>
      <c r="AM473" t="n">
        <v>4</v>
      </c>
      <c r="AN473" t="n">
        <v>0</v>
      </c>
      <c r="AO473" t="n">
        <v>0</v>
      </c>
      <c r="AP473" t="inlineStr">
        <is>
          <t>No</t>
        </is>
      </c>
      <c r="AQ473" t="inlineStr">
        <is>
          <t>Yes</t>
        </is>
      </c>
      <c r="AR473">
        <f>HYPERLINK("http://catalog.hathitrust.org/Record/001500317","HathiTrust Record")</f>
        <v/>
      </c>
      <c r="AS473">
        <f>HYPERLINK("https://creighton-primo.hosted.exlibrisgroup.com/primo-explore/search?tab=default_tab&amp;search_scope=EVERYTHING&amp;vid=01CRU&amp;lang=en_US&amp;offset=0&amp;query=any,contains,991002835759702656","Catalog Record")</f>
        <v/>
      </c>
      <c r="AT473">
        <f>HYPERLINK("http://www.worldcat.org/oclc/479885","WorldCat Record")</f>
        <v/>
      </c>
      <c r="AU473" t="inlineStr">
        <is>
          <t>1556654:eng</t>
        </is>
      </c>
      <c r="AV473" t="inlineStr">
        <is>
          <t>479885</t>
        </is>
      </c>
      <c r="AW473" t="inlineStr">
        <is>
          <t>991002835759702656</t>
        </is>
      </c>
      <c r="AX473" t="inlineStr">
        <is>
          <t>991002835759702656</t>
        </is>
      </c>
      <c r="AY473" t="inlineStr">
        <is>
          <t>2263753100002656</t>
        </is>
      </c>
      <c r="AZ473" t="inlineStr">
        <is>
          <t>BOOK</t>
        </is>
      </c>
      <c r="BC473" t="inlineStr">
        <is>
          <t>32285000955871</t>
        </is>
      </c>
      <c r="BD473" t="inlineStr">
        <is>
          <t>893440578</t>
        </is>
      </c>
    </row>
    <row r="474">
      <c r="A474" t="inlineStr">
        <is>
          <t>No</t>
        </is>
      </c>
      <c r="B474" t="inlineStr">
        <is>
          <t>QL536 .M24 1966</t>
        </is>
      </c>
      <c r="C474" t="inlineStr">
        <is>
          <t>0                      QL 0536000M  24          1966</t>
        </is>
      </c>
      <c r="D474" t="inlineStr">
        <is>
          <t>Handbook of the mosquitoes of North America : their anatomy and biology : how they can be studied and how identified, how they carry disease, and how they can be controlled.</t>
        </is>
      </c>
      <c r="F474" t="inlineStr">
        <is>
          <t>No</t>
        </is>
      </c>
      <c r="G474" t="inlineStr">
        <is>
          <t>1</t>
        </is>
      </c>
      <c r="H474" t="inlineStr">
        <is>
          <t>No</t>
        </is>
      </c>
      <c r="I474" t="inlineStr">
        <is>
          <t>No</t>
        </is>
      </c>
      <c r="J474" t="inlineStr">
        <is>
          <t>0</t>
        </is>
      </c>
      <c r="K474" t="inlineStr">
        <is>
          <t>Matheson, Robert, 1881-1958.</t>
        </is>
      </c>
      <c r="L474" t="inlineStr">
        <is>
          <t>New York : Hafner Pub. Co., 1966 [c1944]</t>
        </is>
      </c>
      <c r="M474" t="inlineStr">
        <is>
          <t>1966</t>
        </is>
      </c>
      <c r="N474" t="inlineStr">
        <is>
          <t>2d ed., rev. and amplified.</t>
        </is>
      </c>
      <c r="O474" t="inlineStr">
        <is>
          <t>eng</t>
        </is>
      </c>
      <c r="P474" t="inlineStr">
        <is>
          <t>nyu</t>
        </is>
      </c>
      <c r="R474" t="inlineStr">
        <is>
          <t xml:space="preserve">QL </t>
        </is>
      </c>
      <c r="S474" t="n">
        <v>12</v>
      </c>
      <c r="T474" t="n">
        <v>12</v>
      </c>
      <c r="U474" t="inlineStr">
        <is>
          <t>2010-02-27</t>
        </is>
      </c>
      <c r="V474" t="inlineStr">
        <is>
          <t>2010-02-27</t>
        </is>
      </c>
      <c r="W474" t="inlineStr">
        <is>
          <t>1992-02-12</t>
        </is>
      </c>
      <c r="X474" t="inlineStr">
        <is>
          <t>1992-02-12</t>
        </is>
      </c>
      <c r="Y474" t="n">
        <v>171</v>
      </c>
      <c r="Z474" t="n">
        <v>156</v>
      </c>
      <c r="AA474" t="n">
        <v>408</v>
      </c>
      <c r="AB474" t="n">
        <v>2</v>
      </c>
      <c r="AC474" t="n">
        <v>5</v>
      </c>
      <c r="AD474" t="n">
        <v>3</v>
      </c>
      <c r="AE474" t="n">
        <v>18</v>
      </c>
      <c r="AF474" t="n">
        <v>2</v>
      </c>
      <c r="AG474" t="n">
        <v>10</v>
      </c>
      <c r="AH474" t="n">
        <v>0</v>
      </c>
      <c r="AI474" t="n">
        <v>3</v>
      </c>
      <c r="AJ474" t="n">
        <v>0</v>
      </c>
      <c r="AK474" t="n">
        <v>5</v>
      </c>
      <c r="AL474" t="n">
        <v>1</v>
      </c>
      <c r="AM474" t="n">
        <v>4</v>
      </c>
      <c r="AN474" t="n">
        <v>0</v>
      </c>
      <c r="AO474" t="n">
        <v>0</v>
      </c>
      <c r="AP474" t="inlineStr">
        <is>
          <t>No</t>
        </is>
      </c>
      <c r="AQ474" t="inlineStr">
        <is>
          <t>Yes</t>
        </is>
      </c>
      <c r="AR474">
        <f>HYPERLINK("http://catalog.hathitrust.org/Record/008001411","HathiTrust Record")</f>
        <v/>
      </c>
      <c r="AS474">
        <f>HYPERLINK("https://creighton-primo.hosted.exlibrisgroup.com/primo-explore/search?tab=default_tab&amp;search_scope=EVERYTHING&amp;vid=01CRU&amp;lang=en_US&amp;offset=0&amp;query=any,contains,991003249989702656","Catalog Record")</f>
        <v/>
      </c>
      <c r="AT474">
        <f>HYPERLINK("http://www.worldcat.org/oclc/775002","WorldCat Record")</f>
        <v/>
      </c>
      <c r="AU474" t="inlineStr">
        <is>
          <t>2238862:eng</t>
        </is>
      </c>
      <c r="AV474" t="inlineStr">
        <is>
          <t>775002</t>
        </is>
      </c>
      <c r="AW474" t="inlineStr">
        <is>
          <t>991003249989702656</t>
        </is>
      </c>
      <c r="AX474" t="inlineStr">
        <is>
          <t>991003249989702656</t>
        </is>
      </c>
      <c r="AY474" t="inlineStr">
        <is>
          <t>2266719320002656</t>
        </is>
      </c>
      <c r="AZ474" t="inlineStr">
        <is>
          <t>BOOK</t>
        </is>
      </c>
      <c r="BC474" t="inlineStr">
        <is>
          <t>32285000955863</t>
        </is>
      </c>
      <c r="BD474" t="inlineStr">
        <is>
          <t>893240008</t>
        </is>
      </c>
    </row>
    <row r="475">
      <c r="A475" t="inlineStr">
        <is>
          <t>No</t>
        </is>
      </c>
      <c r="B475" t="inlineStr">
        <is>
          <t>QL536 .S54 2005</t>
        </is>
      </c>
      <c r="C475" t="inlineStr">
        <is>
          <t>0                      QL 0536000S  54          2005</t>
        </is>
      </c>
      <c r="D475" t="inlineStr">
        <is>
          <t>Mosquito bite / Alexandra Siy &amp; Dennis Kunkel.</t>
        </is>
      </c>
      <c r="F475" t="inlineStr">
        <is>
          <t>No</t>
        </is>
      </c>
      <c r="G475" t="inlineStr">
        <is>
          <t>1</t>
        </is>
      </c>
      <c r="H475" t="inlineStr">
        <is>
          <t>No</t>
        </is>
      </c>
      <c r="I475" t="inlineStr">
        <is>
          <t>No</t>
        </is>
      </c>
      <c r="J475" t="inlineStr">
        <is>
          <t>0</t>
        </is>
      </c>
      <c r="K475" t="inlineStr">
        <is>
          <t>Siy, Alexandra.</t>
        </is>
      </c>
      <c r="L475" t="inlineStr">
        <is>
          <t>Watertown, MA : Charlesbridge, c2005.</t>
        </is>
      </c>
      <c r="M475" t="inlineStr">
        <is>
          <t>2005</t>
        </is>
      </c>
      <c r="O475" t="inlineStr">
        <is>
          <t>eng</t>
        </is>
      </c>
      <c r="P475" t="inlineStr">
        <is>
          <t>mau</t>
        </is>
      </c>
      <c r="R475" t="inlineStr">
        <is>
          <t xml:space="preserve">QL </t>
        </is>
      </c>
      <c r="S475" t="n">
        <v>2</v>
      </c>
      <c r="T475" t="n">
        <v>2</v>
      </c>
      <c r="U475" t="inlineStr">
        <is>
          <t>2008-04-02</t>
        </is>
      </c>
      <c r="V475" t="inlineStr">
        <is>
          <t>2008-04-02</t>
        </is>
      </c>
      <c r="W475" t="inlineStr">
        <is>
          <t>2006-03-14</t>
        </is>
      </c>
      <c r="X475" t="inlineStr">
        <is>
          <t>2006-03-14</t>
        </is>
      </c>
      <c r="Y475" t="n">
        <v>2480</v>
      </c>
      <c r="Z475" t="n">
        <v>2415</v>
      </c>
      <c r="AA475" t="n">
        <v>2420</v>
      </c>
      <c r="AB475" t="n">
        <v>18</v>
      </c>
      <c r="AC475" t="n">
        <v>18</v>
      </c>
      <c r="AD475" t="n">
        <v>11</v>
      </c>
      <c r="AE475" t="n">
        <v>11</v>
      </c>
      <c r="AF475" t="n">
        <v>4</v>
      </c>
      <c r="AG475" t="n">
        <v>4</v>
      </c>
      <c r="AH475" t="n">
        <v>2</v>
      </c>
      <c r="AI475" t="n">
        <v>2</v>
      </c>
      <c r="AJ475" t="n">
        <v>5</v>
      </c>
      <c r="AK475" t="n">
        <v>5</v>
      </c>
      <c r="AL475" t="n">
        <v>2</v>
      </c>
      <c r="AM475" t="n">
        <v>2</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HYPERLINK("https://creighton-primo.hosted.exlibrisgroup.com/primo-explore/search?tab=default_tab&amp;search_scope=EVERYTHING&amp;vid=01CRU&amp;lang=en_US&amp;offset=0&amp;query=any,contains,991004764709702656","Catalog Record")</f>
        <v/>
      </c>
      <c r="AT475">
        <f>HYPERLINK("http://www.worldcat.org/oclc/56368374","WorldCat Record")</f>
        <v/>
      </c>
      <c r="AU475" t="inlineStr">
        <is>
          <t>103596453:eng</t>
        </is>
      </c>
      <c r="AV475" t="inlineStr">
        <is>
          <t>56368374</t>
        </is>
      </c>
      <c r="AW475" t="inlineStr">
        <is>
          <t>991004764709702656</t>
        </is>
      </c>
      <c r="AX475" t="inlineStr">
        <is>
          <t>991004764709702656</t>
        </is>
      </c>
      <c r="AY475" t="inlineStr">
        <is>
          <t>2260099430002656</t>
        </is>
      </c>
      <c r="AZ475" t="inlineStr">
        <is>
          <t>BOOK</t>
        </is>
      </c>
      <c r="BB475" t="inlineStr">
        <is>
          <t>9781570915918</t>
        </is>
      </c>
      <c r="BC475" t="inlineStr">
        <is>
          <t>32285005165021</t>
        </is>
      </c>
      <c r="BD475" t="inlineStr">
        <is>
          <t>893679705</t>
        </is>
      </c>
    </row>
    <row r="476">
      <c r="A476" t="inlineStr">
        <is>
          <t>No</t>
        </is>
      </c>
      <c r="B476" t="inlineStr">
        <is>
          <t>QL536.G87</t>
        </is>
      </c>
      <c r="C476" t="inlineStr">
        <is>
          <t>0                      QL 0536000G  87</t>
        </is>
      </c>
      <c r="D476" t="inlineStr">
        <is>
          <t>Diptera : mosquitoes, family Culicidae / A.V. Gutsevich, A.S. Monchadskii, and A.A. Shtakelʹberg ; translated from Russian [by Rose Lavoott ; edited by O. Theodor].</t>
        </is>
      </c>
      <c r="F476" t="inlineStr">
        <is>
          <t>No</t>
        </is>
      </c>
      <c r="G476" t="inlineStr">
        <is>
          <t>1</t>
        </is>
      </c>
      <c r="H476" t="inlineStr">
        <is>
          <t>No</t>
        </is>
      </c>
      <c r="I476" t="inlineStr">
        <is>
          <t>No</t>
        </is>
      </c>
      <c r="J476" t="inlineStr">
        <is>
          <t>0</t>
        </is>
      </c>
      <c r="K476" t="inlineStr">
        <is>
          <t>Gut͡sevich, A. V. (Aleksandr Vasilʹevich), 1903-</t>
        </is>
      </c>
      <c r="L476" t="inlineStr">
        <is>
          <t>Jerusalem : Israel Program for Scientific Translations ; Springfield, Va. : available from the U.S. Dept. of Commerce, National Technical Information Service, 1974.</t>
        </is>
      </c>
      <c r="M476" t="inlineStr">
        <is>
          <t>1974</t>
        </is>
      </c>
      <c r="O476" t="inlineStr">
        <is>
          <t>eng</t>
        </is>
      </c>
      <c r="P476" t="inlineStr">
        <is>
          <t xml:space="preserve">is </t>
        </is>
      </c>
      <c r="Q476" t="inlineStr">
        <is>
          <t>Diptera ; v. 3, no. 4</t>
        </is>
      </c>
      <c r="R476" t="inlineStr">
        <is>
          <t xml:space="preserve">QL </t>
        </is>
      </c>
      <c r="S476" t="n">
        <v>9</v>
      </c>
      <c r="T476" t="n">
        <v>9</v>
      </c>
      <c r="U476" t="inlineStr">
        <is>
          <t>2005-02-27</t>
        </is>
      </c>
      <c r="V476" t="inlineStr">
        <is>
          <t>2005-02-27</t>
        </is>
      </c>
      <c r="W476" t="inlineStr">
        <is>
          <t>1992-10-06</t>
        </is>
      </c>
      <c r="X476" t="inlineStr">
        <is>
          <t>1992-10-06</t>
        </is>
      </c>
      <c r="Y476" t="n">
        <v>148</v>
      </c>
      <c r="Z476" t="n">
        <v>134</v>
      </c>
      <c r="AA476" t="n">
        <v>159</v>
      </c>
      <c r="AB476" t="n">
        <v>1</v>
      </c>
      <c r="AC476" t="n">
        <v>1</v>
      </c>
      <c r="AD476" t="n">
        <v>2</v>
      </c>
      <c r="AE476" t="n">
        <v>2</v>
      </c>
      <c r="AF476" t="n">
        <v>1</v>
      </c>
      <c r="AG476" t="n">
        <v>1</v>
      </c>
      <c r="AH476" t="n">
        <v>1</v>
      </c>
      <c r="AI476" t="n">
        <v>1</v>
      </c>
      <c r="AJ476" t="n">
        <v>0</v>
      </c>
      <c r="AK476" t="n">
        <v>0</v>
      </c>
      <c r="AL476" t="n">
        <v>0</v>
      </c>
      <c r="AM476" t="n">
        <v>0</v>
      </c>
      <c r="AN476" t="n">
        <v>0</v>
      </c>
      <c r="AO476" t="n">
        <v>0</v>
      </c>
      <c r="AP476" t="inlineStr">
        <is>
          <t>No</t>
        </is>
      </c>
      <c r="AQ476" t="inlineStr">
        <is>
          <t>Yes</t>
        </is>
      </c>
      <c r="AR476">
        <f>HYPERLINK("http://catalog.hathitrust.org/Record/001515713","HathiTrust Record")</f>
        <v/>
      </c>
      <c r="AS476">
        <f>HYPERLINK("https://creighton-primo.hosted.exlibrisgroup.com/primo-explore/search?tab=default_tab&amp;search_scope=EVERYTHING&amp;vid=01CRU&amp;lang=en_US&amp;offset=0&amp;query=any,contains,991003911949702656","Catalog Record")</f>
        <v/>
      </c>
      <c r="AT476">
        <f>HYPERLINK("http://www.worldcat.org/oclc/1853621","WorldCat Record")</f>
        <v/>
      </c>
      <c r="AU476" t="inlineStr">
        <is>
          <t>3901101961:eng</t>
        </is>
      </c>
      <c r="AV476" t="inlineStr">
        <is>
          <t>1853621</t>
        </is>
      </c>
      <c r="AW476" t="inlineStr">
        <is>
          <t>991003911949702656</t>
        </is>
      </c>
      <c r="AX476" t="inlineStr">
        <is>
          <t>991003911949702656</t>
        </is>
      </c>
      <c r="AY476" t="inlineStr">
        <is>
          <t>2264625160002656</t>
        </is>
      </c>
      <c r="AZ476" t="inlineStr">
        <is>
          <t>BOOK</t>
        </is>
      </c>
      <c r="BB476" t="inlineStr">
        <is>
          <t>9780706514759</t>
        </is>
      </c>
      <c r="BC476" t="inlineStr">
        <is>
          <t>32285001366680</t>
        </is>
      </c>
      <c r="BD476" t="inlineStr">
        <is>
          <t>893525418</t>
        </is>
      </c>
    </row>
    <row r="477">
      <c r="A477" t="inlineStr">
        <is>
          <t>No</t>
        </is>
      </c>
      <c r="B477" t="inlineStr">
        <is>
          <t>QL537.C24 D47</t>
        </is>
      </c>
      <c r="C477" t="inlineStr">
        <is>
          <t>0                      QL 0537000C  24                 D  47</t>
        </is>
      </c>
      <c r="D477" t="inlineStr">
        <is>
          <t>The hungry fly : a physiological study of the behavior associated with feeding / V. G. Dethier.</t>
        </is>
      </c>
      <c r="F477" t="inlineStr">
        <is>
          <t>No</t>
        </is>
      </c>
      <c r="G477" t="inlineStr">
        <is>
          <t>1</t>
        </is>
      </c>
      <c r="H477" t="inlineStr">
        <is>
          <t>No</t>
        </is>
      </c>
      <c r="I477" t="inlineStr">
        <is>
          <t>No</t>
        </is>
      </c>
      <c r="J477" t="inlineStr">
        <is>
          <t>0</t>
        </is>
      </c>
      <c r="K477" t="inlineStr">
        <is>
          <t>Dethier, V. G. (Vincent Gaston), 1915-1993.</t>
        </is>
      </c>
      <c r="L477" t="inlineStr">
        <is>
          <t>Cambridge, Mass. : Harvard University Press, 1976.</t>
        </is>
      </c>
      <c r="M477" t="inlineStr">
        <is>
          <t>1976</t>
        </is>
      </c>
      <c r="O477" t="inlineStr">
        <is>
          <t>eng</t>
        </is>
      </c>
      <c r="P477" t="inlineStr">
        <is>
          <t>mau</t>
        </is>
      </c>
      <c r="R477" t="inlineStr">
        <is>
          <t xml:space="preserve">QL </t>
        </is>
      </c>
      <c r="S477" t="n">
        <v>49</v>
      </c>
      <c r="T477" t="n">
        <v>49</v>
      </c>
      <c r="U477" t="inlineStr">
        <is>
          <t>2005-02-27</t>
        </is>
      </c>
      <c r="V477" t="inlineStr">
        <is>
          <t>2005-02-27</t>
        </is>
      </c>
      <c r="W477" t="inlineStr">
        <is>
          <t>1991-10-16</t>
        </is>
      </c>
      <c r="X477" t="inlineStr">
        <is>
          <t>1991-10-16</t>
        </is>
      </c>
      <c r="Y477" t="n">
        <v>523</v>
      </c>
      <c r="Z477" t="n">
        <v>421</v>
      </c>
      <c r="AA477" t="n">
        <v>436</v>
      </c>
      <c r="AB477" t="n">
        <v>5</v>
      </c>
      <c r="AC477" t="n">
        <v>5</v>
      </c>
      <c r="AD477" t="n">
        <v>15</v>
      </c>
      <c r="AE477" t="n">
        <v>15</v>
      </c>
      <c r="AF477" t="n">
        <v>5</v>
      </c>
      <c r="AG477" t="n">
        <v>5</v>
      </c>
      <c r="AH477" t="n">
        <v>4</v>
      </c>
      <c r="AI477" t="n">
        <v>4</v>
      </c>
      <c r="AJ477" t="n">
        <v>6</v>
      </c>
      <c r="AK477" t="n">
        <v>6</v>
      </c>
      <c r="AL477" t="n">
        <v>4</v>
      </c>
      <c r="AM477" t="n">
        <v>4</v>
      </c>
      <c r="AN477" t="n">
        <v>0</v>
      </c>
      <c r="AO477" t="n">
        <v>0</v>
      </c>
      <c r="AP477" t="inlineStr">
        <is>
          <t>No</t>
        </is>
      </c>
      <c r="AQ477" t="inlineStr">
        <is>
          <t>Yes</t>
        </is>
      </c>
      <c r="AR477">
        <f>HYPERLINK("http://catalog.hathitrust.org/Record/000025706","HathiTrust Record")</f>
        <v/>
      </c>
      <c r="AS477">
        <f>HYPERLINK("https://creighton-primo.hosted.exlibrisgroup.com/primo-explore/search?tab=default_tab&amp;search_scope=EVERYTHING&amp;vid=01CRU&amp;lang=en_US&amp;offset=0&amp;query=any,contains,991003651269702656","Catalog Record")</f>
        <v/>
      </c>
      <c r="AT477">
        <f>HYPERLINK("http://www.worldcat.org/oclc/1255001","WorldCat Record")</f>
        <v/>
      </c>
      <c r="AU477" t="inlineStr">
        <is>
          <t>825807438:eng</t>
        </is>
      </c>
      <c r="AV477" t="inlineStr">
        <is>
          <t>1255001</t>
        </is>
      </c>
      <c r="AW477" t="inlineStr">
        <is>
          <t>991003651269702656</t>
        </is>
      </c>
      <c r="AX477" t="inlineStr">
        <is>
          <t>991003651269702656</t>
        </is>
      </c>
      <c r="AY477" t="inlineStr">
        <is>
          <t>2258445490002656</t>
        </is>
      </c>
      <c r="AZ477" t="inlineStr">
        <is>
          <t>BOOK</t>
        </is>
      </c>
      <c r="BB477" t="inlineStr">
        <is>
          <t>9780674427105</t>
        </is>
      </c>
      <c r="BC477" t="inlineStr">
        <is>
          <t>32285000773670</t>
        </is>
      </c>
      <c r="BD477" t="inlineStr">
        <is>
          <t>893717933</t>
        </is>
      </c>
    </row>
    <row r="478">
      <c r="A478" t="inlineStr">
        <is>
          <t>No</t>
        </is>
      </c>
      <c r="B478" t="inlineStr">
        <is>
          <t>QL537.D75 K5</t>
        </is>
      </c>
      <c r="C478" t="inlineStr">
        <is>
          <t>0                      QL 0537000D  75                 K  5</t>
        </is>
      </c>
      <c r="D478" t="inlineStr">
        <is>
          <t>Ovarian development in Drosophila melanogaster / [by] Robert C. King.</t>
        </is>
      </c>
      <c r="F478" t="inlineStr">
        <is>
          <t>No</t>
        </is>
      </c>
      <c r="G478" t="inlineStr">
        <is>
          <t>1</t>
        </is>
      </c>
      <c r="H478" t="inlineStr">
        <is>
          <t>No</t>
        </is>
      </c>
      <c r="I478" t="inlineStr">
        <is>
          <t>No</t>
        </is>
      </c>
      <c r="J478" t="inlineStr">
        <is>
          <t>0</t>
        </is>
      </c>
      <c r="K478" t="inlineStr">
        <is>
          <t>King, Robert C.</t>
        </is>
      </c>
      <c r="L478" t="inlineStr">
        <is>
          <t>New York : Academic Press, 1970.</t>
        </is>
      </c>
      <c r="M478" t="inlineStr">
        <is>
          <t>1970</t>
        </is>
      </c>
      <c r="O478" t="inlineStr">
        <is>
          <t>eng</t>
        </is>
      </c>
      <c r="P478" t="inlineStr">
        <is>
          <t>nyu</t>
        </is>
      </c>
      <c r="R478" t="inlineStr">
        <is>
          <t xml:space="preserve">QL </t>
        </is>
      </c>
      <c r="S478" t="n">
        <v>2</v>
      </c>
      <c r="T478" t="n">
        <v>2</v>
      </c>
      <c r="U478" t="inlineStr">
        <is>
          <t>2002-03-21</t>
        </is>
      </c>
      <c r="V478" t="inlineStr">
        <is>
          <t>2002-03-21</t>
        </is>
      </c>
      <c r="W478" t="inlineStr">
        <is>
          <t>1995-08-09</t>
        </is>
      </c>
      <c r="X478" t="inlineStr">
        <is>
          <t>1995-08-09</t>
        </is>
      </c>
      <c r="Y478" t="n">
        <v>322</v>
      </c>
      <c r="Z478" t="n">
        <v>235</v>
      </c>
      <c r="AA478" t="n">
        <v>236</v>
      </c>
      <c r="AB478" t="n">
        <v>3</v>
      </c>
      <c r="AC478" t="n">
        <v>3</v>
      </c>
      <c r="AD478" t="n">
        <v>11</v>
      </c>
      <c r="AE478" t="n">
        <v>11</v>
      </c>
      <c r="AF478" t="n">
        <v>2</v>
      </c>
      <c r="AG478" t="n">
        <v>2</v>
      </c>
      <c r="AH478" t="n">
        <v>4</v>
      </c>
      <c r="AI478" t="n">
        <v>4</v>
      </c>
      <c r="AJ478" t="n">
        <v>5</v>
      </c>
      <c r="AK478" t="n">
        <v>5</v>
      </c>
      <c r="AL478" t="n">
        <v>2</v>
      </c>
      <c r="AM478" t="n">
        <v>2</v>
      </c>
      <c r="AN478" t="n">
        <v>0</v>
      </c>
      <c r="AO478" t="n">
        <v>0</v>
      </c>
      <c r="AP478" t="inlineStr">
        <is>
          <t>No</t>
        </is>
      </c>
      <c r="AQ478" t="inlineStr">
        <is>
          <t>Yes</t>
        </is>
      </c>
      <c r="AR478">
        <f>HYPERLINK("http://catalog.hathitrust.org/Record/001500365","HathiTrust Record")</f>
        <v/>
      </c>
      <c r="AS478">
        <f>HYPERLINK("https://creighton-primo.hosted.exlibrisgroup.com/primo-explore/search?tab=default_tab&amp;search_scope=EVERYTHING&amp;vid=01CRU&amp;lang=en_US&amp;offset=0&amp;query=any,contains,991000550399702656","Catalog Record")</f>
        <v/>
      </c>
      <c r="AT478">
        <f>HYPERLINK("http://www.worldcat.org/oclc/92495","WorldCat Record")</f>
        <v/>
      </c>
      <c r="AU478" t="inlineStr">
        <is>
          <t>1306130:eng</t>
        </is>
      </c>
      <c r="AV478" t="inlineStr">
        <is>
          <t>92495</t>
        </is>
      </c>
      <c r="AW478" t="inlineStr">
        <is>
          <t>991000550399702656</t>
        </is>
      </c>
      <c r="AX478" t="inlineStr">
        <is>
          <t>991000550399702656</t>
        </is>
      </c>
      <c r="AY478" t="inlineStr">
        <is>
          <t>2262582570002656</t>
        </is>
      </c>
      <c r="AZ478" t="inlineStr">
        <is>
          <t>BOOK</t>
        </is>
      </c>
      <c r="BC478" t="inlineStr">
        <is>
          <t>32285002063179</t>
        </is>
      </c>
      <c r="BD478" t="inlineStr">
        <is>
          <t>893708471</t>
        </is>
      </c>
    </row>
    <row r="479">
      <c r="A479" t="inlineStr">
        <is>
          <t>No</t>
        </is>
      </c>
      <c r="B479" t="inlineStr">
        <is>
          <t>QL537.D76 D48 1993</t>
        </is>
      </c>
      <c r="C479" t="inlineStr">
        <is>
          <t>0                      QL 0537000D  76                 D  48          1993</t>
        </is>
      </c>
      <c r="D479" t="inlineStr">
        <is>
          <t>The Development of Drosophila melanogaster / edited by Michael Bate, Alfonso Martinez Arias.</t>
        </is>
      </c>
      <c r="E479" t="inlineStr">
        <is>
          <t>V.2</t>
        </is>
      </c>
      <c r="F479" t="inlineStr">
        <is>
          <t>Yes</t>
        </is>
      </c>
      <c r="G479" t="inlineStr">
        <is>
          <t>1</t>
        </is>
      </c>
      <c r="H479" t="inlineStr">
        <is>
          <t>No</t>
        </is>
      </c>
      <c r="I479" t="inlineStr">
        <is>
          <t>No</t>
        </is>
      </c>
      <c r="J479" t="inlineStr">
        <is>
          <t>0</t>
        </is>
      </c>
      <c r="L479" t="inlineStr">
        <is>
          <t>Plainview, N.Y. : Cold Spring Harbor Laboratory Press, 1993.</t>
        </is>
      </c>
      <c r="M479" t="inlineStr">
        <is>
          <t>1993</t>
        </is>
      </c>
      <c r="O479" t="inlineStr">
        <is>
          <t>eng</t>
        </is>
      </c>
      <c r="P479" t="inlineStr">
        <is>
          <t>nyu</t>
        </is>
      </c>
      <c r="R479" t="inlineStr">
        <is>
          <t xml:space="preserve">QL </t>
        </is>
      </c>
      <c r="S479" t="n">
        <v>4</v>
      </c>
      <c r="T479" t="n">
        <v>7</v>
      </c>
      <c r="U479" t="inlineStr">
        <is>
          <t>2002-02-26</t>
        </is>
      </c>
      <c r="V479" t="inlineStr">
        <is>
          <t>2002-03-21</t>
        </is>
      </c>
      <c r="W479" t="inlineStr">
        <is>
          <t>1996-02-22</t>
        </is>
      </c>
      <c r="X479" t="inlineStr">
        <is>
          <t>1996-02-22</t>
        </is>
      </c>
      <c r="Y479" t="n">
        <v>228</v>
      </c>
      <c r="Z479" t="n">
        <v>168</v>
      </c>
      <c r="AA479" t="n">
        <v>176</v>
      </c>
      <c r="AB479" t="n">
        <v>1</v>
      </c>
      <c r="AC479" t="n">
        <v>1</v>
      </c>
      <c r="AD479" t="n">
        <v>9</v>
      </c>
      <c r="AE479" t="n">
        <v>10</v>
      </c>
      <c r="AF479" t="n">
        <v>4</v>
      </c>
      <c r="AG479" t="n">
        <v>5</v>
      </c>
      <c r="AH479" t="n">
        <v>1</v>
      </c>
      <c r="AI479" t="n">
        <v>1</v>
      </c>
      <c r="AJ479" t="n">
        <v>7</v>
      </c>
      <c r="AK479" t="n">
        <v>8</v>
      </c>
      <c r="AL479" t="n">
        <v>0</v>
      </c>
      <c r="AM479" t="n">
        <v>0</v>
      </c>
      <c r="AN479" t="n">
        <v>0</v>
      </c>
      <c r="AO479" t="n">
        <v>0</v>
      </c>
      <c r="AP479" t="inlineStr">
        <is>
          <t>No</t>
        </is>
      </c>
      <c r="AQ479" t="inlineStr">
        <is>
          <t>Yes</t>
        </is>
      </c>
      <c r="AR479">
        <f>HYPERLINK("http://catalog.hathitrust.org/Record/002780145","HathiTrust Record")</f>
        <v/>
      </c>
      <c r="AS479">
        <f>HYPERLINK("https://creighton-primo.hosted.exlibrisgroup.com/primo-explore/search?tab=default_tab&amp;search_scope=EVERYTHING&amp;vid=01CRU&amp;lang=en_US&amp;offset=0&amp;query=any,contains,991002122939702656","Catalog Record")</f>
        <v/>
      </c>
      <c r="AT479">
        <f>HYPERLINK("http://www.worldcat.org/oclc/27187165","WorldCat Record")</f>
        <v/>
      </c>
      <c r="AU479" t="inlineStr">
        <is>
          <t>350539034:eng</t>
        </is>
      </c>
      <c r="AV479" t="inlineStr">
        <is>
          <t>27187165</t>
        </is>
      </c>
      <c r="AW479" t="inlineStr">
        <is>
          <t>991002122939702656</t>
        </is>
      </c>
      <c r="AX479" t="inlineStr">
        <is>
          <t>991002122939702656</t>
        </is>
      </c>
      <c r="AY479" t="inlineStr">
        <is>
          <t>2267524700002656</t>
        </is>
      </c>
      <c r="AZ479" t="inlineStr">
        <is>
          <t>BOOK</t>
        </is>
      </c>
      <c r="BB479" t="inlineStr">
        <is>
          <t>9780879694234</t>
        </is>
      </c>
      <c r="BC479" t="inlineStr">
        <is>
          <t>32285002137205</t>
        </is>
      </c>
      <c r="BD479" t="inlineStr">
        <is>
          <t>893244778</t>
        </is>
      </c>
    </row>
    <row r="480">
      <c r="A480" t="inlineStr">
        <is>
          <t>No</t>
        </is>
      </c>
      <c r="B480" t="inlineStr">
        <is>
          <t>QL537.D76 D48 1993</t>
        </is>
      </c>
      <c r="C480" t="inlineStr">
        <is>
          <t>0                      QL 0537000D  76                 D  48          1993</t>
        </is>
      </c>
      <c r="D480" t="inlineStr">
        <is>
          <t>The Development of Drosophila melanogaster / edited by Michael Bate, Alfonso Martinez Arias.</t>
        </is>
      </c>
      <c r="E480" t="inlineStr">
        <is>
          <t>V.1</t>
        </is>
      </c>
      <c r="F480" t="inlineStr">
        <is>
          <t>Yes</t>
        </is>
      </c>
      <c r="G480" t="inlineStr">
        <is>
          <t>1</t>
        </is>
      </c>
      <c r="H480" t="inlineStr">
        <is>
          <t>No</t>
        </is>
      </c>
      <c r="I480" t="inlineStr">
        <is>
          <t>No</t>
        </is>
      </c>
      <c r="J480" t="inlineStr">
        <is>
          <t>0</t>
        </is>
      </c>
      <c r="L480" t="inlineStr">
        <is>
          <t>Plainview, N.Y. : Cold Spring Harbor Laboratory Press, 1993.</t>
        </is>
      </c>
      <c r="M480" t="inlineStr">
        <is>
          <t>1993</t>
        </is>
      </c>
      <c r="O480" t="inlineStr">
        <is>
          <t>eng</t>
        </is>
      </c>
      <c r="P480" t="inlineStr">
        <is>
          <t>nyu</t>
        </is>
      </c>
      <c r="R480" t="inlineStr">
        <is>
          <t xml:space="preserve">QL </t>
        </is>
      </c>
      <c r="S480" t="n">
        <v>3</v>
      </c>
      <c r="T480" t="n">
        <v>7</v>
      </c>
      <c r="U480" t="inlineStr">
        <is>
          <t>2002-03-21</t>
        </is>
      </c>
      <c r="V480" t="inlineStr">
        <is>
          <t>2002-03-21</t>
        </is>
      </c>
      <c r="W480" t="inlineStr">
        <is>
          <t>1996-02-22</t>
        </is>
      </c>
      <c r="X480" t="inlineStr">
        <is>
          <t>1996-02-22</t>
        </is>
      </c>
      <c r="Y480" t="n">
        <v>228</v>
      </c>
      <c r="Z480" t="n">
        <v>168</v>
      </c>
      <c r="AA480" t="n">
        <v>176</v>
      </c>
      <c r="AB480" t="n">
        <v>1</v>
      </c>
      <c r="AC480" t="n">
        <v>1</v>
      </c>
      <c r="AD480" t="n">
        <v>9</v>
      </c>
      <c r="AE480" t="n">
        <v>10</v>
      </c>
      <c r="AF480" t="n">
        <v>4</v>
      </c>
      <c r="AG480" t="n">
        <v>5</v>
      </c>
      <c r="AH480" t="n">
        <v>1</v>
      </c>
      <c r="AI480" t="n">
        <v>1</v>
      </c>
      <c r="AJ480" t="n">
        <v>7</v>
      </c>
      <c r="AK480" t="n">
        <v>8</v>
      </c>
      <c r="AL480" t="n">
        <v>0</v>
      </c>
      <c r="AM480" t="n">
        <v>0</v>
      </c>
      <c r="AN480" t="n">
        <v>0</v>
      </c>
      <c r="AO480" t="n">
        <v>0</v>
      </c>
      <c r="AP480" t="inlineStr">
        <is>
          <t>No</t>
        </is>
      </c>
      <c r="AQ480" t="inlineStr">
        <is>
          <t>Yes</t>
        </is>
      </c>
      <c r="AR480">
        <f>HYPERLINK("http://catalog.hathitrust.org/Record/002780145","HathiTrust Record")</f>
        <v/>
      </c>
      <c r="AS480">
        <f>HYPERLINK("https://creighton-primo.hosted.exlibrisgroup.com/primo-explore/search?tab=default_tab&amp;search_scope=EVERYTHING&amp;vid=01CRU&amp;lang=en_US&amp;offset=0&amp;query=any,contains,991002122939702656","Catalog Record")</f>
        <v/>
      </c>
      <c r="AT480">
        <f>HYPERLINK("http://www.worldcat.org/oclc/27187165","WorldCat Record")</f>
        <v/>
      </c>
      <c r="AU480" t="inlineStr">
        <is>
          <t>350539034:eng</t>
        </is>
      </c>
      <c r="AV480" t="inlineStr">
        <is>
          <t>27187165</t>
        </is>
      </c>
      <c r="AW480" t="inlineStr">
        <is>
          <t>991002122939702656</t>
        </is>
      </c>
      <c r="AX480" t="inlineStr">
        <is>
          <t>991002122939702656</t>
        </is>
      </c>
      <c r="AY480" t="inlineStr">
        <is>
          <t>2267524700002656</t>
        </is>
      </c>
      <c r="AZ480" t="inlineStr">
        <is>
          <t>BOOK</t>
        </is>
      </c>
      <c r="BB480" t="inlineStr">
        <is>
          <t>9780879694234</t>
        </is>
      </c>
      <c r="BC480" t="inlineStr">
        <is>
          <t>32285002137197</t>
        </is>
      </c>
      <c r="BD480" t="inlineStr">
        <is>
          <t>893256904</t>
        </is>
      </c>
    </row>
    <row r="481">
      <c r="A481" t="inlineStr">
        <is>
          <t>No</t>
        </is>
      </c>
      <c r="B481" t="inlineStr">
        <is>
          <t>QL537.D76 E97 1981</t>
        </is>
      </c>
      <c r="C481" t="inlineStr">
        <is>
          <t>0                      QL 0537000D  76                 E  97          1981</t>
        </is>
      </c>
      <c r="D481" t="inlineStr">
        <is>
          <t>Advances in genetics, development, and evolution of drosophilia / edited by Seppo Lakovaara.</t>
        </is>
      </c>
      <c r="F481" t="inlineStr">
        <is>
          <t>No</t>
        </is>
      </c>
      <c r="G481" t="inlineStr">
        <is>
          <t>1</t>
        </is>
      </c>
      <c r="H481" t="inlineStr">
        <is>
          <t>No</t>
        </is>
      </c>
      <c r="I481" t="inlineStr">
        <is>
          <t>No</t>
        </is>
      </c>
      <c r="J481" t="inlineStr">
        <is>
          <t>0</t>
        </is>
      </c>
      <c r="K481" t="inlineStr">
        <is>
          <t>European Drosophila Research Conference (7th : 1981 : University of Oulu)</t>
        </is>
      </c>
      <c r="L481" t="inlineStr">
        <is>
          <t>New York : Plenum Press, c1982.</t>
        </is>
      </c>
      <c r="M481" t="inlineStr">
        <is>
          <t>1982</t>
        </is>
      </c>
      <c r="O481" t="inlineStr">
        <is>
          <t>eng</t>
        </is>
      </c>
      <c r="P481" t="inlineStr">
        <is>
          <t>nyu</t>
        </is>
      </c>
      <c r="R481" t="inlineStr">
        <is>
          <t xml:space="preserve">QL </t>
        </is>
      </c>
      <c r="S481" t="n">
        <v>1</v>
      </c>
      <c r="T481" t="n">
        <v>1</v>
      </c>
      <c r="U481" t="inlineStr">
        <is>
          <t>2002-02-21</t>
        </is>
      </c>
      <c r="V481" t="inlineStr">
        <is>
          <t>2002-02-21</t>
        </is>
      </c>
      <c r="W481" t="inlineStr">
        <is>
          <t>1993-05-27</t>
        </is>
      </c>
      <c r="X481" t="inlineStr">
        <is>
          <t>1993-05-27</t>
        </is>
      </c>
      <c r="Y481" t="n">
        <v>210</v>
      </c>
      <c r="Z481" t="n">
        <v>151</v>
      </c>
      <c r="AA481" t="n">
        <v>170</v>
      </c>
      <c r="AB481" t="n">
        <v>1</v>
      </c>
      <c r="AC481" t="n">
        <v>1</v>
      </c>
      <c r="AD481" t="n">
        <v>6</v>
      </c>
      <c r="AE481" t="n">
        <v>7</v>
      </c>
      <c r="AF481" t="n">
        <v>2</v>
      </c>
      <c r="AG481" t="n">
        <v>3</v>
      </c>
      <c r="AH481" t="n">
        <v>2</v>
      </c>
      <c r="AI481" t="n">
        <v>2</v>
      </c>
      <c r="AJ481" t="n">
        <v>4</v>
      </c>
      <c r="AK481" t="n">
        <v>5</v>
      </c>
      <c r="AL481" t="n">
        <v>0</v>
      </c>
      <c r="AM481" t="n">
        <v>0</v>
      </c>
      <c r="AN481" t="n">
        <v>0</v>
      </c>
      <c r="AO481" t="n">
        <v>0</v>
      </c>
      <c r="AP481" t="inlineStr">
        <is>
          <t>No</t>
        </is>
      </c>
      <c r="AQ481" t="inlineStr">
        <is>
          <t>Yes</t>
        </is>
      </c>
      <c r="AR481">
        <f>HYPERLINK("http://catalog.hathitrust.org/Record/000772218","HathiTrust Record")</f>
        <v/>
      </c>
      <c r="AS481">
        <f>HYPERLINK("https://creighton-primo.hosted.exlibrisgroup.com/primo-explore/search?tab=default_tab&amp;search_scope=EVERYTHING&amp;vid=01CRU&amp;lang=en_US&amp;offset=0&amp;query=any,contains,991005252589702656","Catalog Record")</f>
        <v/>
      </c>
      <c r="AT481">
        <f>HYPERLINK("http://www.worldcat.org/oclc/8495201","WorldCat Record")</f>
        <v/>
      </c>
      <c r="AU481" t="inlineStr">
        <is>
          <t>355955871:eng</t>
        </is>
      </c>
      <c r="AV481" t="inlineStr">
        <is>
          <t>8495201</t>
        </is>
      </c>
      <c r="AW481" t="inlineStr">
        <is>
          <t>991005252589702656</t>
        </is>
      </c>
      <c r="AX481" t="inlineStr">
        <is>
          <t>991005252589702656</t>
        </is>
      </c>
      <c r="AY481" t="inlineStr">
        <is>
          <t>2260750970002656</t>
        </is>
      </c>
      <c r="AZ481" t="inlineStr">
        <is>
          <t>BOOK</t>
        </is>
      </c>
      <c r="BB481" t="inlineStr">
        <is>
          <t>9780306411069</t>
        </is>
      </c>
      <c r="BC481" t="inlineStr">
        <is>
          <t>32285001687515</t>
        </is>
      </c>
      <c r="BD481" t="inlineStr">
        <is>
          <t>893707533</t>
        </is>
      </c>
    </row>
    <row r="482">
      <c r="A482" t="inlineStr">
        <is>
          <t>No</t>
        </is>
      </c>
      <c r="B482" t="inlineStr">
        <is>
          <t>QL537.D76 H36 1982</t>
        </is>
      </c>
      <c r="C482" t="inlineStr">
        <is>
          <t>0                      QL 0537000D  76                 H  36          1982</t>
        </is>
      </c>
      <c r="D482" t="inlineStr">
        <is>
          <t>A handbook of Drosophila development / edited by Robert Ransom.</t>
        </is>
      </c>
      <c r="F482" t="inlineStr">
        <is>
          <t>No</t>
        </is>
      </c>
      <c r="G482" t="inlineStr">
        <is>
          <t>1</t>
        </is>
      </c>
      <c r="H482" t="inlineStr">
        <is>
          <t>No</t>
        </is>
      </c>
      <c r="I482" t="inlineStr">
        <is>
          <t>No</t>
        </is>
      </c>
      <c r="J482" t="inlineStr">
        <is>
          <t>0</t>
        </is>
      </c>
      <c r="L482" t="inlineStr">
        <is>
          <t>Amsterdam ; New York : Elsevier Biomedical Press ; New York : Sole distributors for U.S. and Canada, Elsevier Science Publishing Co., 1982.</t>
        </is>
      </c>
      <c r="M482" t="inlineStr">
        <is>
          <t>1982</t>
        </is>
      </c>
      <c r="O482" t="inlineStr">
        <is>
          <t>eng</t>
        </is>
      </c>
      <c r="P482" t="inlineStr">
        <is>
          <t xml:space="preserve">ne </t>
        </is>
      </c>
      <c r="R482" t="inlineStr">
        <is>
          <t xml:space="preserve">QL </t>
        </is>
      </c>
      <c r="S482" t="n">
        <v>3</v>
      </c>
      <c r="T482" t="n">
        <v>3</v>
      </c>
      <c r="U482" t="inlineStr">
        <is>
          <t>2002-03-06</t>
        </is>
      </c>
      <c r="V482" t="inlineStr">
        <is>
          <t>2002-03-06</t>
        </is>
      </c>
      <c r="W482" t="inlineStr">
        <is>
          <t>1992-11-23</t>
        </is>
      </c>
      <c r="X482" t="inlineStr">
        <is>
          <t>1992-11-23</t>
        </is>
      </c>
      <c r="Y482" t="n">
        <v>238</v>
      </c>
      <c r="Z482" t="n">
        <v>160</v>
      </c>
      <c r="AA482" t="n">
        <v>162</v>
      </c>
      <c r="AB482" t="n">
        <v>2</v>
      </c>
      <c r="AC482" t="n">
        <v>2</v>
      </c>
      <c r="AD482" t="n">
        <v>6</v>
      </c>
      <c r="AE482" t="n">
        <v>6</v>
      </c>
      <c r="AF482" t="n">
        <v>2</v>
      </c>
      <c r="AG482" t="n">
        <v>2</v>
      </c>
      <c r="AH482" t="n">
        <v>2</v>
      </c>
      <c r="AI482" t="n">
        <v>2</v>
      </c>
      <c r="AJ482" t="n">
        <v>3</v>
      </c>
      <c r="AK482" t="n">
        <v>3</v>
      </c>
      <c r="AL482" t="n">
        <v>1</v>
      </c>
      <c r="AM482" t="n">
        <v>1</v>
      </c>
      <c r="AN482" t="n">
        <v>0</v>
      </c>
      <c r="AO482" t="n">
        <v>0</v>
      </c>
      <c r="AP482" t="inlineStr">
        <is>
          <t>No</t>
        </is>
      </c>
      <c r="AQ482" t="inlineStr">
        <is>
          <t>Yes</t>
        </is>
      </c>
      <c r="AR482">
        <f>HYPERLINK("http://catalog.hathitrust.org/Record/000770575","HathiTrust Record")</f>
        <v/>
      </c>
      <c r="AS482">
        <f>HYPERLINK("https://creighton-primo.hosted.exlibrisgroup.com/primo-explore/search?tab=default_tab&amp;search_scope=EVERYTHING&amp;vid=01CRU&amp;lang=en_US&amp;offset=0&amp;query=any,contains,991005193219702656","Catalog Record")</f>
        <v/>
      </c>
      <c r="AT482">
        <f>HYPERLINK("http://www.worldcat.org/oclc/8032161","WorldCat Record")</f>
        <v/>
      </c>
      <c r="AU482" t="inlineStr">
        <is>
          <t>54470604:eng</t>
        </is>
      </c>
      <c r="AV482" t="inlineStr">
        <is>
          <t>8032161</t>
        </is>
      </c>
      <c r="AW482" t="inlineStr">
        <is>
          <t>991005193219702656</t>
        </is>
      </c>
      <c r="AX482" t="inlineStr">
        <is>
          <t>991005193219702656</t>
        </is>
      </c>
      <c r="AY482" t="inlineStr">
        <is>
          <t>2268955900002656</t>
        </is>
      </c>
      <c r="AZ482" t="inlineStr">
        <is>
          <t>BOOK</t>
        </is>
      </c>
      <c r="BB482" t="inlineStr">
        <is>
          <t>9780444803665</t>
        </is>
      </c>
      <c r="BC482" t="inlineStr">
        <is>
          <t>32285001408474</t>
        </is>
      </c>
      <c r="BD482" t="inlineStr">
        <is>
          <t>893870671</t>
        </is>
      </c>
    </row>
    <row r="483">
      <c r="A483" t="inlineStr">
        <is>
          <t>No</t>
        </is>
      </c>
      <c r="B483" t="inlineStr">
        <is>
          <t>QL537.D76 H38 1993</t>
        </is>
      </c>
      <c r="C483" t="inlineStr">
        <is>
          <t>0                      QL 0537000D  76                 H  38          1993</t>
        </is>
      </c>
      <c r="D483" t="inlineStr">
        <is>
          <t>Atlas of Drosophila development / Volker Hartenstein.</t>
        </is>
      </c>
      <c r="F483" t="inlineStr">
        <is>
          <t>No</t>
        </is>
      </c>
      <c r="G483" t="inlineStr">
        <is>
          <t>1</t>
        </is>
      </c>
      <c r="H483" t="inlineStr">
        <is>
          <t>No</t>
        </is>
      </c>
      <c r="I483" t="inlineStr">
        <is>
          <t>No</t>
        </is>
      </c>
      <c r="J483" t="inlineStr">
        <is>
          <t>0</t>
        </is>
      </c>
      <c r="K483" t="inlineStr">
        <is>
          <t>Hartenstein, Volker, 1957-</t>
        </is>
      </c>
      <c r="L483" t="inlineStr">
        <is>
          <t>Plainview, N.Y. : Cold Spring Harbor Laboratory Press, 1993.</t>
        </is>
      </c>
      <c r="M483" t="inlineStr">
        <is>
          <t>1993</t>
        </is>
      </c>
      <c r="O483" t="inlineStr">
        <is>
          <t>eng</t>
        </is>
      </c>
      <c r="P483" t="inlineStr">
        <is>
          <t>nyu</t>
        </is>
      </c>
      <c r="R483" t="inlineStr">
        <is>
          <t xml:space="preserve">QL </t>
        </is>
      </c>
      <c r="S483" t="n">
        <v>4</v>
      </c>
      <c r="T483" t="n">
        <v>4</v>
      </c>
      <c r="U483" t="inlineStr">
        <is>
          <t>2002-03-21</t>
        </is>
      </c>
      <c r="V483" t="inlineStr">
        <is>
          <t>2002-03-21</t>
        </is>
      </c>
      <c r="W483" t="inlineStr">
        <is>
          <t>1996-02-22</t>
        </is>
      </c>
      <c r="X483" t="inlineStr">
        <is>
          <t>1996-02-22</t>
        </is>
      </c>
      <c r="Y483" t="n">
        <v>203</v>
      </c>
      <c r="Z483" t="n">
        <v>148</v>
      </c>
      <c r="AA483" t="n">
        <v>150</v>
      </c>
      <c r="AB483" t="n">
        <v>1</v>
      </c>
      <c r="AC483" t="n">
        <v>1</v>
      </c>
      <c r="AD483" t="n">
        <v>9</v>
      </c>
      <c r="AE483" t="n">
        <v>9</v>
      </c>
      <c r="AF483" t="n">
        <v>6</v>
      </c>
      <c r="AG483" t="n">
        <v>6</v>
      </c>
      <c r="AH483" t="n">
        <v>1</v>
      </c>
      <c r="AI483" t="n">
        <v>1</v>
      </c>
      <c r="AJ483" t="n">
        <v>6</v>
      </c>
      <c r="AK483" t="n">
        <v>6</v>
      </c>
      <c r="AL483" t="n">
        <v>0</v>
      </c>
      <c r="AM483" t="n">
        <v>0</v>
      </c>
      <c r="AN483" t="n">
        <v>0</v>
      </c>
      <c r="AO483" t="n">
        <v>0</v>
      </c>
      <c r="AP483" t="inlineStr">
        <is>
          <t>No</t>
        </is>
      </c>
      <c r="AQ483" t="inlineStr">
        <is>
          <t>Yes</t>
        </is>
      </c>
      <c r="AR483">
        <f>HYPERLINK("http://catalog.hathitrust.org/Record/002780947","HathiTrust Record")</f>
        <v/>
      </c>
      <c r="AS483">
        <f>HYPERLINK("https://creighton-primo.hosted.exlibrisgroup.com/primo-explore/search?tab=default_tab&amp;search_scope=EVERYTHING&amp;vid=01CRU&amp;lang=en_US&amp;offset=0&amp;query=any,contains,991002284319702656","Catalog Record")</f>
        <v/>
      </c>
      <c r="AT483">
        <f>HYPERLINK("http://www.worldcat.org/oclc/29631848","WorldCat Record")</f>
        <v/>
      </c>
      <c r="AU483" t="inlineStr">
        <is>
          <t>642763:eng</t>
        </is>
      </c>
      <c r="AV483" t="inlineStr">
        <is>
          <t>29631848</t>
        </is>
      </c>
      <c r="AW483" t="inlineStr">
        <is>
          <t>991002284319702656</t>
        </is>
      </c>
      <c r="AX483" t="inlineStr">
        <is>
          <t>991002284319702656</t>
        </is>
      </c>
      <c r="AY483" t="inlineStr">
        <is>
          <t>2256363380002656</t>
        </is>
      </c>
      <c r="AZ483" t="inlineStr">
        <is>
          <t>BOOK</t>
        </is>
      </c>
      <c r="BC483" t="inlineStr">
        <is>
          <t>32285002137213</t>
        </is>
      </c>
      <c r="BD483" t="inlineStr">
        <is>
          <t>893879721</t>
        </is>
      </c>
    </row>
    <row r="484">
      <c r="A484" t="inlineStr">
        <is>
          <t>No</t>
        </is>
      </c>
      <c r="B484" t="inlineStr">
        <is>
          <t>QL537.D76 H383 1995</t>
        </is>
      </c>
      <c r="C484" t="inlineStr">
        <is>
          <t>0                      QL 0537000D  76                 H  383         1995</t>
        </is>
      </c>
      <c r="D484" t="inlineStr">
        <is>
          <t>The drosophila genome map : a practical guide / Daniel L. Hartl, Elena R. Lozovskaya.</t>
        </is>
      </c>
      <c r="F484" t="inlineStr">
        <is>
          <t>No</t>
        </is>
      </c>
      <c r="G484" t="inlineStr">
        <is>
          <t>1</t>
        </is>
      </c>
      <c r="H484" t="inlineStr">
        <is>
          <t>No</t>
        </is>
      </c>
      <c r="I484" t="inlineStr">
        <is>
          <t>No</t>
        </is>
      </c>
      <c r="J484" t="inlineStr">
        <is>
          <t>0</t>
        </is>
      </c>
      <c r="K484" t="inlineStr">
        <is>
          <t>Hartl, Daniel L.</t>
        </is>
      </c>
      <c r="L484" t="inlineStr">
        <is>
          <t>New York : Springer-Verlag ; Austin, Tex., U.S.A. : R.G. Landes, c1995.</t>
        </is>
      </c>
      <c r="M484" t="inlineStr">
        <is>
          <t>1995</t>
        </is>
      </c>
      <c r="O484" t="inlineStr">
        <is>
          <t>eng</t>
        </is>
      </c>
      <c r="P484" t="inlineStr">
        <is>
          <t>nyu</t>
        </is>
      </c>
      <c r="Q484" t="inlineStr">
        <is>
          <t>Molecular biology intelligence unit</t>
        </is>
      </c>
      <c r="R484" t="inlineStr">
        <is>
          <t xml:space="preserve">QL </t>
        </is>
      </c>
      <c r="S484" t="n">
        <v>3</v>
      </c>
      <c r="T484" t="n">
        <v>3</v>
      </c>
      <c r="U484" t="inlineStr">
        <is>
          <t>2002-02-21</t>
        </is>
      </c>
      <c r="V484" t="inlineStr">
        <is>
          <t>2002-02-21</t>
        </is>
      </c>
      <c r="W484" t="inlineStr">
        <is>
          <t>1996-06-13</t>
        </is>
      </c>
      <c r="X484" t="inlineStr">
        <is>
          <t>1996-06-13</t>
        </is>
      </c>
      <c r="Y484" t="n">
        <v>162</v>
      </c>
      <c r="Z484" t="n">
        <v>108</v>
      </c>
      <c r="AA484" t="n">
        <v>114</v>
      </c>
      <c r="AB484" t="n">
        <v>2</v>
      </c>
      <c r="AC484" t="n">
        <v>2</v>
      </c>
      <c r="AD484" t="n">
        <v>5</v>
      </c>
      <c r="AE484" t="n">
        <v>5</v>
      </c>
      <c r="AF484" t="n">
        <v>3</v>
      </c>
      <c r="AG484" t="n">
        <v>3</v>
      </c>
      <c r="AH484" t="n">
        <v>1</v>
      </c>
      <c r="AI484" t="n">
        <v>1</v>
      </c>
      <c r="AJ484" t="n">
        <v>2</v>
      </c>
      <c r="AK484" t="n">
        <v>2</v>
      </c>
      <c r="AL484" t="n">
        <v>1</v>
      </c>
      <c r="AM484" t="n">
        <v>1</v>
      </c>
      <c r="AN484" t="n">
        <v>0</v>
      </c>
      <c r="AO484" t="n">
        <v>0</v>
      </c>
      <c r="AP484" t="inlineStr">
        <is>
          <t>No</t>
        </is>
      </c>
      <c r="AQ484" t="inlineStr">
        <is>
          <t>Yes</t>
        </is>
      </c>
      <c r="AR484">
        <f>HYPERLINK("http://catalog.hathitrust.org/Record/003135081","HathiTrust Record")</f>
        <v/>
      </c>
      <c r="AS484">
        <f>HYPERLINK("https://creighton-primo.hosted.exlibrisgroup.com/primo-explore/search?tab=default_tab&amp;search_scope=EVERYTHING&amp;vid=01CRU&amp;lang=en_US&amp;offset=0&amp;query=any,contains,991002460779702656","Catalog Record")</f>
        <v/>
      </c>
      <c r="AT484">
        <f>HYPERLINK("http://www.worldcat.org/oclc/32052870","WorldCat Record")</f>
        <v/>
      </c>
      <c r="AU484" t="inlineStr">
        <is>
          <t>33658921:eng</t>
        </is>
      </c>
      <c r="AV484" t="inlineStr">
        <is>
          <t>32052870</t>
        </is>
      </c>
      <c r="AW484" t="inlineStr">
        <is>
          <t>991002460779702656</t>
        </is>
      </c>
      <c r="AX484" t="inlineStr">
        <is>
          <t>991002460779702656</t>
        </is>
      </c>
      <c r="AY484" t="inlineStr">
        <is>
          <t>2267063830002656</t>
        </is>
      </c>
      <c r="AZ484" t="inlineStr">
        <is>
          <t>BOOK</t>
        </is>
      </c>
      <c r="BB484" t="inlineStr">
        <is>
          <t>9781570591013</t>
        </is>
      </c>
      <c r="BC484" t="inlineStr">
        <is>
          <t>32285002192960</t>
        </is>
      </c>
      <c r="BD484" t="inlineStr">
        <is>
          <t>893433913</t>
        </is>
      </c>
    </row>
    <row r="485">
      <c r="A485" t="inlineStr">
        <is>
          <t>No</t>
        </is>
      </c>
      <c r="B485" t="inlineStr">
        <is>
          <t>QL537.D76 I57 1979</t>
        </is>
      </c>
      <c r="C485" t="inlineStr">
        <is>
          <t>0                      QL 0537000D  76                 I  57          1979</t>
        </is>
      </c>
      <c r="D485" t="inlineStr">
        <is>
          <t>Development and neurobiology of Drosophila / edited by O. Siddiqi ... [et al.].</t>
        </is>
      </c>
      <c r="F485" t="inlineStr">
        <is>
          <t>No</t>
        </is>
      </c>
      <c r="G485" t="inlineStr">
        <is>
          <t>1</t>
        </is>
      </c>
      <c r="H485" t="inlineStr">
        <is>
          <t>No</t>
        </is>
      </c>
      <c r="I485" t="inlineStr">
        <is>
          <t>No</t>
        </is>
      </c>
      <c r="J485" t="inlineStr">
        <is>
          <t>0</t>
        </is>
      </c>
      <c r="K485" t="inlineStr">
        <is>
          <t>International Conference on Development and Behavior of Drosophila Melanogaster (1979 : Tata Institute of Fundamental Research)</t>
        </is>
      </c>
      <c r="L485" t="inlineStr">
        <is>
          <t>New York : Plenum Press, c1980.</t>
        </is>
      </c>
      <c r="M485" t="inlineStr">
        <is>
          <t>1980</t>
        </is>
      </c>
      <c r="O485" t="inlineStr">
        <is>
          <t>eng</t>
        </is>
      </c>
      <c r="P485" t="inlineStr">
        <is>
          <t>nyu</t>
        </is>
      </c>
      <c r="Q485" t="inlineStr">
        <is>
          <t>Basic life sciences ; v. 16</t>
        </is>
      </c>
      <c r="R485" t="inlineStr">
        <is>
          <t xml:space="preserve">QL </t>
        </is>
      </c>
      <c r="S485" t="n">
        <v>3</v>
      </c>
      <c r="T485" t="n">
        <v>3</v>
      </c>
      <c r="U485" t="inlineStr">
        <is>
          <t>2002-02-23</t>
        </is>
      </c>
      <c r="V485" t="inlineStr">
        <is>
          <t>2002-02-23</t>
        </is>
      </c>
      <c r="W485" t="inlineStr">
        <is>
          <t>1993-04-27</t>
        </is>
      </c>
      <c r="X485" t="inlineStr">
        <is>
          <t>1993-04-27</t>
        </is>
      </c>
      <c r="Y485" t="n">
        <v>262</v>
      </c>
      <c r="Z485" t="n">
        <v>198</v>
      </c>
      <c r="AA485" t="n">
        <v>217</v>
      </c>
      <c r="AB485" t="n">
        <v>2</v>
      </c>
      <c r="AC485" t="n">
        <v>2</v>
      </c>
      <c r="AD485" t="n">
        <v>8</v>
      </c>
      <c r="AE485" t="n">
        <v>9</v>
      </c>
      <c r="AF485" t="n">
        <v>1</v>
      </c>
      <c r="AG485" t="n">
        <v>2</v>
      </c>
      <c r="AH485" t="n">
        <v>1</v>
      </c>
      <c r="AI485" t="n">
        <v>1</v>
      </c>
      <c r="AJ485" t="n">
        <v>7</v>
      </c>
      <c r="AK485" t="n">
        <v>8</v>
      </c>
      <c r="AL485" t="n">
        <v>1</v>
      </c>
      <c r="AM485" t="n">
        <v>1</v>
      </c>
      <c r="AN485" t="n">
        <v>0</v>
      </c>
      <c r="AO485" t="n">
        <v>0</v>
      </c>
      <c r="AP485" t="inlineStr">
        <is>
          <t>No</t>
        </is>
      </c>
      <c r="AQ485" t="inlineStr">
        <is>
          <t>Yes</t>
        </is>
      </c>
      <c r="AR485">
        <f>HYPERLINK("http://catalog.hathitrust.org/Record/000111076","HathiTrust Record")</f>
        <v/>
      </c>
      <c r="AS485">
        <f>HYPERLINK("https://creighton-primo.hosted.exlibrisgroup.com/primo-explore/search?tab=default_tab&amp;search_scope=EVERYTHING&amp;vid=01CRU&amp;lang=en_US&amp;offset=0&amp;query=any,contains,991005011999702656","Catalog Record")</f>
        <v/>
      </c>
      <c r="AT485">
        <f>HYPERLINK("http://www.worldcat.org/oclc/6603304","WorldCat Record")</f>
        <v/>
      </c>
      <c r="AU485" t="inlineStr">
        <is>
          <t>147106867:eng</t>
        </is>
      </c>
      <c r="AV485" t="inlineStr">
        <is>
          <t>6603304</t>
        </is>
      </c>
      <c r="AW485" t="inlineStr">
        <is>
          <t>991005011999702656</t>
        </is>
      </c>
      <c r="AX485" t="inlineStr">
        <is>
          <t>991005011999702656</t>
        </is>
      </c>
      <c r="AY485" t="inlineStr">
        <is>
          <t>2254818850002656</t>
        </is>
      </c>
      <c r="AZ485" t="inlineStr">
        <is>
          <t>BOOK</t>
        </is>
      </c>
      <c r="BB485" t="inlineStr">
        <is>
          <t>9780306405594</t>
        </is>
      </c>
      <c r="BC485" t="inlineStr">
        <is>
          <t>32285001627396</t>
        </is>
      </c>
      <c r="BD485" t="inlineStr">
        <is>
          <t>893260434</t>
        </is>
      </c>
    </row>
    <row r="486">
      <c r="A486" t="inlineStr">
        <is>
          <t>No</t>
        </is>
      </c>
      <c r="B486" t="inlineStr">
        <is>
          <t>QL537.D76 L39 1992</t>
        </is>
      </c>
      <c r="C486" t="inlineStr">
        <is>
          <t>0                      QL 0537000D  76                 L  39          1992</t>
        </is>
      </c>
      <c r="D486" t="inlineStr">
        <is>
          <t>The making of a fly : the genetics of animal design / by Peter A. Lawrence.</t>
        </is>
      </c>
      <c r="F486" t="inlineStr">
        <is>
          <t>No</t>
        </is>
      </c>
      <c r="G486" t="inlineStr">
        <is>
          <t>1</t>
        </is>
      </c>
      <c r="H486" t="inlineStr">
        <is>
          <t>No</t>
        </is>
      </c>
      <c r="I486" t="inlineStr">
        <is>
          <t>No</t>
        </is>
      </c>
      <c r="J486" t="inlineStr">
        <is>
          <t>0</t>
        </is>
      </c>
      <c r="K486" t="inlineStr">
        <is>
          <t>Lawrence, Peter A. (Peter Anthony), 1941-</t>
        </is>
      </c>
      <c r="L486" t="inlineStr">
        <is>
          <t>Oxford ; Boston : Blackwell Scientific Publications, 1992.</t>
        </is>
      </c>
      <c r="M486" t="inlineStr">
        <is>
          <t>1992</t>
        </is>
      </c>
      <c r="O486" t="inlineStr">
        <is>
          <t>eng</t>
        </is>
      </c>
      <c r="P486" t="inlineStr">
        <is>
          <t>enk</t>
        </is>
      </c>
      <c r="R486" t="inlineStr">
        <is>
          <t xml:space="preserve">QL </t>
        </is>
      </c>
      <c r="S486" t="n">
        <v>6</v>
      </c>
      <c r="T486" t="n">
        <v>6</v>
      </c>
      <c r="U486" t="inlineStr">
        <is>
          <t>2005-02-27</t>
        </is>
      </c>
      <c r="V486" t="inlineStr">
        <is>
          <t>2005-02-27</t>
        </is>
      </c>
      <c r="W486" t="inlineStr">
        <is>
          <t>1992-11-19</t>
        </is>
      </c>
      <c r="X486" t="inlineStr">
        <is>
          <t>1992-11-19</t>
        </is>
      </c>
      <c r="Y486" t="n">
        <v>741</v>
      </c>
      <c r="Z486" t="n">
        <v>563</v>
      </c>
      <c r="AA486" t="n">
        <v>575</v>
      </c>
      <c r="AB486" t="n">
        <v>4</v>
      </c>
      <c r="AC486" t="n">
        <v>4</v>
      </c>
      <c r="AD486" t="n">
        <v>32</v>
      </c>
      <c r="AE486" t="n">
        <v>32</v>
      </c>
      <c r="AF486" t="n">
        <v>14</v>
      </c>
      <c r="AG486" t="n">
        <v>14</v>
      </c>
      <c r="AH486" t="n">
        <v>6</v>
      </c>
      <c r="AI486" t="n">
        <v>6</v>
      </c>
      <c r="AJ486" t="n">
        <v>17</v>
      </c>
      <c r="AK486" t="n">
        <v>17</v>
      </c>
      <c r="AL486" t="n">
        <v>3</v>
      </c>
      <c r="AM486" t="n">
        <v>3</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HYPERLINK("https://creighton-primo.hosted.exlibrisgroup.com/primo-explore/search?tab=default_tab&amp;search_scope=EVERYTHING&amp;vid=01CRU&amp;lang=en_US&amp;offset=0&amp;query=any,contains,991001916499702656","Catalog Record")</f>
        <v/>
      </c>
      <c r="AT486">
        <f>HYPERLINK("http://www.worldcat.org/oclc/24211238","WorldCat Record")</f>
        <v/>
      </c>
      <c r="AU486" t="inlineStr">
        <is>
          <t>926353:eng</t>
        </is>
      </c>
      <c r="AV486" t="inlineStr">
        <is>
          <t>24211238</t>
        </is>
      </c>
      <c r="AW486" t="inlineStr">
        <is>
          <t>991001916499702656</t>
        </is>
      </c>
      <c r="AX486" t="inlineStr">
        <is>
          <t>991001916499702656</t>
        </is>
      </c>
      <c r="AY486" t="inlineStr">
        <is>
          <t>2255902150002656</t>
        </is>
      </c>
      <c r="AZ486" t="inlineStr">
        <is>
          <t>BOOK</t>
        </is>
      </c>
      <c r="BB486" t="inlineStr">
        <is>
          <t>9780632030484</t>
        </is>
      </c>
      <c r="BC486" t="inlineStr">
        <is>
          <t>32285001363927</t>
        </is>
      </c>
      <c r="BD486" t="inlineStr">
        <is>
          <t>893785499</t>
        </is>
      </c>
    </row>
    <row r="487">
      <c r="A487" t="inlineStr">
        <is>
          <t>No</t>
        </is>
      </c>
      <c r="B487" t="inlineStr">
        <is>
          <t>QL537.M6 S7</t>
        </is>
      </c>
      <c r="C487" t="inlineStr">
        <is>
          <t>0                      QL 0537000M  6                  S  7</t>
        </is>
      </c>
      <c r="D487" t="inlineStr">
        <is>
          <t>The North American species of Drosophila, by A. H. Sturtevant.</t>
        </is>
      </c>
      <c r="F487" t="inlineStr">
        <is>
          <t>No</t>
        </is>
      </c>
      <c r="G487" t="inlineStr">
        <is>
          <t>1</t>
        </is>
      </c>
      <c r="H487" t="inlineStr">
        <is>
          <t>No</t>
        </is>
      </c>
      <c r="I487" t="inlineStr">
        <is>
          <t>No</t>
        </is>
      </c>
      <c r="J487" t="inlineStr">
        <is>
          <t>0</t>
        </is>
      </c>
      <c r="K487" t="inlineStr">
        <is>
          <t>Sturtevant, A. H. (Alfred Henry), 1891-1970.</t>
        </is>
      </c>
      <c r="L487" t="inlineStr">
        <is>
          <t>Washington, The Carnegie Institution of Washington, 1921.</t>
        </is>
      </c>
      <c r="M487" t="inlineStr">
        <is>
          <t>1921</t>
        </is>
      </c>
      <c r="O487" t="inlineStr">
        <is>
          <t>eng</t>
        </is>
      </c>
      <c r="P487" t="inlineStr">
        <is>
          <t>dcu</t>
        </is>
      </c>
      <c r="Q487" t="inlineStr">
        <is>
          <t>Carnegie Institution of Washington. Publication no. 301</t>
        </is>
      </c>
      <c r="R487" t="inlineStr">
        <is>
          <t xml:space="preserve">QL </t>
        </is>
      </c>
      <c r="S487" t="n">
        <v>2</v>
      </c>
      <c r="T487" t="n">
        <v>2</v>
      </c>
      <c r="U487" t="inlineStr">
        <is>
          <t>2002-03-06</t>
        </is>
      </c>
      <c r="V487" t="inlineStr">
        <is>
          <t>2002-03-06</t>
        </is>
      </c>
      <c r="W487" t="inlineStr">
        <is>
          <t>1997-07-24</t>
        </is>
      </c>
      <c r="X487" t="inlineStr">
        <is>
          <t>1997-07-24</t>
        </is>
      </c>
      <c r="Y487" t="n">
        <v>229</v>
      </c>
      <c r="Z487" t="n">
        <v>172</v>
      </c>
      <c r="AA487" t="n">
        <v>205</v>
      </c>
      <c r="AB487" t="n">
        <v>2</v>
      </c>
      <c r="AC487" t="n">
        <v>2</v>
      </c>
      <c r="AD487" t="n">
        <v>4</v>
      </c>
      <c r="AE487" t="n">
        <v>4</v>
      </c>
      <c r="AF487" t="n">
        <v>1</v>
      </c>
      <c r="AG487" t="n">
        <v>1</v>
      </c>
      <c r="AH487" t="n">
        <v>0</v>
      </c>
      <c r="AI487" t="n">
        <v>0</v>
      </c>
      <c r="AJ487" t="n">
        <v>2</v>
      </c>
      <c r="AK487" t="n">
        <v>2</v>
      </c>
      <c r="AL487" t="n">
        <v>1</v>
      </c>
      <c r="AM487" t="n">
        <v>1</v>
      </c>
      <c r="AN487" t="n">
        <v>0</v>
      </c>
      <c r="AO487" t="n">
        <v>0</v>
      </c>
      <c r="AP487" t="inlineStr">
        <is>
          <t>Yes</t>
        </is>
      </c>
      <c r="AQ487" t="inlineStr">
        <is>
          <t>No</t>
        </is>
      </c>
      <c r="AR487">
        <f>HYPERLINK("http://catalog.hathitrust.org/Record/002038393","HathiTrust Record")</f>
        <v/>
      </c>
      <c r="AS487">
        <f>HYPERLINK("https://creighton-primo.hosted.exlibrisgroup.com/primo-explore/search?tab=default_tab&amp;search_scope=EVERYTHING&amp;vid=01CRU&amp;lang=en_US&amp;offset=0&amp;query=any,contains,991004118059702656","Catalog Record")</f>
        <v/>
      </c>
      <c r="AT487">
        <f>HYPERLINK("http://www.worldcat.org/oclc/2421918","WorldCat Record")</f>
        <v/>
      </c>
      <c r="AU487" t="inlineStr">
        <is>
          <t>69439878:eng</t>
        </is>
      </c>
      <c r="AV487" t="inlineStr">
        <is>
          <t>2421918</t>
        </is>
      </c>
      <c r="AW487" t="inlineStr">
        <is>
          <t>991004118059702656</t>
        </is>
      </c>
      <c r="AX487" t="inlineStr">
        <is>
          <t>991004118059702656</t>
        </is>
      </c>
      <c r="AY487" t="inlineStr">
        <is>
          <t>2263684110002656</t>
        </is>
      </c>
      <c r="AZ487" t="inlineStr">
        <is>
          <t>BOOK</t>
        </is>
      </c>
      <c r="BC487" t="inlineStr">
        <is>
          <t>32285002981115</t>
        </is>
      </c>
      <c r="BD487" t="inlineStr">
        <is>
          <t>893411142</t>
        </is>
      </c>
    </row>
    <row r="488">
      <c r="A488" t="inlineStr">
        <is>
          <t>No</t>
        </is>
      </c>
      <c r="B488" t="inlineStr">
        <is>
          <t>QL537.T42 F765 1996</t>
        </is>
      </c>
      <c r="C488" t="inlineStr">
        <is>
          <t>0                      QL 0537000T  42                 F  765         1996</t>
        </is>
      </c>
      <c r="D488" t="inlineStr">
        <is>
          <t>Fruit fly pests : a world assessment of their biology and management / edited by Bruce A. McPheron, Gary J. Steck.</t>
        </is>
      </c>
      <c r="F488" t="inlineStr">
        <is>
          <t>No</t>
        </is>
      </c>
      <c r="G488" t="inlineStr">
        <is>
          <t>1</t>
        </is>
      </c>
      <c r="H488" t="inlineStr">
        <is>
          <t>No</t>
        </is>
      </c>
      <c r="I488" t="inlineStr">
        <is>
          <t>No</t>
        </is>
      </c>
      <c r="J488" t="inlineStr">
        <is>
          <t>0</t>
        </is>
      </c>
      <c r="L488" t="inlineStr">
        <is>
          <t>Delray Beach, FL : St. Lucie Press, c1996.</t>
        </is>
      </c>
      <c r="M488" t="inlineStr">
        <is>
          <t>1996</t>
        </is>
      </c>
      <c r="O488" t="inlineStr">
        <is>
          <t>eng</t>
        </is>
      </c>
      <c r="P488" t="inlineStr">
        <is>
          <t>flu</t>
        </is>
      </c>
      <c r="R488" t="inlineStr">
        <is>
          <t xml:space="preserve">QL </t>
        </is>
      </c>
      <c r="S488" t="n">
        <v>6</v>
      </c>
      <c r="T488" t="n">
        <v>6</v>
      </c>
      <c r="U488" t="inlineStr">
        <is>
          <t>1998-10-05</t>
        </is>
      </c>
      <c r="V488" t="inlineStr">
        <is>
          <t>1998-10-05</t>
        </is>
      </c>
      <c r="W488" t="inlineStr">
        <is>
          <t>1996-03-26</t>
        </is>
      </c>
      <c r="X488" t="inlineStr">
        <is>
          <t>1996-03-26</t>
        </is>
      </c>
      <c r="Y488" t="n">
        <v>169</v>
      </c>
      <c r="Z488" t="n">
        <v>105</v>
      </c>
      <c r="AA488" t="n">
        <v>124</v>
      </c>
      <c r="AB488" t="n">
        <v>1</v>
      </c>
      <c r="AC488" t="n">
        <v>1</v>
      </c>
      <c r="AD488" t="n">
        <v>2</v>
      </c>
      <c r="AE488" t="n">
        <v>2</v>
      </c>
      <c r="AF488" t="n">
        <v>0</v>
      </c>
      <c r="AG488" t="n">
        <v>0</v>
      </c>
      <c r="AH488" t="n">
        <v>2</v>
      </c>
      <c r="AI488" t="n">
        <v>2</v>
      </c>
      <c r="AJ488" t="n">
        <v>1</v>
      </c>
      <c r="AK488" t="n">
        <v>1</v>
      </c>
      <c r="AL488" t="n">
        <v>0</v>
      </c>
      <c r="AM488" t="n">
        <v>0</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HYPERLINK("https://creighton-primo.hosted.exlibrisgroup.com/primo-explore/search?tab=default_tab&amp;search_scope=EVERYTHING&amp;vid=01CRU&amp;lang=en_US&amp;offset=0&amp;query=any,contains,991002620719702656","Catalog Record")</f>
        <v/>
      </c>
      <c r="AT488">
        <f>HYPERLINK("http://www.worldcat.org/oclc/34343237","WorldCat Record")</f>
        <v/>
      </c>
      <c r="AU488" t="inlineStr">
        <is>
          <t>23644757:eng</t>
        </is>
      </c>
      <c r="AV488" t="inlineStr">
        <is>
          <t>34343237</t>
        </is>
      </c>
      <c r="AW488" t="inlineStr">
        <is>
          <t>991002620719702656</t>
        </is>
      </c>
      <c r="AX488" t="inlineStr">
        <is>
          <t>991002620719702656</t>
        </is>
      </c>
      <c r="AY488" t="inlineStr">
        <is>
          <t>2265503090002656</t>
        </is>
      </c>
      <c r="AZ488" t="inlineStr">
        <is>
          <t>BOOK</t>
        </is>
      </c>
      <c r="BB488" t="inlineStr">
        <is>
          <t>9781574440140</t>
        </is>
      </c>
      <c r="BC488" t="inlineStr">
        <is>
          <t>32285002146636</t>
        </is>
      </c>
      <c r="BD488" t="inlineStr">
        <is>
          <t>893262379</t>
        </is>
      </c>
    </row>
    <row r="489">
      <c r="A489" t="inlineStr">
        <is>
          <t>No</t>
        </is>
      </c>
      <c r="B489" t="inlineStr">
        <is>
          <t>QL537.T42 F775 2000</t>
        </is>
      </c>
      <c r="C489" t="inlineStr">
        <is>
          <t>0                      QL 0537000T  42                 F  775         2000</t>
        </is>
      </c>
      <c r="D489" t="inlineStr">
        <is>
          <t>Fruit flies (Tephritidae) : phylogeny and evolution of behavior / edited by Martín Aluja, Allen L. Norrbom.</t>
        </is>
      </c>
      <c r="F489" t="inlineStr">
        <is>
          <t>No</t>
        </is>
      </c>
      <c r="G489" t="inlineStr">
        <is>
          <t>1</t>
        </is>
      </c>
      <c r="H489" t="inlineStr">
        <is>
          <t>No</t>
        </is>
      </c>
      <c r="I489" t="inlineStr">
        <is>
          <t>No</t>
        </is>
      </c>
      <c r="J489" t="inlineStr">
        <is>
          <t>0</t>
        </is>
      </c>
      <c r="L489" t="inlineStr">
        <is>
          <t>Boca Raton, Fla. : CRC Press, c2000.</t>
        </is>
      </c>
      <c r="M489" t="inlineStr">
        <is>
          <t>2000</t>
        </is>
      </c>
      <c r="O489" t="inlineStr">
        <is>
          <t>eng</t>
        </is>
      </c>
      <c r="P489" t="inlineStr">
        <is>
          <t>flu</t>
        </is>
      </c>
      <c r="R489" t="inlineStr">
        <is>
          <t xml:space="preserve">QL </t>
        </is>
      </c>
      <c r="S489" t="n">
        <v>5</v>
      </c>
      <c r="T489" t="n">
        <v>5</v>
      </c>
      <c r="U489" t="inlineStr">
        <is>
          <t>2002-02-26</t>
        </is>
      </c>
      <c r="V489" t="inlineStr">
        <is>
          <t>2002-02-26</t>
        </is>
      </c>
      <c r="W489" t="inlineStr">
        <is>
          <t>2000-07-25</t>
        </is>
      </c>
      <c r="X489" t="inlineStr">
        <is>
          <t>2000-07-25</t>
        </is>
      </c>
      <c r="Y489" t="n">
        <v>185</v>
      </c>
      <c r="Z489" t="n">
        <v>130</v>
      </c>
      <c r="AA489" t="n">
        <v>166</v>
      </c>
      <c r="AB489" t="n">
        <v>1</v>
      </c>
      <c r="AC489" t="n">
        <v>1</v>
      </c>
      <c r="AD489" t="n">
        <v>4</v>
      </c>
      <c r="AE489" t="n">
        <v>4</v>
      </c>
      <c r="AF489" t="n">
        <v>1</v>
      </c>
      <c r="AG489" t="n">
        <v>1</v>
      </c>
      <c r="AH489" t="n">
        <v>1</v>
      </c>
      <c r="AI489" t="n">
        <v>1</v>
      </c>
      <c r="AJ489" t="n">
        <v>3</v>
      </c>
      <c r="AK489" t="n">
        <v>3</v>
      </c>
      <c r="AL489" t="n">
        <v>0</v>
      </c>
      <c r="AM489" t="n">
        <v>0</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HYPERLINK("https://creighton-primo.hosted.exlibrisgroup.com/primo-explore/search?tab=default_tab&amp;search_scope=EVERYTHING&amp;vid=01CRU&amp;lang=en_US&amp;offset=0&amp;query=any,contains,991003216799702656","Catalog Record")</f>
        <v/>
      </c>
      <c r="AT489">
        <f>HYPERLINK("http://www.worldcat.org/oclc/42429272","WorldCat Record")</f>
        <v/>
      </c>
      <c r="AU489" t="inlineStr">
        <is>
          <t>801480045:eng</t>
        </is>
      </c>
      <c r="AV489" t="inlineStr">
        <is>
          <t>42429272</t>
        </is>
      </c>
      <c r="AW489" t="inlineStr">
        <is>
          <t>991003216799702656</t>
        </is>
      </c>
      <c r="AX489" t="inlineStr">
        <is>
          <t>991003216799702656</t>
        </is>
      </c>
      <c r="AY489" t="inlineStr">
        <is>
          <t>2257165820002656</t>
        </is>
      </c>
      <c r="AZ489" t="inlineStr">
        <is>
          <t>BOOK</t>
        </is>
      </c>
      <c r="BB489" t="inlineStr">
        <is>
          <t>9780849312755</t>
        </is>
      </c>
      <c r="BC489" t="inlineStr">
        <is>
          <t>32285003741997</t>
        </is>
      </c>
      <c r="BD489" t="inlineStr">
        <is>
          <t>893233924</t>
        </is>
      </c>
    </row>
    <row r="490">
      <c r="A490" t="inlineStr">
        <is>
          <t>No</t>
        </is>
      </c>
      <c r="B490" t="inlineStr">
        <is>
          <t>QL541 .B56 1984</t>
        </is>
      </c>
      <c r="C490" t="inlineStr">
        <is>
          <t>0                      QL 0541000B  56          1984</t>
        </is>
      </c>
      <c r="D490" t="inlineStr">
        <is>
          <t>The Biology of butterflies / dedicated to E.B. Ford ; edited by R.I. Vane-Wright and P.R. Ackery.</t>
        </is>
      </c>
      <c r="F490" t="inlineStr">
        <is>
          <t>No</t>
        </is>
      </c>
      <c r="G490" t="inlineStr">
        <is>
          <t>1</t>
        </is>
      </c>
      <c r="H490" t="inlineStr">
        <is>
          <t>No</t>
        </is>
      </c>
      <c r="I490" t="inlineStr">
        <is>
          <t>No</t>
        </is>
      </c>
      <c r="J490" t="inlineStr">
        <is>
          <t>0</t>
        </is>
      </c>
      <c r="L490" t="inlineStr">
        <is>
          <t>London : Academic Press for the Royal Entomological Society of London, 1984.</t>
        </is>
      </c>
      <c r="M490" t="inlineStr">
        <is>
          <t>1984</t>
        </is>
      </c>
      <c r="O490" t="inlineStr">
        <is>
          <t>eng</t>
        </is>
      </c>
      <c r="P490" t="inlineStr">
        <is>
          <t>enk</t>
        </is>
      </c>
      <c r="Q490" t="inlineStr">
        <is>
          <t>Symposium of the Royal Entomological Society of London ; no. 11</t>
        </is>
      </c>
      <c r="R490" t="inlineStr">
        <is>
          <t xml:space="preserve">QL </t>
        </is>
      </c>
      <c r="S490" t="n">
        <v>15</v>
      </c>
      <c r="T490" t="n">
        <v>15</v>
      </c>
      <c r="U490" t="inlineStr">
        <is>
          <t>2010-02-03</t>
        </is>
      </c>
      <c r="V490" t="inlineStr">
        <is>
          <t>2010-02-03</t>
        </is>
      </c>
      <c r="W490" t="inlineStr">
        <is>
          <t>1992-04-27</t>
        </is>
      </c>
      <c r="X490" t="inlineStr">
        <is>
          <t>1992-04-27</t>
        </is>
      </c>
      <c r="Y490" t="n">
        <v>397</v>
      </c>
      <c r="Z490" t="n">
        <v>277</v>
      </c>
      <c r="AA490" t="n">
        <v>403</v>
      </c>
      <c r="AB490" t="n">
        <v>3</v>
      </c>
      <c r="AC490" t="n">
        <v>4</v>
      </c>
      <c r="AD490" t="n">
        <v>11</v>
      </c>
      <c r="AE490" t="n">
        <v>15</v>
      </c>
      <c r="AF490" t="n">
        <v>5</v>
      </c>
      <c r="AG490" t="n">
        <v>5</v>
      </c>
      <c r="AH490" t="n">
        <v>4</v>
      </c>
      <c r="AI490" t="n">
        <v>4</v>
      </c>
      <c r="AJ490" t="n">
        <v>4</v>
      </c>
      <c r="AK490" t="n">
        <v>7</v>
      </c>
      <c r="AL490" t="n">
        <v>2</v>
      </c>
      <c r="AM490" t="n">
        <v>3</v>
      </c>
      <c r="AN490" t="n">
        <v>0</v>
      </c>
      <c r="AO490" t="n">
        <v>0</v>
      </c>
      <c r="AP490" t="inlineStr">
        <is>
          <t>No</t>
        </is>
      </c>
      <c r="AQ490" t="inlineStr">
        <is>
          <t>Yes</t>
        </is>
      </c>
      <c r="AR490">
        <f>HYPERLINK("http://catalog.hathitrust.org/Record/000347243","HathiTrust Record")</f>
        <v/>
      </c>
      <c r="AS490">
        <f>HYPERLINK("https://creighton-primo.hosted.exlibrisgroup.com/primo-explore/search?tab=default_tab&amp;search_scope=EVERYTHING&amp;vid=01CRU&amp;lang=en_US&amp;offset=0&amp;query=any,contains,991000571829702656","Catalog Record")</f>
        <v/>
      </c>
      <c r="AT490">
        <f>HYPERLINK("http://www.worldcat.org/oclc/11651920","WorldCat Record")</f>
        <v/>
      </c>
      <c r="AU490" t="inlineStr">
        <is>
          <t>355817008:eng</t>
        </is>
      </c>
      <c r="AV490" t="inlineStr">
        <is>
          <t>11651920</t>
        </is>
      </c>
      <c r="AW490" t="inlineStr">
        <is>
          <t>991000571829702656</t>
        </is>
      </c>
      <c r="AX490" t="inlineStr">
        <is>
          <t>991000571829702656</t>
        </is>
      </c>
      <c r="AY490" t="inlineStr">
        <is>
          <t>2272126730002656</t>
        </is>
      </c>
      <c r="AZ490" t="inlineStr">
        <is>
          <t>BOOK</t>
        </is>
      </c>
      <c r="BC490" t="inlineStr">
        <is>
          <t>32285001072494</t>
        </is>
      </c>
      <c r="BD490" t="inlineStr">
        <is>
          <t>893243392</t>
        </is>
      </c>
    </row>
    <row r="491">
      <c r="A491" t="inlineStr">
        <is>
          <t>No</t>
        </is>
      </c>
      <c r="B491" t="inlineStr">
        <is>
          <t>QL542</t>
        </is>
      </c>
      <c r="C491" t="inlineStr">
        <is>
          <t>0                      QL 0542000</t>
        </is>
      </c>
      <c r="D491" t="inlineStr">
        <is>
          <t>A world for butterflies : their lives, behavior and future / Phil Schappert.</t>
        </is>
      </c>
      <c r="F491" t="inlineStr">
        <is>
          <t>No</t>
        </is>
      </c>
      <c r="G491" t="inlineStr">
        <is>
          <t>1</t>
        </is>
      </c>
      <c r="H491" t="inlineStr">
        <is>
          <t>No</t>
        </is>
      </c>
      <c r="I491" t="inlineStr">
        <is>
          <t>No</t>
        </is>
      </c>
      <c r="J491" t="inlineStr">
        <is>
          <t>0</t>
        </is>
      </c>
      <c r="K491" t="inlineStr">
        <is>
          <t>Schappert, Phillip Joseph, 1956-</t>
        </is>
      </c>
      <c r="L491" t="inlineStr">
        <is>
          <t>Toronto : Key Porter Books, c2000.</t>
        </is>
      </c>
      <c r="M491" t="inlineStr">
        <is>
          <t>2000</t>
        </is>
      </c>
      <c r="O491" t="inlineStr">
        <is>
          <t>eng</t>
        </is>
      </c>
      <c r="P491" t="inlineStr">
        <is>
          <t>onc</t>
        </is>
      </c>
      <c r="R491" t="inlineStr">
        <is>
          <t xml:space="preserve">QL </t>
        </is>
      </c>
      <c r="S491" t="n">
        <v>11</v>
      </c>
      <c r="T491" t="n">
        <v>11</v>
      </c>
      <c r="U491" t="inlineStr">
        <is>
          <t>2009-03-01</t>
        </is>
      </c>
      <c r="V491" t="inlineStr">
        <is>
          <t>2009-03-01</t>
        </is>
      </c>
      <c r="W491" t="inlineStr">
        <is>
          <t>2002-11-04</t>
        </is>
      </c>
      <c r="X491" t="inlineStr">
        <is>
          <t>2002-11-04</t>
        </is>
      </c>
      <c r="Y491" t="n">
        <v>98</v>
      </c>
      <c r="Z491" t="n">
        <v>55</v>
      </c>
      <c r="AA491" t="n">
        <v>1018</v>
      </c>
      <c r="AB491" t="n">
        <v>1</v>
      </c>
      <c r="AC491" t="n">
        <v>7</v>
      </c>
      <c r="AD491" t="n">
        <v>1</v>
      </c>
      <c r="AE491" t="n">
        <v>15</v>
      </c>
      <c r="AF491" t="n">
        <v>1</v>
      </c>
      <c r="AG491" t="n">
        <v>8</v>
      </c>
      <c r="AH491" t="n">
        <v>0</v>
      </c>
      <c r="AI491" t="n">
        <v>4</v>
      </c>
      <c r="AJ491" t="n">
        <v>1</v>
      </c>
      <c r="AK491" t="n">
        <v>8</v>
      </c>
      <c r="AL491" t="n">
        <v>0</v>
      </c>
      <c r="AM491" t="n">
        <v>1</v>
      </c>
      <c r="AN491" t="n">
        <v>0</v>
      </c>
      <c r="AO491" t="n">
        <v>0</v>
      </c>
      <c r="AP491" t="inlineStr">
        <is>
          <t>No</t>
        </is>
      </c>
      <c r="AQ491" t="inlineStr">
        <is>
          <t>Yes</t>
        </is>
      </c>
      <c r="AR491">
        <f>HYPERLINK("http://catalog.hathitrust.org/Record/102015629","HathiTrust Record")</f>
        <v/>
      </c>
      <c r="AS491">
        <f>HYPERLINK("https://creighton-primo.hosted.exlibrisgroup.com/primo-explore/search?tab=default_tab&amp;search_scope=EVERYTHING&amp;vid=01CRU&amp;lang=en_US&amp;offset=0&amp;query=any,contains,991003923669702656","Catalog Record")</f>
        <v/>
      </c>
      <c r="AT491">
        <f>HYPERLINK("http://www.worldcat.org/oclc/43275891","WorldCat Record")</f>
        <v/>
      </c>
      <c r="AU491" t="inlineStr">
        <is>
          <t>936245:eng</t>
        </is>
      </c>
      <c r="AV491" t="inlineStr">
        <is>
          <t>43275891</t>
        </is>
      </c>
      <c r="AW491" t="inlineStr">
        <is>
          <t>991003923669702656</t>
        </is>
      </c>
      <c r="AX491" t="inlineStr">
        <is>
          <t>991003923669702656</t>
        </is>
      </c>
      <c r="AY491" t="inlineStr">
        <is>
          <t>2269231290002656</t>
        </is>
      </c>
      <c r="AZ491" t="inlineStr">
        <is>
          <t>BOOK</t>
        </is>
      </c>
      <c r="BB491" t="inlineStr">
        <is>
          <t>9781552631546</t>
        </is>
      </c>
      <c r="BC491" t="inlineStr">
        <is>
          <t>32285004659974</t>
        </is>
      </c>
      <c r="BD491" t="inlineStr">
        <is>
          <t>893429442</t>
        </is>
      </c>
    </row>
    <row r="492">
      <c r="A492" t="inlineStr">
        <is>
          <t>No</t>
        </is>
      </c>
      <c r="B492" t="inlineStr">
        <is>
          <t>QL542 .N33 2000</t>
        </is>
      </c>
      <c r="C492" t="inlineStr">
        <is>
          <t>0                      QL 0542000N  33          2000</t>
        </is>
      </c>
      <c r="D492" t="inlineStr">
        <is>
          <t>Nabokov's butterflies : unpublished and uncollected writings / edited and annotated by Brian Boyd and Robert Michael Pyle ; new translations from the Russian by Dmitri Nabokov.</t>
        </is>
      </c>
      <c r="F492" t="inlineStr">
        <is>
          <t>No</t>
        </is>
      </c>
      <c r="G492" t="inlineStr">
        <is>
          <t>1</t>
        </is>
      </c>
      <c r="H492" t="inlineStr">
        <is>
          <t>No</t>
        </is>
      </c>
      <c r="I492" t="inlineStr">
        <is>
          <t>No</t>
        </is>
      </c>
      <c r="J492" t="inlineStr">
        <is>
          <t>0</t>
        </is>
      </c>
      <c r="K492" t="inlineStr">
        <is>
          <t>Nabokov, Vladimir Vladimirovich, 1899-1977.</t>
        </is>
      </c>
      <c r="L492" t="inlineStr">
        <is>
          <t>Boston : Beacon Press, c2000.</t>
        </is>
      </c>
      <c r="M492" t="inlineStr">
        <is>
          <t>2000</t>
        </is>
      </c>
      <c r="O492" t="inlineStr">
        <is>
          <t>eng</t>
        </is>
      </c>
      <c r="P492" t="inlineStr">
        <is>
          <t>mau</t>
        </is>
      </c>
      <c r="R492" t="inlineStr">
        <is>
          <t xml:space="preserve">QL </t>
        </is>
      </c>
      <c r="S492" t="n">
        <v>2</v>
      </c>
      <c r="T492" t="n">
        <v>2</v>
      </c>
      <c r="U492" t="inlineStr">
        <is>
          <t>2004-02-10</t>
        </is>
      </c>
      <c r="V492" t="inlineStr">
        <is>
          <t>2004-02-10</t>
        </is>
      </c>
      <c r="W492" t="inlineStr">
        <is>
          <t>2000-12-19</t>
        </is>
      </c>
      <c r="X492" t="inlineStr">
        <is>
          <t>2000-12-19</t>
        </is>
      </c>
      <c r="Y492" t="n">
        <v>534</v>
      </c>
      <c r="Z492" t="n">
        <v>477</v>
      </c>
      <c r="AA492" t="n">
        <v>490</v>
      </c>
      <c r="AB492" t="n">
        <v>4</v>
      </c>
      <c r="AC492" t="n">
        <v>4</v>
      </c>
      <c r="AD492" t="n">
        <v>19</v>
      </c>
      <c r="AE492" t="n">
        <v>19</v>
      </c>
      <c r="AF492" t="n">
        <v>7</v>
      </c>
      <c r="AG492" t="n">
        <v>7</v>
      </c>
      <c r="AH492" t="n">
        <v>6</v>
      </c>
      <c r="AI492" t="n">
        <v>6</v>
      </c>
      <c r="AJ492" t="n">
        <v>9</v>
      </c>
      <c r="AK492" t="n">
        <v>9</v>
      </c>
      <c r="AL492" t="n">
        <v>3</v>
      </c>
      <c r="AM492" t="n">
        <v>3</v>
      </c>
      <c r="AN492" t="n">
        <v>0</v>
      </c>
      <c r="AO492" t="n">
        <v>0</v>
      </c>
      <c r="AP492" t="inlineStr">
        <is>
          <t>No</t>
        </is>
      </c>
      <c r="AQ492" t="inlineStr">
        <is>
          <t>Yes</t>
        </is>
      </c>
      <c r="AR492">
        <f>HYPERLINK("http://catalog.hathitrust.org/Record/004096072","HathiTrust Record")</f>
        <v/>
      </c>
      <c r="AS492">
        <f>HYPERLINK("https://creighton-primo.hosted.exlibrisgroup.com/primo-explore/search?tab=default_tab&amp;search_scope=EVERYTHING&amp;vid=01CRU&amp;lang=en_US&amp;offset=0&amp;query=any,contains,991003358319702656","Catalog Record")</f>
        <v/>
      </c>
      <c r="AT492">
        <f>HYPERLINK("http://www.worldcat.org/oclc/39787844","WorldCat Record")</f>
        <v/>
      </c>
      <c r="AU492" t="inlineStr">
        <is>
          <t>2908620806:eng</t>
        </is>
      </c>
      <c r="AV492" t="inlineStr">
        <is>
          <t>39787844</t>
        </is>
      </c>
      <c r="AW492" t="inlineStr">
        <is>
          <t>991003358319702656</t>
        </is>
      </c>
      <c r="AX492" t="inlineStr">
        <is>
          <t>991003358319702656</t>
        </is>
      </c>
      <c r="AY492" t="inlineStr">
        <is>
          <t>2267378170002656</t>
        </is>
      </c>
      <c r="AZ492" t="inlineStr">
        <is>
          <t>BOOK</t>
        </is>
      </c>
      <c r="BB492" t="inlineStr">
        <is>
          <t>9780807085400</t>
        </is>
      </c>
      <c r="BC492" t="inlineStr">
        <is>
          <t>32285004277736</t>
        </is>
      </c>
      <c r="BD492" t="inlineStr">
        <is>
          <t>893592454</t>
        </is>
      </c>
    </row>
    <row r="493">
      <c r="A493" t="inlineStr">
        <is>
          <t>No</t>
        </is>
      </c>
      <c r="B493" t="inlineStr">
        <is>
          <t>QL542 .S3613 1998</t>
        </is>
      </c>
      <c r="C493" t="inlineStr">
        <is>
          <t>0                      QL 0542000S  3613        1998</t>
        </is>
      </c>
      <c r="D493" t="inlineStr">
        <is>
          <t>Butterflies of the world / Valerio Sbordoni, Saverio Forestiero.</t>
        </is>
      </c>
      <c r="F493" t="inlineStr">
        <is>
          <t>No</t>
        </is>
      </c>
      <c r="G493" t="inlineStr">
        <is>
          <t>1</t>
        </is>
      </c>
      <c r="H493" t="inlineStr">
        <is>
          <t>No</t>
        </is>
      </c>
      <c r="I493" t="inlineStr">
        <is>
          <t>No</t>
        </is>
      </c>
      <c r="J493" t="inlineStr">
        <is>
          <t>0</t>
        </is>
      </c>
      <c r="K493" t="inlineStr">
        <is>
          <t>Sbordoni, Valerio.</t>
        </is>
      </c>
      <c r="L493" t="inlineStr">
        <is>
          <t>Willowdale, Ont. : Firefly Books, 1998, c1985.</t>
        </is>
      </c>
      <c r="M493" t="inlineStr">
        <is>
          <t>1998</t>
        </is>
      </c>
      <c r="O493" t="inlineStr">
        <is>
          <t>eng</t>
        </is>
      </c>
      <c r="P493" t="inlineStr">
        <is>
          <t>onc</t>
        </is>
      </c>
      <c r="R493" t="inlineStr">
        <is>
          <t xml:space="preserve">QL </t>
        </is>
      </c>
      <c r="S493" t="n">
        <v>7</v>
      </c>
      <c r="T493" t="n">
        <v>7</v>
      </c>
      <c r="U493" t="inlineStr">
        <is>
          <t>2009-02-24</t>
        </is>
      </c>
      <c r="V493" t="inlineStr">
        <is>
          <t>2009-02-24</t>
        </is>
      </c>
      <c r="W493" t="inlineStr">
        <is>
          <t>1998-12-10</t>
        </is>
      </c>
      <c r="X493" t="inlineStr">
        <is>
          <t>1998-12-10</t>
        </is>
      </c>
      <c r="Y493" t="n">
        <v>693</v>
      </c>
      <c r="Z493" t="n">
        <v>640</v>
      </c>
      <c r="AA493" t="n">
        <v>1135</v>
      </c>
      <c r="AB493" t="n">
        <v>7</v>
      </c>
      <c r="AC493" t="n">
        <v>7</v>
      </c>
      <c r="AD493" t="n">
        <v>19</v>
      </c>
      <c r="AE493" t="n">
        <v>22</v>
      </c>
      <c r="AF493" t="n">
        <v>7</v>
      </c>
      <c r="AG493" t="n">
        <v>9</v>
      </c>
      <c r="AH493" t="n">
        <v>1</v>
      </c>
      <c r="AI493" t="n">
        <v>2</v>
      </c>
      <c r="AJ493" t="n">
        <v>11</v>
      </c>
      <c r="AK493" t="n">
        <v>11</v>
      </c>
      <c r="AL493" t="n">
        <v>4</v>
      </c>
      <c r="AM493" t="n">
        <v>4</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HYPERLINK("https://creighton-primo.hosted.exlibrisgroup.com/primo-explore/search?tab=default_tab&amp;search_scope=EVERYTHING&amp;vid=01CRU&amp;lang=en_US&amp;offset=0&amp;query=any,contains,991002891729702656","Catalog Record")</f>
        <v/>
      </c>
      <c r="AT493">
        <f>HYPERLINK("http://www.worldcat.org/oclc/38105180","WorldCat Record")</f>
        <v/>
      </c>
      <c r="AU493" t="inlineStr">
        <is>
          <t>994935:eng</t>
        </is>
      </c>
      <c r="AV493" t="inlineStr">
        <is>
          <t>38105180</t>
        </is>
      </c>
      <c r="AW493" t="inlineStr">
        <is>
          <t>991002891729702656</t>
        </is>
      </c>
      <c r="AX493" t="inlineStr">
        <is>
          <t>991002891729702656</t>
        </is>
      </c>
      <c r="AY493" t="inlineStr">
        <is>
          <t>2267845910002656</t>
        </is>
      </c>
      <c r="AZ493" t="inlineStr">
        <is>
          <t>BOOK</t>
        </is>
      </c>
      <c r="BB493" t="inlineStr">
        <is>
          <t>9781552092101</t>
        </is>
      </c>
      <c r="BC493" t="inlineStr">
        <is>
          <t>32285003505640</t>
        </is>
      </c>
      <c r="BD493" t="inlineStr">
        <is>
          <t>893245782</t>
        </is>
      </c>
    </row>
    <row r="494">
      <c r="A494" t="inlineStr">
        <is>
          <t>No</t>
        </is>
      </c>
      <c r="B494" t="inlineStr">
        <is>
          <t>QL542 .Y68 1997</t>
        </is>
      </c>
      <c r="C494" t="inlineStr">
        <is>
          <t>0                      QL 0542000Y  68          1997</t>
        </is>
      </c>
      <c r="D494" t="inlineStr">
        <is>
          <t>The natural history of moths / Mark Young ; with illustrations by Lyn Wells and photographs by Roy Leverton.</t>
        </is>
      </c>
      <c r="F494" t="inlineStr">
        <is>
          <t>No</t>
        </is>
      </c>
      <c r="G494" t="inlineStr">
        <is>
          <t>1</t>
        </is>
      </c>
      <c r="H494" t="inlineStr">
        <is>
          <t>No</t>
        </is>
      </c>
      <c r="I494" t="inlineStr">
        <is>
          <t>No</t>
        </is>
      </c>
      <c r="J494" t="inlineStr">
        <is>
          <t>0</t>
        </is>
      </c>
      <c r="K494" t="inlineStr">
        <is>
          <t>Young, Mark.</t>
        </is>
      </c>
      <c r="L494" t="inlineStr">
        <is>
          <t>London : Poyser, 1997.</t>
        </is>
      </c>
      <c r="M494" t="inlineStr">
        <is>
          <t>1997</t>
        </is>
      </c>
      <c r="O494" t="inlineStr">
        <is>
          <t>eng</t>
        </is>
      </c>
      <c r="P494" t="inlineStr">
        <is>
          <t>enk</t>
        </is>
      </c>
      <c r="R494" t="inlineStr">
        <is>
          <t xml:space="preserve">QL </t>
        </is>
      </c>
      <c r="S494" t="n">
        <v>9</v>
      </c>
      <c r="T494" t="n">
        <v>9</v>
      </c>
      <c r="U494" t="inlineStr">
        <is>
          <t>2009-06-02</t>
        </is>
      </c>
      <c r="V494" t="inlineStr">
        <is>
          <t>2009-06-02</t>
        </is>
      </c>
      <c r="W494" t="inlineStr">
        <is>
          <t>1997-10-03</t>
        </is>
      </c>
      <c r="X494" t="inlineStr">
        <is>
          <t>1997-10-03</t>
        </is>
      </c>
      <c r="Y494" t="n">
        <v>256</v>
      </c>
      <c r="Z494" t="n">
        <v>175</v>
      </c>
      <c r="AA494" t="n">
        <v>344</v>
      </c>
      <c r="AB494" t="n">
        <v>2</v>
      </c>
      <c r="AC494" t="n">
        <v>3</v>
      </c>
      <c r="AD494" t="n">
        <v>5</v>
      </c>
      <c r="AE494" t="n">
        <v>5</v>
      </c>
      <c r="AF494" t="n">
        <v>0</v>
      </c>
      <c r="AG494" t="n">
        <v>0</v>
      </c>
      <c r="AH494" t="n">
        <v>2</v>
      </c>
      <c r="AI494" t="n">
        <v>2</v>
      </c>
      <c r="AJ494" t="n">
        <v>3</v>
      </c>
      <c r="AK494" t="n">
        <v>3</v>
      </c>
      <c r="AL494" t="n">
        <v>1</v>
      </c>
      <c r="AM494" t="n">
        <v>1</v>
      </c>
      <c r="AN494" t="n">
        <v>0</v>
      </c>
      <c r="AO494" t="n">
        <v>0</v>
      </c>
      <c r="AP494" t="inlineStr">
        <is>
          <t>No</t>
        </is>
      </c>
      <c r="AQ494" t="inlineStr">
        <is>
          <t>Yes</t>
        </is>
      </c>
      <c r="AR494">
        <f>HYPERLINK("http://catalog.hathitrust.org/Record/003951085","HathiTrust Record")</f>
        <v/>
      </c>
      <c r="AS494">
        <f>HYPERLINK("https://creighton-primo.hosted.exlibrisgroup.com/primo-explore/search?tab=default_tab&amp;search_scope=EVERYTHING&amp;vid=01CRU&amp;lang=en_US&amp;offset=0&amp;query=any,contains,991002764599702656","Catalog Record")</f>
        <v/>
      </c>
      <c r="AT494">
        <f>HYPERLINK("http://www.worldcat.org/oclc/36279975","WorldCat Record")</f>
        <v/>
      </c>
      <c r="AU494" t="inlineStr">
        <is>
          <t>20693135:eng</t>
        </is>
      </c>
      <c r="AV494" t="inlineStr">
        <is>
          <t>36279975</t>
        </is>
      </c>
      <c r="AW494" t="inlineStr">
        <is>
          <t>991002764599702656</t>
        </is>
      </c>
      <c r="AX494" t="inlineStr">
        <is>
          <t>991002764599702656</t>
        </is>
      </c>
      <c r="AY494" t="inlineStr">
        <is>
          <t>2268145980002656</t>
        </is>
      </c>
      <c r="AZ494" t="inlineStr">
        <is>
          <t>BOOK</t>
        </is>
      </c>
      <c r="BB494" t="inlineStr">
        <is>
          <t>9780856611032</t>
        </is>
      </c>
      <c r="BC494" t="inlineStr">
        <is>
          <t>32285003252672</t>
        </is>
      </c>
      <c r="BD494" t="inlineStr">
        <is>
          <t>893616545</t>
        </is>
      </c>
    </row>
    <row r="495">
      <c r="A495" t="inlineStr">
        <is>
          <t>No</t>
        </is>
      </c>
      <c r="B495" t="inlineStr">
        <is>
          <t>QL548 .M57 1987</t>
        </is>
      </c>
      <c r="C495" t="inlineStr">
        <is>
          <t>0                      QL 0548000M  57          1987</t>
        </is>
      </c>
      <c r="D495" t="inlineStr">
        <is>
          <t>Butterflies and moths : a guide to the more common American species / by Robert T. Mitchell and Herbert S. Zim ; illustrated by Andre Durenceau.</t>
        </is>
      </c>
      <c r="F495" t="inlineStr">
        <is>
          <t>No</t>
        </is>
      </c>
      <c r="G495" t="inlineStr">
        <is>
          <t>1</t>
        </is>
      </c>
      <c r="H495" t="inlineStr">
        <is>
          <t>No</t>
        </is>
      </c>
      <c r="I495" t="inlineStr">
        <is>
          <t>No</t>
        </is>
      </c>
      <c r="J495" t="inlineStr">
        <is>
          <t>0</t>
        </is>
      </c>
      <c r="K495" t="inlineStr">
        <is>
          <t>Mitchell, Robert T.</t>
        </is>
      </c>
      <c r="L495" t="inlineStr">
        <is>
          <t>New York : Golden Press ; Racine, Wis. : Western Pub. Co., 1987.</t>
        </is>
      </c>
      <c r="M495" t="inlineStr">
        <is>
          <t>1987</t>
        </is>
      </c>
      <c r="N495" t="inlineStr">
        <is>
          <t>Rev. ed.</t>
        </is>
      </c>
      <c r="O495" t="inlineStr">
        <is>
          <t>eng</t>
        </is>
      </c>
      <c r="P495" t="inlineStr">
        <is>
          <t>nyu</t>
        </is>
      </c>
      <c r="Q495" t="inlineStr">
        <is>
          <t>A Golden guide</t>
        </is>
      </c>
      <c r="R495" t="inlineStr">
        <is>
          <t xml:space="preserve">QL </t>
        </is>
      </c>
      <c r="S495" t="n">
        <v>18</v>
      </c>
      <c r="T495" t="n">
        <v>18</v>
      </c>
      <c r="U495" t="inlineStr">
        <is>
          <t>2000-05-19</t>
        </is>
      </c>
      <c r="V495" t="inlineStr">
        <is>
          <t>2000-05-19</t>
        </is>
      </c>
      <c r="W495" t="inlineStr">
        <is>
          <t>1991-12-13</t>
        </is>
      </c>
      <c r="X495" t="inlineStr">
        <is>
          <t>1991-12-13</t>
        </is>
      </c>
      <c r="Y495" t="n">
        <v>365</v>
      </c>
      <c r="Z495" t="n">
        <v>361</v>
      </c>
      <c r="AA495" t="n">
        <v>1610</v>
      </c>
      <c r="AB495" t="n">
        <v>8</v>
      </c>
      <c r="AC495" t="n">
        <v>27</v>
      </c>
      <c r="AD495" t="n">
        <v>1</v>
      </c>
      <c r="AE495" t="n">
        <v>9</v>
      </c>
      <c r="AF495" t="n">
        <v>0</v>
      </c>
      <c r="AG495" t="n">
        <v>4</v>
      </c>
      <c r="AH495" t="n">
        <v>0</v>
      </c>
      <c r="AI495" t="n">
        <v>0</v>
      </c>
      <c r="AJ495" t="n">
        <v>0</v>
      </c>
      <c r="AK495" t="n">
        <v>1</v>
      </c>
      <c r="AL495" t="n">
        <v>1</v>
      </c>
      <c r="AM495" t="n">
        <v>4</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HYPERLINK("https://creighton-primo.hosted.exlibrisgroup.com/primo-explore/search?tab=default_tab&amp;search_scope=EVERYTHING&amp;vid=01CRU&amp;lang=en_US&amp;offset=0&amp;query=any,contains,991005408729702656","Catalog Record")</f>
        <v/>
      </c>
      <c r="AT495">
        <f>HYPERLINK("http://www.worldcat.org/oclc/17229034","WorldCat Record")</f>
        <v/>
      </c>
      <c r="AU495" t="inlineStr">
        <is>
          <t>2120604:eng</t>
        </is>
      </c>
      <c r="AV495" t="inlineStr">
        <is>
          <t>17229034</t>
        </is>
      </c>
      <c r="AW495" t="inlineStr">
        <is>
          <t>991005408729702656</t>
        </is>
      </c>
      <c r="AX495" t="inlineStr">
        <is>
          <t>991005408729702656</t>
        </is>
      </c>
      <c r="AY495" t="inlineStr">
        <is>
          <t>2257259410002656</t>
        </is>
      </c>
      <c r="AZ495" t="inlineStr">
        <is>
          <t>BOOK</t>
        </is>
      </c>
      <c r="BB495" t="inlineStr">
        <is>
          <t>9780307240521</t>
        </is>
      </c>
      <c r="BC495" t="inlineStr">
        <is>
          <t>32285000905918</t>
        </is>
      </c>
      <c r="BD495" t="inlineStr">
        <is>
          <t>893783637</t>
        </is>
      </c>
    </row>
    <row r="496">
      <c r="A496" t="inlineStr">
        <is>
          <t>No</t>
        </is>
      </c>
      <c r="B496" t="inlineStr">
        <is>
          <t>QL548 .P94 1981</t>
        </is>
      </c>
      <c r="C496" t="inlineStr">
        <is>
          <t>0                      QL 0548000P  94          1981</t>
        </is>
      </c>
      <c r="D496" t="inlineStr">
        <is>
          <t>The Audubon Society field guide to North American butterflies / Robert Michael Pyle ; visual key by Carol Nehring and Jane Opper.</t>
        </is>
      </c>
      <c r="F496" t="inlineStr">
        <is>
          <t>No</t>
        </is>
      </c>
      <c r="G496" t="inlineStr">
        <is>
          <t>1</t>
        </is>
      </c>
      <c r="H496" t="inlineStr">
        <is>
          <t>No</t>
        </is>
      </c>
      <c r="I496" t="inlineStr">
        <is>
          <t>No</t>
        </is>
      </c>
      <c r="J496" t="inlineStr">
        <is>
          <t>0</t>
        </is>
      </c>
      <c r="K496" t="inlineStr">
        <is>
          <t>Pyle, Robert Michael.</t>
        </is>
      </c>
      <c r="L496" t="inlineStr">
        <is>
          <t>New York : Knopf : Distributed by Random House, c1981.</t>
        </is>
      </c>
      <c r="M496" t="inlineStr">
        <is>
          <t>1981</t>
        </is>
      </c>
      <c r="N496" t="inlineStr">
        <is>
          <t>A Chanticleer Press ed.</t>
        </is>
      </c>
      <c r="O496" t="inlineStr">
        <is>
          <t>eng</t>
        </is>
      </c>
      <c r="P496" t="inlineStr">
        <is>
          <t>nyu</t>
        </is>
      </c>
      <c r="Q496" t="inlineStr">
        <is>
          <t>Audubon Society field guide series</t>
        </is>
      </c>
      <c r="R496" t="inlineStr">
        <is>
          <t xml:space="preserve">QL </t>
        </is>
      </c>
      <c r="S496" t="n">
        <v>8</v>
      </c>
      <c r="T496" t="n">
        <v>8</v>
      </c>
      <c r="U496" t="inlineStr">
        <is>
          <t>2001-08-31</t>
        </is>
      </c>
      <c r="V496" t="inlineStr">
        <is>
          <t>2001-08-31</t>
        </is>
      </c>
      <c r="W496" t="inlineStr">
        <is>
          <t>1992-09-16</t>
        </is>
      </c>
      <c r="X496" t="inlineStr">
        <is>
          <t>1992-09-16</t>
        </is>
      </c>
      <c r="Y496" t="n">
        <v>1774</v>
      </c>
      <c r="Z496" t="n">
        <v>1717</v>
      </c>
      <c r="AA496" t="n">
        <v>1848</v>
      </c>
      <c r="AB496" t="n">
        <v>16</v>
      </c>
      <c r="AC496" t="n">
        <v>16</v>
      </c>
      <c r="AD496" t="n">
        <v>19</v>
      </c>
      <c r="AE496" t="n">
        <v>19</v>
      </c>
      <c r="AF496" t="n">
        <v>8</v>
      </c>
      <c r="AG496" t="n">
        <v>8</v>
      </c>
      <c r="AH496" t="n">
        <v>3</v>
      </c>
      <c r="AI496" t="n">
        <v>3</v>
      </c>
      <c r="AJ496" t="n">
        <v>6</v>
      </c>
      <c r="AK496" t="n">
        <v>6</v>
      </c>
      <c r="AL496" t="n">
        <v>5</v>
      </c>
      <c r="AM496" t="n">
        <v>5</v>
      </c>
      <c r="AN496" t="n">
        <v>0</v>
      </c>
      <c r="AO496" t="n">
        <v>0</v>
      </c>
      <c r="AP496" t="inlineStr">
        <is>
          <t>No</t>
        </is>
      </c>
      <c r="AQ496" t="inlineStr">
        <is>
          <t>Yes</t>
        </is>
      </c>
      <c r="AR496">
        <f>HYPERLINK("http://catalog.hathitrust.org/Record/000266843","HathiTrust Record")</f>
        <v/>
      </c>
      <c r="AS496">
        <f>HYPERLINK("https://creighton-primo.hosted.exlibrisgroup.com/primo-explore/search?tab=default_tab&amp;search_scope=EVERYTHING&amp;vid=01CRU&amp;lang=en_US&amp;offset=0&amp;query=any,contains,991005143259702656","Catalog Record")</f>
        <v/>
      </c>
      <c r="AT496">
        <f>HYPERLINK("http://www.worldcat.org/oclc/7646788","WorldCat Record")</f>
        <v/>
      </c>
      <c r="AU496" t="inlineStr">
        <is>
          <t>2829672825:eng</t>
        </is>
      </c>
      <c r="AV496" t="inlineStr">
        <is>
          <t>7646788</t>
        </is>
      </c>
      <c r="AW496" t="inlineStr">
        <is>
          <t>991005143259702656</t>
        </is>
      </c>
      <c r="AX496" t="inlineStr">
        <is>
          <t>991005143259702656</t>
        </is>
      </c>
      <c r="AY496" t="inlineStr">
        <is>
          <t>2262612430002656</t>
        </is>
      </c>
      <c r="AZ496" t="inlineStr">
        <is>
          <t>BOOK</t>
        </is>
      </c>
      <c r="BB496" t="inlineStr">
        <is>
          <t>9780394519142</t>
        </is>
      </c>
      <c r="BC496" t="inlineStr">
        <is>
          <t>32285001300424</t>
        </is>
      </c>
      <c r="BD496" t="inlineStr">
        <is>
          <t>893514115</t>
        </is>
      </c>
    </row>
    <row r="497">
      <c r="A497" t="inlineStr">
        <is>
          <t>No</t>
        </is>
      </c>
      <c r="B497" t="inlineStr">
        <is>
          <t>QL548 .S38 1986</t>
        </is>
      </c>
      <c r="C497" t="inlineStr">
        <is>
          <t>0                      QL 0548000S  38          1986</t>
        </is>
      </c>
      <c r="D497" t="inlineStr">
        <is>
          <t>The butterflies of North America : a natural history and field guide / James A. Scott.</t>
        </is>
      </c>
      <c r="F497" t="inlineStr">
        <is>
          <t>No</t>
        </is>
      </c>
      <c r="G497" t="inlineStr">
        <is>
          <t>1</t>
        </is>
      </c>
      <c r="H497" t="inlineStr">
        <is>
          <t>No</t>
        </is>
      </c>
      <c r="I497" t="inlineStr">
        <is>
          <t>No</t>
        </is>
      </c>
      <c r="J497" t="inlineStr">
        <is>
          <t>0</t>
        </is>
      </c>
      <c r="K497" t="inlineStr">
        <is>
          <t>Scott, James A., 1946-</t>
        </is>
      </c>
      <c r="L497" t="inlineStr">
        <is>
          <t>Stanford, Calif. : Stanford University Press, 1986.</t>
        </is>
      </c>
      <c r="M497" t="inlineStr">
        <is>
          <t>1986</t>
        </is>
      </c>
      <c r="O497" t="inlineStr">
        <is>
          <t>eng</t>
        </is>
      </c>
      <c r="P497" t="inlineStr">
        <is>
          <t>cau</t>
        </is>
      </c>
      <c r="R497" t="inlineStr">
        <is>
          <t xml:space="preserve">QL </t>
        </is>
      </c>
      <c r="S497" t="n">
        <v>7</v>
      </c>
      <c r="T497" t="n">
        <v>7</v>
      </c>
      <c r="U497" t="inlineStr">
        <is>
          <t>2009-02-24</t>
        </is>
      </c>
      <c r="V497" t="inlineStr">
        <is>
          <t>2009-02-24</t>
        </is>
      </c>
      <c r="W497" t="inlineStr">
        <is>
          <t>1992-09-16</t>
        </is>
      </c>
      <c r="X497" t="inlineStr">
        <is>
          <t>1992-09-16</t>
        </is>
      </c>
      <c r="Y497" t="n">
        <v>1176</v>
      </c>
      <c r="Z497" t="n">
        <v>1092</v>
      </c>
      <c r="AA497" t="n">
        <v>1147</v>
      </c>
      <c r="AB497" t="n">
        <v>5</v>
      </c>
      <c r="AC497" t="n">
        <v>5</v>
      </c>
      <c r="AD497" t="n">
        <v>25</v>
      </c>
      <c r="AE497" t="n">
        <v>25</v>
      </c>
      <c r="AF497" t="n">
        <v>12</v>
      </c>
      <c r="AG497" t="n">
        <v>12</v>
      </c>
      <c r="AH497" t="n">
        <v>5</v>
      </c>
      <c r="AI497" t="n">
        <v>5</v>
      </c>
      <c r="AJ497" t="n">
        <v>11</v>
      </c>
      <c r="AK497" t="n">
        <v>11</v>
      </c>
      <c r="AL497" t="n">
        <v>3</v>
      </c>
      <c r="AM497" t="n">
        <v>3</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HYPERLINK("https://creighton-primo.hosted.exlibrisgroup.com/primo-explore/search?tab=default_tab&amp;search_scope=EVERYTHING&amp;vid=01CRU&amp;lang=en_US&amp;offset=0&amp;query=any,contains,991000546759702656","Catalog Record")</f>
        <v/>
      </c>
      <c r="AT497">
        <f>HYPERLINK("http://www.worldcat.org/oclc/11518801","WorldCat Record")</f>
        <v/>
      </c>
      <c r="AU497" t="inlineStr">
        <is>
          <t>3945344:eng</t>
        </is>
      </c>
      <c r="AV497" t="inlineStr">
        <is>
          <t>11518801</t>
        </is>
      </c>
      <c r="AW497" t="inlineStr">
        <is>
          <t>991000546759702656</t>
        </is>
      </c>
      <c r="AX497" t="inlineStr">
        <is>
          <t>991000546759702656</t>
        </is>
      </c>
      <c r="AY497" t="inlineStr">
        <is>
          <t>2269417580002656</t>
        </is>
      </c>
      <c r="AZ497" t="inlineStr">
        <is>
          <t>BOOK</t>
        </is>
      </c>
      <c r="BB497" t="inlineStr">
        <is>
          <t>9780804712057</t>
        </is>
      </c>
      <c r="BC497" t="inlineStr">
        <is>
          <t>32285001300416</t>
        </is>
      </c>
      <c r="BD497" t="inlineStr">
        <is>
          <t>893339646</t>
        </is>
      </c>
    </row>
    <row r="498">
      <c r="A498" t="inlineStr">
        <is>
          <t>No</t>
        </is>
      </c>
      <c r="B498" t="inlineStr">
        <is>
          <t>QL548 .W75 1993</t>
        </is>
      </c>
      <c r="C498" t="inlineStr">
        <is>
          <t>0                      QL 0548000W  75          1993</t>
        </is>
      </c>
      <c r="D498" t="inlineStr">
        <is>
          <t>Peterson first guide to caterpillars of North America / Amy Bartlett Wright.</t>
        </is>
      </c>
      <c r="F498" t="inlineStr">
        <is>
          <t>No</t>
        </is>
      </c>
      <c r="G498" t="inlineStr">
        <is>
          <t>1</t>
        </is>
      </c>
      <c r="H498" t="inlineStr">
        <is>
          <t>No</t>
        </is>
      </c>
      <c r="I498" t="inlineStr">
        <is>
          <t>No</t>
        </is>
      </c>
      <c r="J498" t="inlineStr">
        <is>
          <t>0</t>
        </is>
      </c>
      <c r="K498" t="inlineStr">
        <is>
          <t>Wright, Amy Bartlett.</t>
        </is>
      </c>
      <c r="L498" t="inlineStr">
        <is>
          <t>Boston : Houghton Mifflin, 1993.</t>
        </is>
      </c>
      <c r="M498" t="inlineStr">
        <is>
          <t>1993</t>
        </is>
      </c>
      <c r="O498" t="inlineStr">
        <is>
          <t>eng</t>
        </is>
      </c>
      <c r="P498" t="inlineStr">
        <is>
          <t>mau</t>
        </is>
      </c>
      <c r="R498" t="inlineStr">
        <is>
          <t xml:space="preserve">QL </t>
        </is>
      </c>
      <c r="S498" t="n">
        <v>3</v>
      </c>
      <c r="T498" t="n">
        <v>3</v>
      </c>
      <c r="U498" t="inlineStr">
        <is>
          <t>2008-09-26</t>
        </is>
      </c>
      <c r="V498" t="inlineStr">
        <is>
          <t>2008-09-26</t>
        </is>
      </c>
      <c r="W498" t="inlineStr">
        <is>
          <t>1997-03-20</t>
        </is>
      </c>
      <c r="X498" t="inlineStr">
        <is>
          <t>1997-03-20</t>
        </is>
      </c>
      <c r="Y498" t="n">
        <v>511</v>
      </c>
      <c r="Z498" t="n">
        <v>488</v>
      </c>
      <c r="AA498" t="n">
        <v>495</v>
      </c>
      <c r="AB498" t="n">
        <v>3</v>
      </c>
      <c r="AC498" t="n">
        <v>3</v>
      </c>
      <c r="AD498" t="n">
        <v>3</v>
      </c>
      <c r="AE498" t="n">
        <v>3</v>
      </c>
      <c r="AF498" t="n">
        <v>0</v>
      </c>
      <c r="AG498" t="n">
        <v>0</v>
      </c>
      <c r="AH498" t="n">
        <v>0</v>
      </c>
      <c r="AI498" t="n">
        <v>0</v>
      </c>
      <c r="AJ498" t="n">
        <v>2</v>
      </c>
      <c r="AK498" t="n">
        <v>2</v>
      </c>
      <c r="AL498" t="n">
        <v>1</v>
      </c>
      <c r="AM498" t="n">
        <v>1</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HYPERLINK("https://creighton-primo.hosted.exlibrisgroup.com/primo-explore/search?tab=default_tab&amp;search_scope=EVERYTHING&amp;vid=01CRU&amp;lang=en_US&amp;offset=0&amp;query=any,contains,991002085829702656","Catalog Record")</f>
        <v/>
      </c>
      <c r="AT498">
        <f>HYPERLINK("http://www.worldcat.org/oclc/26764220","WorldCat Record")</f>
        <v/>
      </c>
      <c r="AU498" t="inlineStr">
        <is>
          <t>538507:eng</t>
        </is>
      </c>
      <c r="AV498" t="inlineStr">
        <is>
          <t>26764220</t>
        </is>
      </c>
      <c r="AW498" t="inlineStr">
        <is>
          <t>991002085829702656</t>
        </is>
      </c>
      <c r="AX498" t="inlineStr">
        <is>
          <t>991002085829702656</t>
        </is>
      </c>
      <c r="AY498" t="inlineStr">
        <is>
          <t>2268322120002656</t>
        </is>
      </c>
      <c r="AZ498" t="inlineStr">
        <is>
          <t>BOOK</t>
        </is>
      </c>
      <c r="BB498" t="inlineStr">
        <is>
          <t>9780395564998</t>
        </is>
      </c>
      <c r="BC498" t="inlineStr">
        <is>
          <t>32285002444742</t>
        </is>
      </c>
      <c r="BD498" t="inlineStr">
        <is>
          <t>893529524</t>
        </is>
      </c>
    </row>
    <row r="499">
      <c r="A499" t="inlineStr">
        <is>
          <t>No</t>
        </is>
      </c>
      <c r="B499" t="inlineStr">
        <is>
          <t>QL549 .H73</t>
        </is>
      </c>
      <c r="C499" t="inlineStr">
        <is>
          <t>0                      QL 0549000H  73</t>
        </is>
      </c>
      <c r="D499" t="inlineStr">
        <is>
          <t>The butterfly book; a popular guide to a knowledge of the butterflies of North America, by W.J. Holland ... with 48 plates in color-photography, reproductions of butterflies in the author's collection, and many text illustrations presenting most of the species found in the United States.</t>
        </is>
      </c>
      <c r="F499" t="inlineStr">
        <is>
          <t>No</t>
        </is>
      </c>
      <c r="G499" t="inlineStr">
        <is>
          <t>1</t>
        </is>
      </c>
      <c r="H499" t="inlineStr">
        <is>
          <t>No</t>
        </is>
      </c>
      <c r="I499" t="inlineStr">
        <is>
          <t>No</t>
        </is>
      </c>
      <c r="J499" t="inlineStr">
        <is>
          <t>0</t>
        </is>
      </c>
      <c r="K499" t="inlineStr">
        <is>
          <t>Holland, W. J. (William Jacob), 1848-1932.</t>
        </is>
      </c>
      <c r="L499" t="inlineStr">
        <is>
          <t>New York, Doubleday &amp; McClure Co., 1898.</t>
        </is>
      </c>
      <c r="M499" t="inlineStr">
        <is>
          <t>1898</t>
        </is>
      </c>
      <c r="O499" t="inlineStr">
        <is>
          <t>eng</t>
        </is>
      </c>
      <c r="P499" t="inlineStr">
        <is>
          <t>nyu</t>
        </is>
      </c>
      <c r="R499" t="inlineStr">
        <is>
          <t xml:space="preserve">QL </t>
        </is>
      </c>
      <c r="S499" t="n">
        <v>4</v>
      </c>
      <c r="T499" t="n">
        <v>4</v>
      </c>
      <c r="U499" t="inlineStr">
        <is>
          <t>2009-02-28</t>
        </is>
      </c>
      <c r="V499" t="inlineStr">
        <is>
          <t>2009-02-28</t>
        </is>
      </c>
      <c r="W499" t="inlineStr">
        <is>
          <t>1997-07-24</t>
        </is>
      </c>
      <c r="X499" t="inlineStr">
        <is>
          <t>1997-07-24</t>
        </is>
      </c>
      <c r="Y499" t="n">
        <v>280</v>
      </c>
      <c r="Z499" t="n">
        <v>263</v>
      </c>
      <c r="AA499" t="n">
        <v>755</v>
      </c>
      <c r="AB499" t="n">
        <v>4</v>
      </c>
      <c r="AC499" t="n">
        <v>8</v>
      </c>
      <c r="AD499" t="n">
        <v>8</v>
      </c>
      <c r="AE499" t="n">
        <v>28</v>
      </c>
      <c r="AF499" t="n">
        <v>4</v>
      </c>
      <c r="AG499" t="n">
        <v>13</v>
      </c>
      <c r="AH499" t="n">
        <v>0</v>
      </c>
      <c r="AI499" t="n">
        <v>3</v>
      </c>
      <c r="AJ499" t="n">
        <v>3</v>
      </c>
      <c r="AK499" t="n">
        <v>14</v>
      </c>
      <c r="AL499" t="n">
        <v>3</v>
      </c>
      <c r="AM499" t="n">
        <v>6</v>
      </c>
      <c r="AN499" t="n">
        <v>0</v>
      </c>
      <c r="AO499" t="n">
        <v>0</v>
      </c>
      <c r="AP499" t="inlineStr">
        <is>
          <t>Yes</t>
        </is>
      </c>
      <c r="AQ499" t="inlineStr">
        <is>
          <t>No</t>
        </is>
      </c>
      <c r="AR499">
        <f>HYPERLINK("http://catalog.hathitrust.org/Record/001500438","HathiTrust Record")</f>
        <v/>
      </c>
      <c r="AS499">
        <f>HYPERLINK("https://creighton-primo.hosted.exlibrisgroup.com/primo-explore/search?tab=default_tab&amp;search_scope=EVERYTHING&amp;vid=01CRU&amp;lang=en_US&amp;offset=0&amp;query=any,contains,991004052389702656","Catalog Record")</f>
        <v/>
      </c>
      <c r="AT499">
        <f>HYPERLINK("http://www.worldcat.org/oclc/2214672","WorldCat Record")</f>
        <v/>
      </c>
      <c r="AU499" t="inlineStr">
        <is>
          <t>2324874:eng</t>
        </is>
      </c>
      <c r="AV499" t="inlineStr">
        <is>
          <t>2214672</t>
        </is>
      </c>
      <c r="AW499" t="inlineStr">
        <is>
          <t>991004052389702656</t>
        </is>
      </c>
      <c r="AX499" t="inlineStr">
        <is>
          <t>991004052389702656</t>
        </is>
      </c>
      <c r="AY499" t="inlineStr">
        <is>
          <t>2254891560002656</t>
        </is>
      </c>
      <c r="AZ499" t="inlineStr">
        <is>
          <t>BOOK</t>
        </is>
      </c>
      <c r="BC499" t="inlineStr">
        <is>
          <t>32285002981149</t>
        </is>
      </c>
      <c r="BD499" t="inlineStr">
        <is>
          <t>893605574</t>
        </is>
      </c>
    </row>
    <row r="500">
      <c r="A500" t="inlineStr">
        <is>
          <t>No</t>
        </is>
      </c>
      <c r="B500" t="inlineStr">
        <is>
          <t>QL549 .O64 1984</t>
        </is>
      </c>
      <c r="C500" t="inlineStr">
        <is>
          <t>0                      QL 0549000O  64          1984</t>
        </is>
      </c>
      <c r="D500" t="inlineStr">
        <is>
          <t>Butterflies east of the Great Plains : an illustrated natural history / Paul A. Opler, George O. Krizek.</t>
        </is>
      </c>
      <c r="F500" t="inlineStr">
        <is>
          <t>No</t>
        </is>
      </c>
      <c r="G500" t="inlineStr">
        <is>
          <t>1</t>
        </is>
      </c>
      <c r="H500" t="inlineStr">
        <is>
          <t>No</t>
        </is>
      </c>
      <c r="I500" t="inlineStr">
        <is>
          <t>No</t>
        </is>
      </c>
      <c r="J500" t="inlineStr">
        <is>
          <t>0</t>
        </is>
      </c>
      <c r="K500" t="inlineStr">
        <is>
          <t>Opler, Paul A.</t>
        </is>
      </c>
      <c r="L500" t="inlineStr">
        <is>
          <t>Baltimore : Johns Hopkins University Press, c1984.</t>
        </is>
      </c>
      <c r="M500" t="inlineStr">
        <is>
          <t>1984</t>
        </is>
      </c>
      <c r="O500" t="inlineStr">
        <is>
          <t>eng</t>
        </is>
      </c>
      <c r="P500" t="inlineStr">
        <is>
          <t>mdu</t>
        </is>
      </c>
      <c r="R500" t="inlineStr">
        <is>
          <t xml:space="preserve">QL </t>
        </is>
      </c>
      <c r="S500" t="n">
        <v>3</v>
      </c>
      <c r="T500" t="n">
        <v>3</v>
      </c>
      <c r="U500" t="inlineStr">
        <is>
          <t>2010-01-26</t>
        </is>
      </c>
      <c r="V500" t="inlineStr">
        <is>
          <t>2010-01-26</t>
        </is>
      </c>
      <c r="W500" t="inlineStr">
        <is>
          <t>2005-08-29</t>
        </is>
      </c>
      <c r="X500" t="inlineStr">
        <is>
          <t>2005-08-29</t>
        </is>
      </c>
      <c r="Y500" t="n">
        <v>549</v>
      </c>
      <c r="Z500" t="n">
        <v>519</v>
      </c>
      <c r="AA500" t="n">
        <v>521</v>
      </c>
      <c r="AB500" t="n">
        <v>3</v>
      </c>
      <c r="AC500" t="n">
        <v>3</v>
      </c>
      <c r="AD500" t="n">
        <v>15</v>
      </c>
      <c r="AE500" t="n">
        <v>15</v>
      </c>
      <c r="AF500" t="n">
        <v>8</v>
      </c>
      <c r="AG500" t="n">
        <v>8</v>
      </c>
      <c r="AH500" t="n">
        <v>2</v>
      </c>
      <c r="AI500" t="n">
        <v>2</v>
      </c>
      <c r="AJ500" t="n">
        <v>5</v>
      </c>
      <c r="AK500" t="n">
        <v>5</v>
      </c>
      <c r="AL500" t="n">
        <v>2</v>
      </c>
      <c r="AM500" t="n">
        <v>2</v>
      </c>
      <c r="AN500" t="n">
        <v>0</v>
      </c>
      <c r="AO500" t="n">
        <v>0</v>
      </c>
      <c r="AP500" t="inlineStr">
        <is>
          <t>No</t>
        </is>
      </c>
      <c r="AQ500" t="inlineStr">
        <is>
          <t>Yes</t>
        </is>
      </c>
      <c r="AR500">
        <f>HYPERLINK("http://catalog.hathitrust.org/Record/000320907","HathiTrust Record")</f>
        <v/>
      </c>
      <c r="AS500">
        <f>HYPERLINK("https://creighton-primo.hosted.exlibrisgroup.com/primo-explore/search?tab=default_tab&amp;search_scope=EVERYTHING&amp;vid=01CRU&amp;lang=en_US&amp;offset=0&amp;query=any,contains,991004629759702656","Catalog Record")</f>
        <v/>
      </c>
      <c r="AT500">
        <f>HYPERLINK("http://www.worldcat.org/oclc/9412517","WorldCat Record")</f>
        <v/>
      </c>
      <c r="AU500" t="inlineStr">
        <is>
          <t>836720993:eng</t>
        </is>
      </c>
      <c r="AV500" t="inlineStr">
        <is>
          <t>9412517</t>
        </is>
      </c>
      <c r="AW500" t="inlineStr">
        <is>
          <t>991004629759702656</t>
        </is>
      </c>
      <c r="AX500" t="inlineStr">
        <is>
          <t>991004629759702656</t>
        </is>
      </c>
      <c r="AY500" t="inlineStr">
        <is>
          <t>2261676340002656</t>
        </is>
      </c>
      <c r="AZ500" t="inlineStr">
        <is>
          <t>BOOK</t>
        </is>
      </c>
      <c r="BB500" t="inlineStr">
        <is>
          <t>9780801829383</t>
        </is>
      </c>
      <c r="BC500" t="inlineStr">
        <is>
          <t>32285005559165</t>
        </is>
      </c>
      <c r="BD500" t="inlineStr">
        <is>
          <t>893712830</t>
        </is>
      </c>
    </row>
    <row r="501">
      <c r="A501" t="inlineStr">
        <is>
          <t>No</t>
        </is>
      </c>
      <c r="B501" t="inlineStr">
        <is>
          <t>QL55 .F47 1979</t>
        </is>
      </c>
      <c r="C501" t="inlineStr">
        <is>
          <t>0                      QL 0055000F  47          1979</t>
        </is>
      </c>
      <c r="D501" t="inlineStr">
        <is>
          <t>Inbred strains in biomedical research / Michael F. W. Festing.</t>
        </is>
      </c>
      <c r="F501" t="inlineStr">
        <is>
          <t>No</t>
        </is>
      </c>
      <c r="G501" t="inlineStr">
        <is>
          <t>1</t>
        </is>
      </c>
      <c r="H501" t="inlineStr">
        <is>
          <t>No</t>
        </is>
      </c>
      <c r="I501" t="inlineStr">
        <is>
          <t>No</t>
        </is>
      </c>
      <c r="J501" t="inlineStr">
        <is>
          <t>0</t>
        </is>
      </c>
      <c r="K501" t="inlineStr">
        <is>
          <t>Festing, Michael F. W. (Michael Francis Wogan)</t>
        </is>
      </c>
      <c r="L501" t="inlineStr">
        <is>
          <t>New York : Oxford University Press, 1979.</t>
        </is>
      </c>
      <c r="M501" t="inlineStr">
        <is>
          <t>1979</t>
        </is>
      </c>
      <c r="O501" t="inlineStr">
        <is>
          <t>eng</t>
        </is>
      </c>
      <c r="P501" t="inlineStr">
        <is>
          <t>nyu</t>
        </is>
      </c>
      <c r="R501" t="inlineStr">
        <is>
          <t xml:space="preserve">QL </t>
        </is>
      </c>
      <c r="S501" t="n">
        <v>5</v>
      </c>
      <c r="T501" t="n">
        <v>5</v>
      </c>
      <c r="U501" t="inlineStr">
        <is>
          <t>2006-04-06</t>
        </is>
      </c>
      <c r="V501" t="inlineStr">
        <is>
          <t>2006-04-06</t>
        </is>
      </c>
      <c r="W501" t="inlineStr">
        <is>
          <t>1993-05-21</t>
        </is>
      </c>
      <c r="X501" t="inlineStr">
        <is>
          <t>1993-05-21</t>
        </is>
      </c>
      <c r="Y501" t="n">
        <v>181</v>
      </c>
      <c r="Z501" t="n">
        <v>156</v>
      </c>
      <c r="AA501" t="n">
        <v>179</v>
      </c>
      <c r="AB501" t="n">
        <v>1</v>
      </c>
      <c r="AC501" t="n">
        <v>2</v>
      </c>
      <c r="AD501" t="n">
        <v>3</v>
      </c>
      <c r="AE501" t="n">
        <v>4</v>
      </c>
      <c r="AF501" t="n">
        <v>1</v>
      </c>
      <c r="AG501" t="n">
        <v>1</v>
      </c>
      <c r="AH501" t="n">
        <v>1</v>
      </c>
      <c r="AI501" t="n">
        <v>1</v>
      </c>
      <c r="AJ501" t="n">
        <v>1</v>
      </c>
      <c r="AK501" t="n">
        <v>1</v>
      </c>
      <c r="AL501" t="n">
        <v>0</v>
      </c>
      <c r="AM501" t="n">
        <v>1</v>
      </c>
      <c r="AN501" t="n">
        <v>0</v>
      </c>
      <c r="AO501" t="n">
        <v>0</v>
      </c>
      <c r="AP501" t="inlineStr">
        <is>
          <t>No</t>
        </is>
      </c>
      <c r="AQ501" t="inlineStr">
        <is>
          <t>Yes</t>
        </is>
      </c>
      <c r="AR501">
        <f>HYPERLINK("http://catalog.hathitrust.org/Record/000045056","HathiTrust Record")</f>
        <v/>
      </c>
      <c r="AS501">
        <f>HYPERLINK("https://creighton-primo.hosted.exlibrisgroup.com/primo-explore/search?tab=default_tab&amp;search_scope=EVERYTHING&amp;vid=01CRU&amp;lang=en_US&amp;offset=0&amp;query=any,contains,991004700799702656","Catalog Record")</f>
        <v/>
      </c>
      <c r="AT501">
        <f>HYPERLINK("http://www.worldcat.org/oclc/4667201","WorldCat Record")</f>
        <v/>
      </c>
      <c r="AU501" t="inlineStr">
        <is>
          <t>14848637:eng</t>
        </is>
      </c>
      <c r="AV501" t="inlineStr">
        <is>
          <t>4667201</t>
        </is>
      </c>
      <c r="AW501" t="inlineStr">
        <is>
          <t>991004700799702656</t>
        </is>
      </c>
      <c r="AX501" t="inlineStr">
        <is>
          <t>991004700799702656</t>
        </is>
      </c>
      <c r="AY501" t="inlineStr">
        <is>
          <t>2258078600002656</t>
        </is>
      </c>
      <c r="AZ501" t="inlineStr">
        <is>
          <t>BOOK</t>
        </is>
      </c>
      <c r="BB501" t="inlineStr">
        <is>
          <t>9780195201116</t>
        </is>
      </c>
      <c r="BC501" t="inlineStr">
        <is>
          <t>32285001686095</t>
        </is>
      </c>
      <c r="BD501" t="inlineStr">
        <is>
          <t>893247871</t>
        </is>
      </c>
    </row>
    <row r="502">
      <c r="A502" t="inlineStr">
        <is>
          <t>No</t>
        </is>
      </c>
      <c r="B502" t="inlineStr">
        <is>
          <t>QL55 .H35</t>
        </is>
      </c>
      <c r="C502" t="inlineStr">
        <is>
          <t>0                      QL 0055000H  35</t>
        </is>
      </c>
      <c r="D502" t="inlineStr">
        <is>
          <t>Experimental animal behaviour : a selection of laboratory exercises / Michael H. Hansell and John J. Aitken ; illustrated by Norma Aird. --</t>
        </is>
      </c>
      <c r="F502" t="inlineStr">
        <is>
          <t>No</t>
        </is>
      </c>
      <c r="G502" t="inlineStr">
        <is>
          <t>1</t>
        </is>
      </c>
      <c r="H502" t="inlineStr">
        <is>
          <t>No</t>
        </is>
      </c>
      <c r="I502" t="inlineStr">
        <is>
          <t>No</t>
        </is>
      </c>
      <c r="J502" t="inlineStr">
        <is>
          <t>0</t>
        </is>
      </c>
      <c r="K502" t="inlineStr">
        <is>
          <t>Hansell, Michael H. (Michael Henry), 1940-</t>
        </is>
      </c>
      <c r="L502" t="inlineStr">
        <is>
          <t>London : Blackie, 1977.</t>
        </is>
      </c>
      <c r="M502" t="inlineStr">
        <is>
          <t>1977</t>
        </is>
      </c>
      <c r="O502" t="inlineStr">
        <is>
          <t>eng</t>
        </is>
      </c>
      <c r="P502" t="inlineStr">
        <is>
          <t>enk</t>
        </is>
      </c>
      <c r="R502" t="inlineStr">
        <is>
          <t xml:space="preserve">QL </t>
        </is>
      </c>
      <c r="S502" t="n">
        <v>6</v>
      </c>
      <c r="T502" t="n">
        <v>6</v>
      </c>
      <c r="U502" t="inlineStr">
        <is>
          <t>2003-12-18</t>
        </is>
      </c>
      <c r="V502" t="inlineStr">
        <is>
          <t>2003-12-18</t>
        </is>
      </c>
      <c r="W502" t="inlineStr">
        <is>
          <t>1993-05-21</t>
        </is>
      </c>
      <c r="X502" t="inlineStr">
        <is>
          <t>1993-05-21</t>
        </is>
      </c>
      <c r="Y502" t="n">
        <v>212</v>
      </c>
      <c r="Z502" t="n">
        <v>81</v>
      </c>
      <c r="AA502" t="n">
        <v>86</v>
      </c>
      <c r="AB502" t="n">
        <v>2</v>
      </c>
      <c r="AC502" t="n">
        <v>2</v>
      </c>
      <c r="AD502" t="n">
        <v>6</v>
      </c>
      <c r="AE502" t="n">
        <v>6</v>
      </c>
      <c r="AF502" t="n">
        <v>2</v>
      </c>
      <c r="AG502" t="n">
        <v>2</v>
      </c>
      <c r="AH502" t="n">
        <v>2</v>
      </c>
      <c r="AI502" t="n">
        <v>2</v>
      </c>
      <c r="AJ502" t="n">
        <v>4</v>
      </c>
      <c r="AK502" t="n">
        <v>4</v>
      </c>
      <c r="AL502" t="n">
        <v>1</v>
      </c>
      <c r="AM502" t="n">
        <v>1</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HYPERLINK("https://creighton-primo.hosted.exlibrisgroup.com/primo-explore/search?tab=default_tab&amp;search_scope=EVERYTHING&amp;vid=01CRU&amp;lang=en_US&amp;offset=0&amp;query=any,contains,991004621609702656","Catalog Record")</f>
        <v/>
      </c>
      <c r="AT502">
        <f>HYPERLINK("http://www.worldcat.org/oclc/4300626","WorldCat Record")</f>
        <v/>
      </c>
      <c r="AU502" t="inlineStr">
        <is>
          <t>313913108:eng</t>
        </is>
      </c>
      <c r="AV502" t="inlineStr">
        <is>
          <t>4300626</t>
        </is>
      </c>
      <c r="AW502" t="inlineStr">
        <is>
          <t>991004621609702656</t>
        </is>
      </c>
      <c r="AX502" t="inlineStr">
        <is>
          <t>991004621609702656</t>
        </is>
      </c>
      <c r="AY502" t="inlineStr">
        <is>
          <t>2264815320002656</t>
        </is>
      </c>
      <c r="AZ502" t="inlineStr">
        <is>
          <t>BOOK</t>
        </is>
      </c>
      <c r="BB502" t="inlineStr">
        <is>
          <t>9780216903258</t>
        </is>
      </c>
      <c r="BC502" t="inlineStr">
        <is>
          <t>32285001686103</t>
        </is>
      </c>
      <c r="BD502" t="inlineStr">
        <is>
          <t>893901442</t>
        </is>
      </c>
    </row>
    <row r="503">
      <c r="A503" t="inlineStr">
        <is>
          <t>No</t>
        </is>
      </c>
      <c r="B503" t="inlineStr">
        <is>
          <t>QL55 .L274 1987</t>
        </is>
      </c>
      <c r="C503" t="inlineStr">
        <is>
          <t>0                      QL 0055000L  274         1987</t>
        </is>
      </c>
      <c r="D503" t="inlineStr">
        <is>
          <t>Laboratory animals : an introduction for new experimenters / edited by A.A. Tuffery.</t>
        </is>
      </c>
      <c r="F503" t="inlineStr">
        <is>
          <t>No</t>
        </is>
      </c>
      <c r="G503" t="inlineStr">
        <is>
          <t>1</t>
        </is>
      </c>
      <c r="H503" t="inlineStr">
        <is>
          <t>Yes</t>
        </is>
      </c>
      <c r="I503" t="inlineStr">
        <is>
          <t>No</t>
        </is>
      </c>
      <c r="J503" t="inlineStr">
        <is>
          <t>0</t>
        </is>
      </c>
      <c r="L503" t="inlineStr">
        <is>
          <t>New York : Wiley, c1987.</t>
        </is>
      </c>
      <c r="M503" t="inlineStr">
        <is>
          <t>1987</t>
        </is>
      </c>
      <c r="O503" t="inlineStr">
        <is>
          <t>eng</t>
        </is>
      </c>
      <c r="P503" t="inlineStr">
        <is>
          <t>nyu</t>
        </is>
      </c>
      <c r="R503" t="inlineStr">
        <is>
          <t xml:space="preserve">QL </t>
        </is>
      </c>
      <c r="S503" t="n">
        <v>12</v>
      </c>
      <c r="T503" t="n">
        <v>18</v>
      </c>
      <c r="U503" t="inlineStr">
        <is>
          <t>1998-08-04</t>
        </is>
      </c>
      <c r="V503" t="inlineStr">
        <is>
          <t>1998-08-04</t>
        </is>
      </c>
      <c r="W503" t="inlineStr">
        <is>
          <t>1993-01-15</t>
        </is>
      </c>
      <c r="X503" t="inlineStr">
        <is>
          <t>1993-01-15</t>
        </is>
      </c>
      <c r="Y503" t="n">
        <v>259</v>
      </c>
      <c r="Z503" t="n">
        <v>180</v>
      </c>
      <c r="AA503" t="n">
        <v>275</v>
      </c>
      <c r="AB503" t="n">
        <v>3</v>
      </c>
      <c r="AC503" t="n">
        <v>3</v>
      </c>
      <c r="AD503" t="n">
        <v>9</v>
      </c>
      <c r="AE503" t="n">
        <v>13</v>
      </c>
      <c r="AF503" t="n">
        <v>2</v>
      </c>
      <c r="AG503" t="n">
        <v>3</v>
      </c>
      <c r="AH503" t="n">
        <v>4</v>
      </c>
      <c r="AI503" t="n">
        <v>5</v>
      </c>
      <c r="AJ503" t="n">
        <v>6</v>
      </c>
      <c r="AK503" t="n">
        <v>8</v>
      </c>
      <c r="AL503" t="n">
        <v>1</v>
      </c>
      <c r="AM503" t="n">
        <v>1</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HYPERLINK("https://creighton-primo.hosted.exlibrisgroup.com/primo-explore/search?tab=default_tab&amp;search_scope=EVERYTHING&amp;vid=01CRU&amp;lang=en_US&amp;offset=0&amp;query=any,contains,991001805569702656","Catalog Record")</f>
        <v/>
      </c>
      <c r="AT503">
        <f>HYPERLINK("http://www.worldcat.org/oclc/14272739","WorldCat Record")</f>
        <v/>
      </c>
      <c r="AU503" t="inlineStr">
        <is>
          <t>836673882:eng</t>
        </is>
      </c>
      <c r="AV503" t="inlineStr">
        <is>
          <t>14272739</t>
        </is>
      </c>
      <c r="AW503" t="inlineStr">
        <is>
          <t>991001805569702656</t>
        </is>
      </c>
      <c r="AX503" t="inlineStr">
        <is>
          <t>991001805569702656</t>
        </is>
      </c>
      <c r="AY503" t="inlineStr">
        <is>
          <t>2261315080002656</t>
        </is>
      </c>
      <c r="AZ503" t="inlineStr">
        <is>
          <t>BOOK</t>
        </is>
      </c>
      <c r="BB503" t="inlineStr">
        <is>
          <t>9780471912972</t>
        </is>
      </c>
      <c r="BC503" t="inlineStr">
        <is>
          <t>32285001474815</t>
        </is>
      </c>
      <c r="BD503" t="inlineStr">
        <is>
          <t>893250521</t>
        </is>
      </c>
    </row>
    <row r="504">
      <c r="A504" t="inlineStr">
        <is>
          <t>No</t>
        </is>
      </c>
      <c r="B504" t="inlineStr">
        <is>
          <t>QL55 .L29 1971</t>
        </is>
      </c>
      <c r="C504" t="inlineStr">
        <is>
          <t>0                      QL 0055000L  29          1971</t>
        </is>
      </c>
      <c r="D504" t="inlineStr">
        <is>
          <t>The laboratory animal : principles and practice / [by] W. Lane-Petter [and] A. E. G. Pearson.</t>
        </is>
      </c>
      <c r="F504" t="inlineStr">
        <is>
          <t>No</t>
        </is>
      </c>
      <c r="G504" t="inlineStr">
        <is>
          <t>1</t>
        </is>
      </c>
      <c r="H504" t="inlineStr">
        <is>
          <t>No</t>
        </is>
      </c>
      <c r="I504" t="inlineStr">
        <is>
          <t>No</t>
        </is>
      </c>
      <c r="J504" t="inlineStr">
        <is>
          <t>0</t>
        </is>
      </c>
      <c r="K504" t="inlineStr">
        <is>
          <t>Lane-Petter, W. (William)</t>
        </is>
      </c>
      <c r="L504" t="inlineStr">
        <is>
          <t>London ; New York : Academic Press, 1971.</t>
        </is>
      </c>
      <c r="M504" t="inlineStr">
        <is>
          <t>1971</t>
        </is>
      </c>
      <c r="O504" t="inlineStr">
        <is>
          <t>eng</t>
        </is>
      </c>
      <c r="P504" t="inlineStr">
        <is>
          <t>enk</t>
        </is>
      </c>
      <c r="R504" t="inlineStr">
        <is>
          <t xml:space="preserve">QL </t>
        </is>
      </c>
      <c r="S504" t="n">
        <v>13</v>
      </c>
      <c r="T504" t="n">
        <v>13</v>
      </c>
      <c r="U504" t="inlineStr">
        <is>
          <t>1996-04-29</t>
        </is>
      </c>
      <c r="V504" t="inlineStr">
        <is>
          <t>1996-04-29</t>
        </is>
      </c>
      <c r="W504" t="inlineStr">
        <is>
          <t>1993-01-15</t>
        </is>
      </c>
      <c r="X504" t="inlineStr">
        <is>
          <t>1993-01-15</t>
        </is>
      </c>
      <c r="Y504" t="n">
        <v>384</v>
      </c>
      <c r="Z504" t="n">
        <v>266</v>
      </c>
      <c r="AA504" t="n">
        <v>276</v>
      </c>
      <c r="AB504" t="n">
        <v>3</v>
      </c>
      <c r="AC504" t="n">
        <v>3</v>
      </c>
      <c r="AD504" t="n">
        <v>11</v>
      </c>
      <c r="AE504" t="n">
        <v>12</v>
      </c>
      <c r="AF504" t="n">
        <v>5</v>
      </c>
      <c r="AG504" t="n">
        <v>5</v>
      </c>
      <c r="AH504" t="n">
        <v>3</v>
      </c>
      <c r="AI504" t="n">
        <v>4</v>
      </c>
      <c r="AJ504" t="n">
        <v>3</v>
      </c>
      <c r="AK504" t="n">
        <v>3</v>
      </c>
      <c r="AL504" t="n">
        <v>2</v>
      </c>
      <c r="AM504" t="n">
        <v>2</v>
      </c>
      <c r="AN504" t="n">
        <v>0</v>
      </c>
      <c r="AO504" t="n">
        <v>0</v>
      </c>
      <c r="AP504" t="inlineStr">
        <is>
          <t>No</t>
        </is>
      </c>
      <c r="AQ504" t="inlineStr">
        <is>
          <t>Yes</t>
        </is>
      </c>
      <c r="AR504">
        <f>HYPERLINK("http://catalog.hathitrust.org/Record/001498805","HathiTrust Record")</f>
        <v/>
      </c>
      <c r="AS504">
        <f>HYPERLINK("https://creighton-primo.hosted.exlibrisgroup.com/primo-explore/search?tab=default_tab&amp;search_scope=EVERYTHING&amp;vid=01CRU&amp;lang=en_US&amp;offset=0&amp;query=any,contains,991002827039702656","Catalog Record")</f>
        <v/>
      </c>
      <c r="AT504">
        <f>HYPERLINK("http://www.worldcat.org/oclc/475834","WorldCat Record")</f>
        <v/>
      </c>
      <c r="AU504" t="inlineStr">
        <is>
          <t>409319:eng</t>
        </is>
      </c>
      <c r="AV504" t="inlineStr">
        <is>
          <t>475834</t>
        </is>
      </c>
      <c r="AW504" t="inlineStr">
        <is>
          <t>991002827039702656</t>
        </is>
      </c>
      <c r="AX504" t="inlineStr">
        <is>
          <t>991002827039702656</t>
        </is>
      </c>
      <c r="AY504" t="inlineStr">
        <is>
          <t>2255182730002656</t>
        </is>
      </c>
      <c r="AZ504" t="inlineStr">
        <is>
          <t>BOOK</t>
        </is>
      </c>
      <c r="BB504" t="inlineStr">
        <is>
          <t>9780124357600</t>
        </is>
      </c>
      <c r="BC504" t="inlineStr">
        <is>
          <t>32285001474807</t>
        </is>
      </c>
      <c r="BD504" t="inlineStr">
        <is>
          <t>893434340</t>
        </is>
      </c>
    </row>
    <row r="505">
      <c r="A505" t="inlineStr">
        <is>
          <t>No</t>
        </is>
      </c>
      <c r="B505" t="inlineStr">
        <is>
          <t>QL55 .R65 1989</t>
        </is>
      </c>
      <c r="C505" t="inlineStr">
        <is>
          <t>0                      QL 0055000R  65          1989</t>
        </is>
      </c>
      <c r="D505" t="inlineStr">
        <is>
          <t>The unheeded cry : animal consciousness, animal pain and science / Bernard E. Rollin.</t>
        </is>
      </c>
      <c r="F505" t="inlineStr">
        <is>
          <t>No</t>
        </is>
      </c>
      <c r="G505" t="inlineStr">
        <is>
          <t>1</t>
        </is>
      </c>
      <c r="H505" t="inlineStr">
        <is>
          <t>No</t>
        </is>
      </c>
      <c r="I505" t="inlineStr">
        <is>
          <t>No</t>
        </is>
      </c>
      <c r="J505" t="inlineStr">
        <is>
          <t>0</t>
        </is>
      </c>
      <c r="K505" t="inlineStr">
        <is>
          <t>Rollin, Bernard E.</t>
        </is>
      </c>
      <c r="L505" t="inlineStr">
        <is>
          <t>Oxford : Oxford University Press, 1989.</t>
        </is>
      </c>
      <c r="M505" t="inlineStr">
        <is>
          <t>1989</t>
        </is>
      </c>
      <c r="O505" t="inlineStr">
        <is>
          <t>eng</t>
        </is>
      </c>
      <c r="P505" t="inlineStr">
        <is>
          <t>enk</t>
        </is>
      </c>
      <c r="Q505" t="inlineStr">
        <is>
          <t>Studies in bioethics</t>
        </is>
      </c>
      <c r="R505" t="inlineStr">
        <is>
          <t xml:space="preserve">QL </t>
        </is>
      </c>
      <c r="S505" t="n">
        <v>6</v>
      </c>
      <c r="T505" t="n">
        <v>6</v>
      </c>
      <c r="U505" t="inlineStr">
        <is>
          <t>2000-11-28</t>
        </is>
      </c>
      <c r="V505" t="inlineStr">
        <is>
          <t>2000-11-28</t>
        </is>
      </c>
      <c r="W505" t="inlineStr">
        <is>
          <t>1991-11-13</t>
        </is>
      </c>
      <c r="X505" t="inlineStr">
        <is>
          <t>1991-11-13</t>
        </is>
      </c>
      <c r="Y505" t="n">
        <v>609</v>
      </c>
      <c r="Z505" t="n">
        <v>481</v>
      </c>
      <c r="AA505" t="n">
        <v>1518</v>
      </c>
      <c r="AB505" t="n">
        <v>6</v>
      </c>
      <c r="AC505" t="n">
        <v>44</v>
      </c>
      <c r="AD505" t="n">
        <v>28</v>
      </c>
      <c r="AE505" t="n">
        <v>62</v>
      </c>
      <c r="AF505" t="n">
        <v>7</v>
      </c>
      <c r="AG505" t="n">
        <v>24</v>
      </c>
      <c r="AH505" t="n">
        <v>6</v>
      </c>
      <c r="AI505" t="n">
        <v>10</v>
      </c>
      <c r="AJ505" t="n">
        <v>13</v>
      </c>
      <c r="AK505" t="n">
        <v>23</v>
      </c>
      <c r="AL505" t="n">
        <v>5</v>
      </c>
      <c r="AM505" t="n">
        <v>14</v>
      </c>
      <c r="AN505" t="n">
        <v>2</v>
      </c>
      <c r="AO505" t="n">
        <v>4</v>
      </c>
      <c r="AP505" t="inlineStr">
        <is>
          <t>No</t>
        </is>
      </c>
      <c r="AQ505" t="inlineStr">
        <is>
          <t>Yes</t>
        </is>
      </c>
      <c r="AR505">
        <f>HYPERLINK("http://catalog.hathitrust.org/Record/009920956","HathiTrust Record")</f>
        <v/>
      </c>
      <c r="AS505">
        <f>HYPERLINK("https://creighton-primo.hosted.exlibrisgroup.com/primo-explore/search?tab=default_tab&amp;search_scope=EVERYTHING&amp;vid=01CRU&amp;lang=en_US&amp;offset=0&amp;query=any,contains,991001388339702656","Catalog Record")</f>
        <v/>
      </c>
      <c r="AT505">
        <f>HYPERLINK("http://www.worldcat.org/oclc/20811929","WorldCat Record")</f>
        <v/>
      </c>
      <c r="AU505" t="inlineStr">
        <is>
          <t>20108224:eng</t>
        </is>
      </c>
      <c r="AV505" t="inlineStr">
        <is>
          <t>20811929</t>
        </is>
      </c>
      <c r="AW505" t="inlineStr">
        <is>
          <t>991001388339702656</t>
        </is>
      </c>
      <c r="AX505" t="inlineStr">
        <is>
          <t>991001388339702656</t>
        </is>
      </c>
      <c r="AY505" t="inlineStr">
        <is>
          <t>2257796080002656</t>
        </is>
      </c>
      <c r="AZ505" t="inlineStr">
        <is>
          <t>BOOK</t>
        </is>
      </c>
      <c r="BB505" t="inlineStr">
        <is>
          <t>9780192177650</t>
        </is>
      </c>
      <c r="BC505" t="inlineStr">
        <is>
          <t>32285000823756</t>
        </is>
      </c>
      <c r="BD505" t="inlineStr">
        <is>
          <t>893684285</t>
        </is>
      </c>
    </row>
    <row r="506">
      <c r="A506" t="inlineStr">
        <is>
          <t>No</t>
        </is>
      </c>
      <c r="B506" t="inlineStr">
        <is>
          <t>QL551.A7 C43 2005</t>
        </is>
      </c>
      <c r="C506" t="inlineStr">
        <is>
          <t>0                      QL 0551000A  7                  C  43          2005</t>
        </is>
      </c>
      <c r="D506" t="inlineStr">
        <is>
          <t>Butterflies of the East Coast : an observer's guide / Rick Cech and Guy Tudor.</t>
        </is>
      </c>
      <c r="F506" t="inlineStr">
        <is>
          <t>No</t>
        </is>
      </c>
      <c r="G506" t="inlineStr">
        <is>
          <t>1</t>
        </is>
      </c>
      <c r="H506" t="inlineStr">
        <is>
          <t>No</t>
        </is>
      </c>
      <c r="I506" t="inlineStr">
        <is>
          <t>No</t>
        </is>
      </c>
      <c r="J506" t="inlineStr">
        <is>
          <t>0</t>
        </is>
      </c>
      <c r="K506" t="inlineStr">
        <is>
          <t>Cech, Rick, 1949-</t>
        </is>
      </c>
      <c r="L506" t="inlineStr">
        <is>
          <t>Princeton, N.J. : Princeton University Press, c2005.</t>
        </is>
      </c>
      <c r="M506" t="inlineStr">
        <is>
          <t>2005</t>
        </is>
      </c>
      <c r="O506" t="inlineStr">
        <is>
          <t>eng</t>
        </is>
      </c>
      <c r="P506" t="inlineStr">
        <is>
          <t>nju</t>
        </is>
      </c>
      <c r="R506" t="inlineStr">
        <is>
          <t xml:space="preserve">QL </t>
        </is>
      </c>
      <c r="S506" t="n">
        <v>1</v>
      </c>
      <c r="T506" t="n">
        <v>1</v>
      </c>
      <c r="U506" t="inlineStr">
        <is>
          <t>2005-08-17</t>
        </is>
      </c>
      <c r="V506" t="inlineStr">
        <is>
          <t>2005-08-17</t>
        </is>
      </c>
      <c r="W506" t="inlineStr">
        <is>
          <t>2005-08-17</t>
        </is>
      </c>
      <c r="X506" t="inlineStr">
        <is>
          <t>2005-08-17</t>
        </is>
      </c>
      <c r="Y506" t="n">
        <v>435</v>
      </c>
      <c r="Z506" t="n">
        <v>404</v>
      </c>
      <c r="AA506" t="n">
        <v>419</v>
      </c>
      <c r="AB506" t="n">
        <v>1</v>
      </c>
      <c r="AC506" t="n">
        <v>1</v>
      </c>
      <c r="AD506" t="n">
        <v>10</v>
      </c>
      <c r="AE506" t="n">
        <v>10</v>
      </c>
      <c r="AF506" t="n">
        <v>6</v>
      </c>
      <c r="AG506" t="n">
        <v>6</v>
      </c>
      <c r="AH506" t="n">
        <v>2</v>
      </c>
      <c r="AI506" t="n">
        <v>2</v>
      </c>
      <c r="AJ506" t="n">
        <v>4</v>
      </c>
      <c r="AK506" t="n">
        <v>4</v>
      </c>
      <c r="AL506" t="n">
        <v>0</v>
      </c>
      <c r="AM506" t="n">
        <v>0</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HYPERLINK("https://creighton-primo.hosted.exlibrisgroup.com/primo-explore/search?tab=default_tab&amp;search_scope=EVERYTHING&amp;vid=01CRU&amp;lang=en_US&amp;offset=0&amp;query=any,contains,991004630009702656","Catalog Record")</f>
        <v/>
      </c>
      <c r="AT506">
        <f>HYPERLINK("http://www.worldcat.org/oclc/56493770","WorldCat Record")</f>
        <v/>
      </c>
      <c r="AU506" t="inlineStr">
        <is>
          <t>257392339:eng</t>
        </is>
      </c>
      <c r="AV506" t="inlineStr">
        <is>
          <t>56493770</t>
        </is>
      </c>
      <c r="AW506" t="inlineStr">
        <is>
          <t>991004630009702656</t>
        </is>
      </c>
      <c r="AX506" t="inlineStr">
        <is>
          <t>991004630009702656</t>
        </is>
      </c>
      <c r="AY506" t="inlineStr">
        <is>
          <t>2258295400002656</t>
        </is>
      </c>
      <c r="AZ506" t="inlineStr">
        <is>
          <t>BOOK</t>
        </is>
      </c>
      <c r="BB506" t="inlineStr">
        <is>
          <t>9780691090559</t>
        </is>
      </c>
      <c r="BC506" t="inlineStr">
        <is>
          <t>32285005081426</t>
        </is>
      </c>
      <c r="BD506" t="inlineStr">
        <is>
          <t>893895218</t>
        </is>
      </c>
    </row>
    <row r="507">
      <c r="A507" t="inlineStr">
        <is>
          <t>No</t>
        </is>
      </c>
      <c r="B507" t="inlineStr">
        <is>
          <t>QL551.E16 G58 1999</t>
        </is>
      </c>
      <c r="C507" t="inlineStr">
        <is>
          <t>0                      QL 0551000E  16                 G  58          1999</t>
        </is>
      </c>
      <c r="D507" t="inlineStr">
        <is>
          <t>Butterflies through binoculars : the East / Jeffrey Glassberg.</t>
        </is>
      </c>
      <c r="F507" t="inlineStr">
        <is>
          <t>No</t>
        </is>
      </c>
      <c r="G507" t="inlineStr">
        <is>
          <t>1</t>
        </is>
      </c>
      <c r="H507" t="inlineStr">
        <is>
          <t>No</t>
        </is>
      </c>
      <c r="I507" t="inlineStr">
        <is>
          <t>No</t>
        </is>
      </c>
      <c r="J507" t="inlineStr">
        <is>
          <t>0</t>
        </is>
      </c>
      <c r="K507" t="inlineStr">
        <is>
          <t>Glassberg, Jeffrey.</t>
        </is>
      </c>
      <c r="L507" t="inlineStr">
        <is>
          <t>New York : Oxford University Press, c1999.</t>
        </is>
      </c>
      <c r="M507" t="inlineStr">
        <is>
          <t>1999</t>
        </is>
      </c>
      <c r="O507" t="inlineStr">
        <is>
          <t>eng</t>
        </is>
      </c>
      <c r="P507" t="inlineStr">
        <is>
          <t>nyu</t>
        </is>
      </c>
      <c r="R507" t="inlineStr">
        <is>
          <t xml:space="preserve">QL </t>
        </is>
      </c>
      <c r="S507" t="n">
        <v>1</v>
      </c>
      <c r="T507" t="n">
        <v>1</v>
      </c>
      <c r="U507" t="inlineStr">
        <is>
          <t>2005-08-25</t>
        </is>
      </c>
      <c r="V507" t="inlineStr">
        <is>
          <t>2005-08-25</t>
        </is>
      </c>
      <c r="W507" t="inlineStr">
        <is>
          <t>2005-08-25</t>
        </is>
      </c>
      <c r="X507" t="inlineStr">
        <is>
          <t>2005-08-25</t>
        </is>
      </c>
      <c r="Y507" t="n">
        <v>377</v>
      </c>
      <c r="Z507" t="n">
        <v>350</v>
      </c>
      <c r="AA507" t="n">
        <v>359</v>
      </c>
      <c r="AB507" t="n">
        <v>2</v>
      </c>
      <c r="AC507" t="n">
        <v>3</v>
      </c>
      <c r="AD507" t="n">
        <v>5</v>
      </c>
      <c r="AE507" t="n">
        <v>7</v>
      </c>
      <c r="AF507" t="n">
        <v>2</v>
      </c>
      <c r="AG507" t="n">
        <v>3</v>
      </c>
      <c r="AH507" t="n">
        <v>1</v>
      </c>
      <c r="AI507" t="n">
        <v>2</v>
      </c>
      <c r="AJ507" t="n">
        <v>2</v>
      </c>
      <c r="AK507" t="n">
        <v>2</v>
      </c>
      <c r="AL507" t="n">
        <v>1</v>
      </c>
      <c r="AM507" t="n">
        <v>2</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HYPERLINK("https://creighton-primo.hosted.exlibrisgroup.com/primo-explore/search?tab=default_tab&amp;search_scope=EVERYTHING&amp;vid=01CRU&amp;lang=en_US&amp;offset=0&amp;query=any,contains,991004630239702656","Catalog Record")</f>
        <v/>
      </c>
      <c r="AT507">
        <f>HYPERLINK("http://www.worldcat.org/oclc/37238997","WorldCat Record")</f>
        <v/>
      </c>
      <c r="AU507" t="inlineStr">
        <is>
          <t>5218409999:eng</t>
        </is>
      </c>
      <c r="AV507" t="inlineStr">
        <is>
          <t>37238997</t>
        </is>
      </c>
      <c r="AW507" t="inlineStr">
        <is>
          <t>991004630239702656</t>
        </is>
      </c>
      <c r="AX507" t="inlineStr">
        <is>
          <t>991004630239702656</t>
        </is>
      </c>
      <c r="AY507" t="inlineStr">
        <is>
          <t>2255137510002656</t>
        </is>
      </c>
      <c r="AZ507" t="inlineStr">
        <is>
          <t>BOOK</t>
        </is>
      </c>
      <c r="BB507" t="inlineStr">
        <is>
          <t>9780195106688</t>
        </is>
      </c>
      <c r="BC507" t="inlineStr">
        <is>
          <t>32285005082259</t>
        </is>
      </c>
      <c r="BD507" t="inlineStr">
        <is>
          <t>893888979</t>
        </is>
      </c>
    </row>
    <row r="508">
      <c r="A508" t="inlineStr">
        <is>
          <t>No</t>
        </is>
      </c>
      <c r="B508" t="inlineStr">
        <is>
          <t>QL551.N3 G635 1997</t>
        </is>
      </c>
      <c r="C508" t="inlineStr">
        <is>
          <t>0                      QL 0551000N  3                  G  635         1997</t>
        </is>
      </c>
      <c r="D508" t="inlineStr">
        <is>
          <t>Butterflies of New Jersey : a guide to their status, distribution, conservation, and appreciation / Michael Gochfeld and Joanna Burger.</t>
        </is>
      </c>
      <c r="F508" t="inlineStr">
        <is>
          <t>No</t>
        </is>
      </c>
      <c r="G508" t="inlineStr">
        <is>
          <t>1</t>
        </is>
      </c>
      <c r="H508" t="inlineStr">
        <is>
          <t>No</t>
        </is>
      </c>
      <c r="I508" t="inlineStr">
        <is>
          <t>No</t>
        </is>
      </c>
      <c r="J508" t="inlineStr">
        <is>
          <t>0</t>
        </is>
      </c>
      <c r="K508" t="inlineStr">
        <is>
          <t>Gochfeld, Michael.</t>
        </is>
      </c>
      <c r="L508" t="inlineStr">
        <is>
          <t>New Brunswick, N.J. : Rutgers University Press, c1997.</t>
        </is>
      </c>
      <c r="M508" t="inlineStr">
        <is>
          <t>1997</t>
        </is>
      </c>
      <c r="O508" t="inlineStr">
        <is>
          <t>eng</t>
        </is>
      </c>
      <c r="P508" t="inlineStr">
        <is>
          <t>nju</t>
        </is>
      </c>
      <c r="R508" t="inlineStr">
        <is>
          <t xml:space="preserve">QL </t>
        </is>
      </c>
      <c r="S508" t="n">
        <v>1</v>
      </c>
      <c r="T508" t="n">
        <v>1</v>
      </c>
      <c r="U508" t="inlineStr">
        <is>
          <t>1997-06-30</t>
        </is>
      </c>
      <c r="V508" t="inlineStr">
        <is>
          <t>1997-06-30</t>
        </is>
      </c>
      <c r="W508" t="inlineStr">
        <is>
          <t>1997-06-05</t>
        </is>
      </c>
      <c r="X508" t="inlineStr">
        <is>
          <t>1997-06-05</t>
        </is>
      </c>
      <c r="Y508" t="n">
        <v>144</v>
      </c>
      <c r="Z508" t="n">
        <v>140</v>
      </c>
      <c r="AA508" t="n">
        <v>141</v>
      </c>
      <c r="AB508" t="n">
        <v>1</v>
      </c>
      <c r="AC508" t="n">
        <v>1</v>
      </c>
      <c r="AD508" t="n">
        <v>6</v>
      </c>
      <c r="AE508" t="n">
        <v>6</v>
      </c>
      <c r="AF508" t="n">
        <v>2</v>
      </c>
      <c r="AG508" t="n">
        <v>2</v>
      </c>
      <c r="AH508" t="n">
        <v>1</v>
      </c>
      <c r="AI508" t="n">
        <v>1</v>
      </c>
      <c r="AJ508" t="n">
        <v>5</v>
      </c>
      <c r="AK508" t="n">
        <v>5</v>
      </c>
      <c r="AL508" t="n">
        <v>0</v>
      </c>
      <c r="AM508" t="n">
        <v>0</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HYPERLINK("https://creighton-primo.hosted.exlibrisgroup.com/primo-explore/search?tab=default_tab&amp;search_scope=EVERYTHING&amp;vid=01CRU&amp;lang=en_US&amp;offset=0&amp;query=any,contains,991002646259702656","Catalog Record")</f>
        <v/>
      </c>
      <c r="AT508">
        <f>HYPERLINK("http://www.worldcat.org/oclc/34618386","WorldCat Record")</f>
        <v/>
      </c>
      <c r="AU508" t="inlineStr">
        <is>
          <t>4762610099:eng</t>
        </is>
      </c>
      <c r="AV508" t="inlineStr">
        <is>
          <t>34618386</t>
        </is>
      </c>
      <c r="AW508" t="inlineStr">
        <is>
          <t>991002646259702656</t>
        </is>
      </c>
      <c r="AX508" t="inlineStr">
        <is>
          <t>991002646259702656</t>
        </is>
      </c>
      <c r="AY508" t="inlineStr">
        <is>
          <t>2271893470002656</t>
        </is>
      </c>
      <c r="AZ508" t="inlineStr">
        <is>
          <t>BOOK</t>
        </is>
      </c>
      <c r="BB508" t="inlineStr">
        <is>
          <t>9780813523545</t>
        </is>
      </c>
      <c r="BC508" t="inlineStr">
        <is>
          <t>32285002614617</t>
        </is>
      </c>
      <c r="BD508" t="inlineStr">
        <is>
          <t>893415454</t>
        </is>
      </c>
    </row>
    <row r="509">
      <c r="A509" t="inlineStr">
        <is>
          <t>No</t>
        </is>
      </c>
      <c r="B509" t="inlineStr">
        <is>
          <t>QL551.W3 G63 2001</t>
        </is>
      </c>
      <c r="C509" t="inlineStr">
        <is>
          <t>0                      QL 0551000W  3                  G  63          2001</t>
        </is>
      </c>
      <c r="D509" t="inlineStr">
        <is>
          <t>Butterflies through binoculars : the West : a field guide to the butterflies of western North America / Jeffrey Glassberg.</t>
        </is>
      </c>
      <c r="F509" t="inlineStr">
        <is>
          <t>No</t>
        </is>
      </c>
      <c r="G509" t="inlineStr">
        <is>
          <t>1</t>
        </is>
      </c>
      <c r="H509" t="inlineStr">
        <is>
          <t>No</t>
        </is>
      </c>
      <c r="I509" t="inlineStr">
        <is>
          <t>No</t>
        </is>
      </c>
      <c r="J509" t="inlineStr">
        <is>
          <t>0</t>
        </is>
      </c>
      <c r="K509" t="inlineStr">
        <is>
          <t>Glassberg, Jeffrey.</t>
        </is>
      </c>
      <c r="L509" t="inlineStr">
        <is>
          <t>Oxford ; New York, N.Y. : Oxford University Press, 2001.</t>
        </is>
      </c>
      <c r="M509" t="inlineStr">
        <is>
          <t>2001</t>
        </is>
      </c>
      <c r="O509" t="inlineStr">
        <is>
          <t>eng</t>
        </is>
      </c>
      <c r="P509" t="inlineStr">
        <is>
          <t>enk</t>
        </is>
      </c>
      <c r="Q509" t="inlineStr">
        <is>
          <t>Glassberg field guide series</t>
        </is>
      </c>
      <c r="R509" t="inlineStr">
        <is>
          <t xml:space="preserve">QL </t>
        </is>
      </c>
      <c r="S509" t="n">
        <v>1</v>
      </c>
      <c r="T509" t="n">
        <v>1</v>
      </c>
      <c r="U509" t="inlineStr">
        <is>
          <t>2002-01-07</t>
        </is>
      </c>
      <c r="V509" t="inlineStr">
        <is>
          <t>2002-01-07</t>
        </is>
      </c>
      <c r="W509" t="inlineStr">
        <is>
          <t>2002-01-07</t>
        </is>
      </c>
      <c r="X509" t="inlineStr">
        <is>
          <t>2002-01-07</t>
        </is>
      </c>
      <c r="Y509" t="n">
        <v>356</v>
      </c>
      <c r="Z509" t="n">
        <v>333</v>
      </c>
      <c r="AA509" t="n">
        <v>342</v>
      </c>
      <c r="AB509" t="n">
        <v>6</v>
      </c>
      <c r="AC509" t="n">
        <v>6</v>
      </c>
      <c r="AD509" t="n">
        <v>6</v>
      </c>
      <c r="AE509" t="n">
        <v>6</v>
      </c>
      <c r="AF509" t="n">
        <v>1</v>
      </c>
      <c r="AG509" t="n">
        <v>1</v>
      </c>
      <c r="AH509" t="n">
        <v>0</v>
      </c>
      <c r="AI509" t="n">
        <v>0</v>
      </c>
      <c r="AJ509" t="n">
        <v>1</v>
      </c>
      <c r="AK509" t="n">
        <v>1</v>
      </c>
      <c r="AL509" t="n">
        <v>5</v>
      </c>
      <c r="AM509" t="n">
        <v>5</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HYPERLINK("https://creighton-primo.hosted.exlibrisgroup.com/primo-explore/search?tab=default_tab&amp;search_scope=EVERYTHING&amp;vid=01CRU&amp;lang=en_US&amp;offset=0&amp;query=any,contains,991003671609702656","Catalog Record")</f>
        <v/>
      </c>
      <c r="AT509">
        <f>HYPERLINK("http://www.worldcat.org/oclc/44313503","WorldCat Record")</f>
        <v/>
      </c>
      <c r="AU509" t="inlineStr">
        <is>
          <t>3373733600:eng</t>
        </is>
      </c>
      <c r="AV509" t="inlineStr">
        <is>
          <t>44313503</t>
        </is>
      </c>
      <c r="AW509" t="inlineStr">
        <is>
          <t>991003671609702656</t>
        </is>
      </c>
      <c r="AX509" t="inlineStr">
        <is>
          <t>991003671609702656</t>
        </is>
      </c>
      <c r="AY509" t="inlineStr">
        <is>
          <t>2257061210002656</t>
        </is>
      </c>
      <c r="AZ509" t="inlineStr">
        <is>
          <t>BOOK</t>
        </is>
      </c>
      <c r="BB509" t="inlineStr">
        <is>
          <t>9780195106695</t>
        </is>
      </c>
      <c r="BC509" t="inlineStr">
        <is>
          <t>32285004445358</t>
        </is>
      </c>
      <c r="BD509" t="inlineStr">
        <is>
          <t>893416647</t>
        </is>
      </c>
    </row>
    <row r="510">
      <c r="A510" t="inlineStr">
        <is>
          <t>No</t>
        </is>
      </c>
      <c r="B510" t="inlineStr">
        <is>
          <t>QL552 .C36 2004</t>
        </is>
      </c>
      <c r="C510" t="inlineStr">
        <is>
          <t>0                      QL 0552000C  36          2004</t>
        </is>
      </c>
      <c r="D510" t="inlineStr">
        <is>
          <t>Photo field guide to some caterpillars of southern Ontario / Ian Carmichael, Ann Vance.</t>
        </is>
      </c>
      <c r="F510" t="inlineStr">
        <is>
          <t>No</t>
        </is>
      </c>
      <c r="G510" t="inlineStr">
        <is>
          <t>1</t>
        </is>
      </c>
      <c r="H510" t="inlineStr">
        <is>
          <t>No</t>
        </is>
      </c>
      <c r="I510" t="inlineStr">
        <is>
          <t>No</t>
        </is>
      </c>
      <c r="J510" t="inlineStr">
        <is>
          <t>0</t>
        </is>
      </c>
      <c r="K510" t="inlineStr">
        <is>
          <t>Carmichael, Ian, 1937-</t>
        </is>
      </c>
      <c r="L510" t="inlineStr">
        <is>
          <t>St. Thomas, ON : St. Thomas Field Naturalist Club, 2004.</t>
        </is>
      </c>
      <c r="M510" t="inlineStr">
        <is>
          <t>2004</t>
        </is>
      </c>
      <c r="O510" t="inlineStr">
        <is>
          <t>eng</t>
        </is>
      </c>
      <c r="P510" t="inlineStr">
        <is>
          <t>onc</t>
        </is>
      </c>
      <c r="R510" t="inlineStr">
        <is>
          <t xml:space="preserve">QL </t>
        </is>
      </c>
      <c r="S510" t="n">
        <v>4</v>
      </c>
      <c r="T510" t="n">
        <v>4</v>
      </c>
      <c r="U510" t="inlineStr">
        <is>
          <t>2007-04-15</t>
        </is>
      </c>
      <c r="V510" t="inlineStr">
        <is>
          <t>2007-04-15</t>
        </is>
      </c>
      <c r="W510" t="inlineStr">
        <is>
          <t>2005-03-31</t>
        </is>
      </c>
      <c r="X510" t="inlineStr">
        <is>
          <t>2005-03-31</t>
        </is>
      </c>
      <c r="Y510" t="n">
        <v>7</v>
      </c>
      <c r="Z510" t="n">
        <v>1</v>
      </c>
      <c r="AA510" t="n">
        <v>1</v>
      </c>
      <c r="AB510" t="n">
        <v>1</v>
      </c>
      <c r="AC510" t="n">
        <v>1</v>
      </c>
      <c r="AD510" t="n">
        <v>0</v>
      </c>
      <c r="AE510" t="n">
        <v>0</v>
      </c>
      <c r="AF510" t="n">
        <v>0</v>
      </c>
      <c r="AG510" t="n">
        <v>0</v>
      </c>
      <c r="AH510" t="n">
        <v>0</v>
      </c>
      <c r="AI510" t="n">
        <v>0</v>
      </c>
      <c r="AJ510" t="n">
        <v>0</v>
      </c>
      <c r="AK510" t="n">
        <v>0</v>
      </c>
      <c r="AL510" t="n">
        <v>0</v>
      </c>
      <c r="AM510" t="n">
        <v>0</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HYPERLINK("https://creighton-primo.hosted.exlibrisgroup.com/primo-explore/search?tab=default_tab&amp;search_scope=EVERYTHING&amp;vid=01CRU&amp;lang=en_US&amp;offset=0&amp;query=any,contains,991004516109702656","Catalog Record")</f>
        <v/>
      </c>
      <c r="AT510">
        <f>HYPERLINK("http://www.worldcat.org/oclc/56012128","WorldCat Record")</f>
        <v/>
      </c>
      <c r="AU510" t="inlineStr">
        <is>
          <t>15529262:eng</t>
        </is>
      </c>
      <c r="AV510" t="inlineStr">
        <is>
          <t>56012128</t>
        </is>
      </c>
      <c r="AW510" t="inlineStr">
        <is>
          <t>991004516109702656</t>
        </is>
      </c>
      <c r="AX510" t="inlineStr">
        <is>
          <t>991004516109702656</t>
        </is>
      </c>
      <c r="AY510" t="inlineStr">
        <is>
          <t>2255228410002656</t>
        </is>
      </c>
      <c r="AZ510" t="inlineStr">
        <is>
          <t>BOOK</t>
        </is>
      </c>
      <c r="BB510" t="inlineStr">
        <is>
          <t>9780973317916</t>
        </is>
      </c>
      <c r="BC510" t="inlineStr">
        <is>
          <t>32285005046478</t>
        </is>
      </c>
      <c r="BD510" t="inlineStr">
        <is>
          <t>893788792</t>
        </is>
      </c>
    </row>
    <row r="511">
      <c r="A511" t="inlineStr">
        <is>
          <t>No</t>
        </is>
      </c>
      <c r="B511" t="inlineStr">
        <is>
          <t>QL553.C67 D48 1987</t>
        </is>
      </c>
      <c r="C511" t="inlineStr">
        <is>
          <t>0                      QL 0553000C  67                 D  48          1987</t>
        </is>
      </c>
      <c r="D511" t="inlineStr">
        <is>
          <t>The butterflies of Costa Rica and their natural history : Papilionidae, Pieridae, Nymphalidae / Philip J. Devries ; illustrated by Philip J. DeVries and Jennifer Clark.</t>
        </is>
      </c>
      <c r="F511" t="inlineStr">
        <is>
          <t>No</t>
        </is>
      </c>
      <c r="G511" t="inlineStr">
        <is>
          <t>1</t>
        </is>
      </c>
      <c r="H511" t="inlineStr">
        <is>
          <t>No</t>
        </is>
      </c>
      <c r="I511" t="inlineStr">
        <is>
          <t>No</t>
        </is>
      </c>
      <c r="J511" t="inlineStr">
        <is>
          <t>0</t>
        </is>
      </c>
      <c r="K511" t="inlineStr">
        <is>
          <t>DeVries, Philip J., 1952-</t>
        </is>
      </c>
      <c r="L511" t="inlineStr">
        <is>
          <t>Princeton, N.J. : Princeton University Press, c1987.</t>
        </is>
      </c>
      <c r="M511" t="inlineStr">
        <is>
          <t>1987</t>
        </is>
      </c>
      <c r="O511" t="inlineStr">
        <is>
          <t>eng</t>
        </is>
      </c>
      <c r="P511" t="inlineStr">
        <is>
          <t>nju</t>
        </is>
      </c>
      <c r="R511" t="inlineStr">
        <is>
          <t xml:space="preserve">QL </t>
        </is>
      </c>
      <c r="S511" t="n">
        <v>4</v>
      </c>
      <c r="T511" t="n">
        <v>4</v>
      </c>
      <c r="U511" t="inlineStr">
        <is>
          <t>2009-03-24</t>
        </is>
      </c>
      <c r="V511" t="inlineStr">
        <is>
          <t>2009-03-24</t>
        </is>
      </c>
      <c r="W511" t="inlineStr">
        <is>
          <t>1996-10-28</t>
        </is>
      </c>
      <c r="X511" t="inlineStr">
        <is>
          <t>1996-10-28</t>
        </is>
      </c>
      <c r="Y511" t="n">
        <v>349</v>
      </c>
      <c r="Z511" t="n">
        <v>319</v>
      </c>
      <c r="AA511" t="n">
        <v>345</v>
      </c>
      <c r="AB511" t="n">
        <v>2</v>
      </c>
      <c r="AC511" t="n">
        <v>2</v>
      </c>
      <c r="AD511" t="n">
        <v>8</v>
      </c>
      <c r="AE511" t="n">
        <v>8</v>
      </c>
      <c r="AF511" t="n">
        <v>2</v>
      </c>
      <c r="AG511" t="n">
        <v>2</v>
      </c>
      <c r="AH511" t="n">
        <v>3</v>
      </c>
      <c r="AI511" t="n">
        <v>3</v>
      </c>
      <c r="AJ511" t="n">
        <v>4</v>
      </c>
      <c r="AK511" t="n">
        <v>4</v>
      </c>
      <c r="AL511" t="n">
        <v>1</v>
      </c>
      <c r="AM511" t="n">
        <v>1</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HYPERLINK("https://creighton-primo.hosted.exlibrisgroup.com/primo-explore/search?tab=default_tab&amp;search_scope=EVERYTHING&amp;vid=01CRU&amp;lang=en_US&amp;offset=0&amp;query=any,contains,991000761259702656","Catalog Record")</f>
        <v/>
      </c>
      <c r="AT511">
        <f>HYPERLINK("http://www.worldcat.org/oclc/12973384","WorldCat Record")</f>
        <v/>
      </c>
      <c r="AU511" t="inlineStr">
        <is>
          <t>2881769995:eng</t>
        </is>
      </c>
      <c r="AV511" t="inlineStr">
        <is>
          <t>12973384</t>
        </is>
      </c>
      <c r="AW511" t="inlineStr">
        <is>
          <t>991000761259702656</t>
        </is>
      </c>
      <c r="AX511" t="inlineStr">
        <is>
          <t>991000761259702656</t>
        </is>
      </c>
      <c r="AY511" t="inlineStr">
        <is>
          <t>2263232370002656</t>
        </is>
      </c>
      <c r="AZ511" t="inlineStr">
        <is>
          <t>BOOK</t>
        </is>
      </c>
      <c r="BB511" t="inlineStr">
        <is>
          <t>9780691084206</t>
        </is>
      </c>
      <c r="BC511" t="inlineStr">
        <is>
          <t>32285002369857</t>
        </is>
      </c>
      <c r="BD511" t="inlineStr">
        <is>
          <t>893897189</t>
        </is>
      </c>
    </row>
    <row r="512">
      <c r="A512" t="inlineStr">
        <is>
          <t>No</t>
        </is>
      </c>
      <c r="B512" t="inlineStr">
        <is>
          <t>QL553.W47 S65 1994</t>
        </is>
      </c>
      <c r="C512" t="inlineStr">
        <is>
          <t>0                      QL 0553000W  47                 S  65          1994</t>
        </is>
      </c>
      <c r="D512" t="inlineStr">
        <is>
          <t>The butterflies of the West Indies and south Florida / David Spencer Smith, Lee D. Miller, and Jacqueline Y. Miller ; with illustrations by Richard Lewington.</t>
        </is>
      </c>
      <c r="F512" t="inlineStr">
        <is>
          <t>No</t>
        </is>
      </c>
      <c r="G512" t="inlineStr">
        <is>
          <t>1</t>
        </is>
      </c>
      <c r="H512" t="inlineStr">
        <is>
          <t>No</t>
        </is>
      </c>
      <c r="I512" t="inlineStr">
        <is>
          <t>No</t>
        </is>
      </c>
      <c r="J512" t="inlineStr">
        <is>
          <t>0</t>
        </is>
      </c>
      <c r="K512" t="inlineStr">
        <is>
          <t>Smith, David Spencer.</t>
        </is>
      </c>
      <c r="L512" t="inlineStr">
        <is>
          <t>Oxford ; New York : Oxford University Press, 1994.</t>
        </is>
      </c>
      <c r="M512" t="inlineStr">
        <is>
          <t>1994</t>
        </is>
      </c>
      <c r="O512" t="inlineStr">
        <is>
          <t>eng</t>
        </is>
      </c>
      <c r="P512" t="inlineStr">
        <is>
          <t>enk</t>
        </is>
      </c>
      <c r="R512" t="inlineStr">
        <is>
          <t xml:space="preserve">QL </t>
        </is>
      </c>
      <c r="S512" t="n">
        <v>3</v>
      </c>
      <c r="T512" t="n">
        <v>3</v>
      </c>
      <c r="U512" t="inlineStr">
        <is>
          <t>2001-03-30</t>
        </is>
      </c>
      <c r="V512" t="inlineStr">
        <is>
          <t>2001-03-30</t>
        </is>
      </c>
      <c r="W512" t="inlineStr">
        <is>
          <t>1995-05-17</t>
        </is>
      </c>
      <c r="X512" t="inlineStr">
        <is>
          <t>1995-05-17</t>
        </is>
      </c>
      <c r="Y512" t="n">
        <v>152</v>
      </c>
      <c r="Z512" t="n">
        <v>124</v>
      </c>
      <c r="AA512" t="n">
        <v>124</v>
      </c>
      <c r="AB512" t="n">
        <v>1</v>
      </c>
      <c r="AC512" t="n">
        <v>1</v>
      </c>
      <c r="AD512" t="n">
        <v>1</v>
      </c>
      <c r="AE512" t="n">
        <v>1</v>
      </c>
      <c r="AF512" t="n">
        <v>0</v>
      </c>
      <c r="AG512" t="n">
        <v>0</v>
      </c>
      <c r="AH512" t="n">
        <v>1</v>
      </c>
      <c r="AI512" t="n">
        <v>1</v>
      </c>
      <c r="AJ512" t="n">
        <v>0</v>
      </c>
      <c r="AK512" t="n">
        <v>0</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HYPERLINK("https://creighton-primo.hosted.exlibrisgroup.com/primo-explore/search?tab=default_tab&amp;search_scope=EVERYTHING&amp;vid=01CRU&amp;lang=en_US&amp;offset=0&amp;query=any,contains,991002158809702656","Catalog Record")</f>
        <v/>
      </c>
      <c r="AT512">
        <f>HYPERLINK("http://www.worldcat.org/oclc/27811791","WorldCat Record")</f>
        <v/>
      </c>
      <c r="AU512" t="inlineStr">
        <is>
          <t>328472:eng</t>
        </is>
      </c>
      <c r="AV512" t="inlineStr">
        <is>
          <t>27811791</t>
        </is>
      </c>
      <c r="AW512" t="inlineStr">
        <is>
          <t>991002158809702656</t>
        </is>
      </c>
      <c r="AX512" t="inlineStr">
        <is>
          <t>991002158809702656</t>
        </is>
      </c>
      <c r="AY512" t="inlineStr">
        <is>
          <t>2258857810002656</t>
        </is>
      </c>
      <c r="AZ512" t="inlineStr">
        <is>
          <t>BOOK</t>
        </is>
      </c>
      <c r="BB512" t="inlineStr">
        <is>
          <t>9780198571995</t>
        </is>
      </c>
      <c r="BC512" t="inlineStr">
        <is>
          <t>32285002045598</t>
        </is>
      </c>
      <c r="BD512" t="inlineStr">
        <is>
          <t>893779480</t>
        </is>
      </c>
    </row>
    <row r="513">
      <c r="A513" t="inlineStr">
        <is>
          <t>No</t>
        </is>
      </c>
      <c r="B513" t="inlineStr">
        <is>
          <t>QL555.G7 E26 1992</t>
        </is>
      </c>
      <c r="C513" t="inlineStr">
        <is>
          <t>0                      QL 0555000G  7                  E  26          1992</t>
        </is>
      </c>
      <c r="D513" t="inlineStr">
        <is>
          <t>The Ecology of butterflies in Britain / edited by Roger L.H. Dennis ; figures prepared by Derek A.A. Whiteley.</t>
        </is>
      </c>
      <c r="F513" t="inlineStr">
        <is>
          <t>No</t>
        </is>
      </c>
      <c r="G513" t="inlineStr">
        <is>
          <t>1</t>
        </is>
      </c>
      <c r="H513" t="inlineStr">
        <is>
          <t>No</t>
        </is>
      </c>
      <c r="I513" t="inlineStr">
        <is>
          <t>No</t>
        </is>
      </c>
      <c r="J513" t="inlineStr">
        <is>
          <t>0</t>
        </is>
      </c>
      <c r="L513" t="inlineStr">
        <is>
          <t>Oxford ; New York : Oxford University Press, 1992.</t>
        </is>
      </c>
      <c r="M513" t="inlineStr">
        <is>
          <t>1992</t>
        </is>
      </c>
      <c r="O513" t="inlineStr">
        <is>
          <t>eng</t>
        </is>
      </c>
      <c r="P513" t="inlineStr">
        <is>
          <t>enk</t>
        </is>
      </c>
      <c r="Q513" t="inlineStr">
        <is>
          <t>Oxford science publications</t>
        </is>
      </c>
      <c r="R513" t="inlineStr">
        <is>
          <t xml:space="preserve">QL </t>
        </is>
      </c>
      <c r="S513" t="n">
        <v>2</v>
      </c>
      <c r="T513" t="n">
        <v>2</v>
      </c>
      <c r="U513" t="inlineStr">
        <is>
          <t>1996-11-15</t>
        </is>
      </c>
      <c r="V513" t="inlineStr">
        <is>
          <t>1996-11-15</t>
        </is>
      </c>
      <c r="W513" t="inlineStr">
        <is>
          <t>1996-10-23</t>
        </is>
      </c>
      <c r="X513" t="inlineStr">
        <is>
          <t>1996-10-23</t>
        </is>
      </c>
      <c r="Y513" t="n">
        <v>161</v>
      </c>
      <c r="Z513" t="n">
        <v>104</v>
      </c>
      <c r="AA513" t="n">
        <v>108</v>
      </c>
      <c r="AB513" t="n">
        <v>1</v>
      </c>
      <c r="AC513" t="n">
        <v>1</v>
      </c>
      <c r="AD513" t="n">
        <v>2</v>
      </c>
      <c r="AE513" t="n">
        <v>2</v>
      </c>
      <c r="AF513" t="n">
        <v>0</v>
      </c>
      <c r="AG513" t="n">
        <v>0</v>
      </c>
      <c r="AH513" t="n">
        <v>2</v>
      </c>
      <c r="AI513" t="n">
        <v>2</v>
      </c>
      <c r="AJ513" t="n">
        <v>0</v>
      </c>
      <c r="AK513" t="n">
        <v>0</v>
      </c>
      <c r="AL513" t="n">
        <v>0</v>
      </c>
      <c r="AM513" t="n">
        <v>0</v>
      </c>
      <c r="AN513" t="n">
        <v>0</v>
      </c>
      <c r="AO513" t="n">
        <v>0</v>
      </c>
      <c r="AP513" t="inlineStr">
        <is>
          <t>No</t>
        </is>
      </c>
      <c r="AQ513" t="inlineStr">
        <is>
          <t>Yes</t>
        </is>
      </c>
      <c r="AR513">
        <f>HYPERLINK("http://catalog.hathitrust.org/Record/002605969","HathiTrust Record")</f>
        <v/>
      </c>
      <c r="AS513">
        <f>HYPERLINK("https://creighton-primo.hosted.exlibrisgroup.com/primo-explore/search?tab=default_tab&amp;search_scope=EVERYTHING&amp;vid=01CRU&amp;lang=en_US&amp;offset=0&amp;query=any,contains,991002008669702656","Catalog Record")</f>
        <v/>
      </c>
      <c r="AT513">
        <f>HYPERLINK("http://www.worldcat.org/oclc/25546421","WorldCat Record")</f>
        <v/>
      </c>
      <c r="AU513" t="inlineStr">
        <is>
          <t>28409629:eng</t>
        </is>
      </c>
      <c r="AV513" t="inlineStr">
        <is>
          <t>25546421</t>
        </is>
      </c>
      <c r="AW513" t="inlineStr">
        <is>
          <t>991002008669702656</t>
        </is>
      </c>
      <c r="AX513" t="inlineStr">
        <is>
          <t>991002008669702656</t>
        </is>
      </c>
      <c r="AY513" t="inlineStr">
        <is>
          <t>2260982510002656</t>
        </is>
      </c>
      <c r="AZ513" t="inlineStr">
        <is>
          <t>BOOK</t>
        </is>
      </c>
      <c r="BB513" t="inlineStr">
        <is>
          <t>9780198540250</t>
        </is>
      </c>
      <c r="BC513" t="inlineStr">
        <is>
          <t>32285002368040</t>
        </is>
      </c>
      <c r="BD513" t="inlineStr">
        <is>
          <t>893804121</t>
        </is>
      </c>
    </row>
    <row r="514">
      <c r="A514" t="inlineStr">
        <is>
          <t>No</t>
        </is>
      </c>
      <c r="B514" t="inlineStr">
        <is>
          <t>QL555.G7 F6 1957</t>
        </is>
      </c>
      <c r="C514" t="inlineStr">
        <is>
          <t>0                      QL 0555000G  7                  F  6           1957</t>
        </is>
      </c>
      <c r="D514" t="inlineStr">
        <is>
          <t>Butterflies.</t>
        </is>
      </c>
      <c r="F514" t="inlineStr">
        <is>
          <t>No</t>
        </is>
      </c>
      <c r="G514" t="inlineStr">
        <is>
          <t>1</t>
        </is>
      </c>
      <c r="H514" t="inlineStr">
        <is>
          <t>No</t>
        </is>
      </c>
      <c r="I514" t="inlineStr">
        <is>
          <t>No</t>
        </is>
      </c>
      <c r="J514" t="inlineStr">
        <is>
          <t>0</t>
        </is>
      </c>
      <c r="K514" t="inlineStr">
        <is>
          <t>Ford, E. B. (Edmund Brisco), 1901-1988.</t>
        </is>
      </c>
      <c r="L514" t="inlineStr">
        <is>
          <t>London, Collins [1957]</t>
        </is>
      </c>
      <c r="M514" t="inlineStr">
        <is>
          <t>1957</t>
        </is>
      </c>
      <c r="N514" t="inlineStr">
        <is>
          <t>[3d ed.]</t>
        </is>
      </c>
      <c r="O514" t="inlineStr">
        <is>
          <t>eng</t>
        </is>
      </c>
      <c r="P514" t="inlineStr">
        <is>
          <t>enk</t>
        </is>
      </c>
      <c r="Q514" t="inlineStr">
        <is>
          <t>The New naturalist; a survey of British natural history</t>
        </is>
      </c>
      <c r="R514" t="inlineStr">
        <is>
          <t xml:space="preserve">QL </t>
        </is>
      </c>
      <c r="S514" t="n">
        <v>7</v>
      </c>
      <c r="T514" t="n">
        <v>7</v>
      </c>
      <c r="U514" t="inlineStr">
        <is>
          <t>2010-02-03</t>
        </is>
      </c>
      <c r="V514" t="inlineStr">
        <is>
          <t>2010-02-03</t>
        </is>
      </c>
      <c r="W514" t="inlineStr">
        <is>
          <t>1997-07-24</t>
        </is>
      </c>
      <c r="X514" t="inlineStr">
        <is>
          <t>1997-07-24</t>
        </is>
      </c>
      <c r="Y514" t="n">
        <v>201</v>
      </c>
      <c r="Z514" t="n">
        <v>160</v>
      </c>
      <c r="AA514" t="n">
        <v>298</v>
      </c>
      <c r="AB514" t="n">
        <v>2</v>
      </c>
      <c r="AC514" t="n">
        <v>2</v>
      </c>
      <c r="AD514" t="n">
        <v>6</v>
      </c>
      <c r="AE514" t="n">
        <v>7</v>
      </c>
      <c r="AF514" t="n">
        <v>1</v>
      </c>
      <c r="AG514" t="n">
        <v>1</v>
      </c>
      <c r="AH514" t="n">
        <v>1</v>
      </c>
      <c r="AI514" t="n">
        <v>2</v>
      </c>
      <c r="AJ514" t="n">
        <v>4</v>
      </c>
      <c r="AK514" t="n">
        <v>4</v>
      </c>
      <c r="AL514" t="n">
        <v>1</v>
      </c>
      <c r="AM514" t="n">
        <v>1</v>
      </c>
      <c r="AN514" t="n">
        <v>0</v>
      </c>
      <c r="AO514" t="n">
        <v>0</v>
      </c>
      <c r="AP514" t="inlineStr">
        <is>
          <t>No</t>
        </is>
      </c>
      <c r="AQ514" t="inlineStr">
        <is>
          <t>Yes</t>
        </is>
      </c>
      <c r="AR514">
        <f>HYPERLINK("http://catalog.hathitrust.org/Record/002105141","HathiTrust Record")</f>
        <v/>
      </c>
      <c r="AS514">
        <f>HYPERLINK("https://creighton-primo.hosted.exlibrisgroup.com/primo-explore/search?tab=default_tab&amp;search_scope=EVERYTHING&amp;vid=01CRU&amp;lang=en_US&amp;offset=0&amp;query=any,contains,991002550419702656","Catalog Record")</f>
        <v/>
      </c>
      <c r="AT514">
        <f>HYPERLINK("http://www.worldcat.org/oclc/369566","WorldCat Record")</f>
        <v/>
      </c>
      <c r="AU514" t="inlineStr">
        <is>
          <t>31956945:eng</t>
        </is>
      </c>
      <c r="AV514" t="inlineStr">
        <is>
          <t>369566</t>
        </is>
      </c>
      <c r="AW514" t="inlineStr">
        <is>
          <t>991002550419702656</t>
        </is>
      </c>
      <c r="AX514" t="inlineStr">
        <is>
          <t>991002550419702656</t>
        </is>
      </c>
      <c r="AY514" t="inlineStr">
        <is>
          <t>2265238740002656</t>
        </is>
      </c>
      <c r="AZ514" t="inlineStr">
        <is>
          <t>BOOK</t>
        </is>
      </c>
      <c r="BC514" t="inlineStr">
        <is>
          <t>32285002981156</t>
        </is>
      </c>
      <c r="BD514" t="inlineStr">
        <is>
          <t>893409224</t>
        </is>
      </c>
    </row>
    <row r="515">
      <c r="A515" t="inlineStr">
        <is>
          <t>No</t>
        </is>
      </c>
      <c r="B515" t="inlineStr">
        <is>
          <t>QL555.G7 F617 1972</t>
        </is>
      </c>
      <c r="C515" t="inlineStr">
        <is>
          <t>0                      QL 0555000G  7                  F  617         1972</t>
        </is>
      </c>
      <c r="D515" t="inlineStr">
        <is>
          <t>Moths / by E. B. Ford.</t>
        </is>
      </c>
      <c r="F515" t="inlineStr">
        <is>
          <t>No</t>
        </is>
      </c>
      <c r="G515" t="inlineStr">
        <is>
          <t>1</t>
        </is>
      </c>
      <c r="H515" t="inlineStr">
        <is>
          <t>No</t>
        </is>
      </c>
      <c r="I515" t="inlineStr">
        <is>
          <t>No</t>
        </is>
      </c>
      <c r="J515" t="inlineStr">
        <is>
          <t>0</t>
        </is>
      </c>
      <c r="K515" t="inlineStr">
        <is>
          <t>Ford, E. B. (Edmund Brisco), 1901-1988.</t>
        </is>
      </c>
      <c r="L515" t="inlineStr">
        <is>
          <t>London, Collins, 1972.</t>
        </is>
      </c>
      <c r="M515" t="inlineStr">
        <is>
          <t>1972</t>
        </is>
      </c>
      <c r="N515" t="inlineStr">
        <is>
          <t>3d ed.</t>
        </is>
      </c>
      <c r="O515" t="inlineStr">
        <is>
          <t>eng</t>
        </is>
      </c>
      <c r="P515" t="inlineStr">
        <is>
          <t>enk</t>
        </is>
      </c>
      <c r="Q515" t="inlineStr">
        <is>
          <t>The New naturalist; a survey of British natural history</t>
        </is>
      </c>
      <c r="R515" t="inlineStr">
        <is>
          <t xml:space="preserve">QL </t>
        </is>
      </c>
      <c r="S515" t="n">
        <v>5</v>
      </c>
      <c r="T515" t="n">
        <v>5</v>
      </c>
      <c r="U515" t="inlineStr">
        <is>
          <t>2007-02-24</t>
        </is>
      </c>
      <c r="V515" t="inlineStr">
        <is>
          <t>2007-02-24</t>
        </is>
      </c>
      <c r="W515" t="inlineStr">
        <is>
          <t>1997-07-24</t>
        </is>
      </c>
      <c r="X515" t="inlineStr">
        <is>
          <t>1997-07-24</t>
        </is>
      </c>
      <c r="Y515" t="n">
        <v>74</v>
      </c>
      <c r="Z515" t="n">
        <v>15</v>
      </c>
      <c r="AA515" t="n">
        <v>270</v>
      </c>
      <c r="AB515" t="n">
        <v>1</v>
      </c>
      <c r="AC515" t="n">
        <v>2</v>
      </c>
      <c r="AD515" t="n">
        <v>0</v>
      </c>
      <c r="AE515" t="n">
        <v>7</v>
      </c>
      <c r="AF515" t="n">
        <v>0</v>
      </c>
      <c r="AG515" t="n">
        <v>2</v>
      </c>
      <c r="AH515" t="n">
        <v>0</v>
      </c>
      <c r="AI515" t="n">
        <v>2</v>
      </c>
      <c r="AJ515" t="n">
        <v>0</v>
      </c>
      <c r="AK515" t="n">
        <v>3</v>
      </c>
      <c r="AL515" t="n">
        <v>0</v>
      </c>
      <c r="AM515" t="n">
        <v>1</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HYPERLINK("https://creighton-primo.hosted.exlibrisgroup.com/primo-explore/search?tab=default_tab&amp;search_scope=EVERYTHING&amp;vid=01CRU&amp;lang=en_US&amp;offset=0&amp;query=any,contains,991003994879702656","Catalog Record")</f>
        <v/>
      </c>
      <c r="AT515">
        <f>HYPERLINK("http://www.worldcat.org/oclc/2057105","WorldCat Record")</f>
        <v/>
      </c>
      <c r="AU515" t="inlineStr">
        <is>
          <t>50991244:eng</t>
        </is>
      </c>
      <c r="AV515" t="inlineStr">
        <is>
          <t>2057105</t>
        </is>
      </c>
      <c r="AW515" t="inlineStr">
        <is>
          <t>991003994879702656</t>
        </is>
      </c>
      <c r="AX515" t="inlineStr">
        <is>
          <t>991003994879702656</t>
        </is>
      </c>
      <c r="AY515" t="inlineStr">
        <is>
          <t>2266087100002656</t>
        </is>
      </c>
      <c r="AZ515" t="inlineStr">
        <is>
          <t>BOOK</t>
        </is>
      </c>
      <c r="BC515" t="inlineStr">
        <is>
          <t>32285002981164</t>
        </is>
      </c>
      <c r="BD515" t="inlineStr">
        <is>
          <t>893337219</t>
        </is>
      </c>
    </row>
    <row r="516">
      <c r="A516" t="inlineStr">
        <is>
          <t>No</t>
        </is>
      </c>
      <c r="B516" t="inlineStr">
        <is>
          <t>QL555.G7 M56 2001</t>
        </is>
      </c>
      <c r="C516" t="inlineStr">
        <is>
          <t>0                      QL 0555000G  7                  M  56          2001</t>
        </is>
      </c>
      <c r="D516" t="inlineStr">
        <is>
          <t>The millennium atlas of butterflies in Britain and Ireland / Jim Asher ... [et al.] ; with assistance from Nick Greatorex-Davies and Estella Roberts.</t>
        </is>
      </c>
      <c r="F516" t="inlineStr">
        <is>
          <t>No</t>
        </is>
      </c>
      <c r="G516" t="inlineStr">
        <is>
          <t>1</t>
        </is>
      </c>
      <c r="H516" t="inlineStr">
        <is>
          <t>No</t>
        </is>
      </c>
      <c r="I516" t="inlineStr">
        <is>
          <t>No</t>
        </is>
      </c>
      <c r="J516" t="inlineStr">
        <is>
          <t>0</t>
        </is>
      </c>
      <c r="L516" t="inlineStr">
        <is>
          <t>Oxford, U.K. ; New York : Oxford University Press, 2001.</t>
        </is>
      </c>
      <c r="M516" t="inlineStr">
        <is>
          <t>2001</t>
        </is>
      </c>
      <c r="O516" t="inlineStr">
        <is>
          <t>eng</t>
        </is>
      </c>
      <c r="P516" t="inlineStr">
        <is>
          <t>enk</t>
        </is>
      </c>
      <c r="R516" t="inlineStr">
        <is>
          <t xml:space="preserve">QL </t>
        </is>
      </c>
      <c r="S516" t="n">
        <v>1</v>
      </c>
      <c r="T516" t="n">
        <v>1</v>
      </c>
      <c r="U516" t="inlineStr">
        <is>
          <t>2001-12-05</t>
        </is>
      </c>
      <c r="V516" t="inlineStr">
        <is>
          <t>2001-12-05</t>
        </is>
      </c>
      <c r="W516" t="inlineStr">
        <is>
          <t>2001-12-04</t>
        </is>
      </c>
      <c r="X516" t="inlineStr">
        <is>
          <t>2001-12-04</t>
        </is>
      </c>
      <c r="Y516" t="n">
        <v>178</v>
      </c>
      <c r="Z516" t="n">
        <v>103</v>
      </c>
      <c r="AA516" t="n">
        <v>105</v>
      </c>
      <c r="AB516" t="n">
        <v>1</v>
      </c>
      <c r="AC516" t="n">
        <v>1</v>
      </c>
      <c r="AD516" t="n">
        <v>2</v>
      </c>
      <c r="AE516" t="n">
        <v>2</v>
      </c>
      <c r="AF516" t="n">
        <v>0</v>
      </c>
      <c r="AG516" t="n">
        <v>0</v>
      </c>
      <c r="AH516" t="n">
        <v>1</v>
      </c>
      <c r="AI516" t="n">
        <v>1</v>
      </c>
      <c r="AJ516" t="n">
        <v>1</v>
      </c>
      <c r="AK516" t="n">
        <v>1</v>
      </c>
      <c r="AL516" t="n">
        <v>0</v>
      </c>
      <c r="AM516" t="n">
        <v>0</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HYPERLINK("https://creighton-primo.hosted.exlibrisgroup.com/primo-explore/search?tab=default_tab&amp;search_scope=EVERYTHING&amp;vid=01CRU&amp;lang=en_US&amp;offset=0&amp;query=any,contains,991003671759702656","Catalog Record")</f>
        <v/>
      </c>
      <c r="AT516">
        <f>HYPERLINK("http://www.worldcat.org/oclc/45121710","WorldCat Record")</f>
        <v/>
      </c>
      <c r="AU516" t="inlineStr">
        <is>
          <t>763543076:eng</t>
        </is>
      </c>
      <c r="AV516" t="inlineStr">
        <is>
          <t>45121710</t>
        </is>
      </c>
      <c r="AW516" t="inlineStr">
        <is>
          <t>991003671759702656</t>
        </is>
      </c>
      <c r="AX516" t="inlineStr">
        <is>
          <t>991003671759702656</t>
        </is>
      </c>
      <c r="AY516" t="inlineStr">
        <is>
          <t>2257164260002656</t>
        </is>
      </c>
      <c r="AZ516" t="inlineStr">
        <is>
          <t>BOOK</t>
        </is>
      </c>
      <c r="BB516" t="inlineStr">
        <is>
          <t>9780198505655</t>
        </is>
      </c>
      <c r="BC516" t="inlineStr">
        <is>
          <t>32285004425624</t>
        </is>
      </c>
      <c r="BD516" t="inlineStr">
        <is>
          <t>893598829</t>
        </is>
      </c>
    </row>
    <row r="517">
      <c r="A517" t="inlineStr">
        <is>
          <t>No</t>
        </is>
      </c>
      <c r="B517" t="inlineStr">
        <is>
          <t>QL555.G7 P64 1993</t>
        </is>
      </c>
      <c r="C517" t="inlineStr">
        <is>
          <t>0                      QL 0555000G  7                  P  64          1993</t>
        </is>
      </c>
      <c r="D517" t="inlineStr">
        <is>
          <t>Monitoring butterflies for ecology and conservation : the British butterfly monitoring scheme / E. Pollard, T.J. Yates.</t>
        </is>
      </c>
      <c r="F517" t="inlineStr">
        <is>
          <t>No</t>
        </is>
      </c>
      <c r="G517" t="inlineStr">
        <is>
          <t>1</t>
        </is>
      </c>
      <c r="H517" t="inlineStr">
        <is>
          <t>No</t>
        </is>
      </c>
      <c r="I517" t="inlineStr">
        <is>
          <t>No</t>
        </is>
      </c>
      <c r="J517" t="inlineStr">
        <is>
          <t>0</t>
        </is>
      </c>
      <c r="K517" t="inlineStr">
        <is>
          <t>Pollard, E. (Ernest)</t>
        </is>
      </c>
      <c r="L517" t="inlineStr">
        <is>
          <t>London, UK ; New York, NY, USA : Chapman &amp; Hall, 1993.</t>
        </is>
      </c>
      <c r="M517" t="inlineStr">
        <is>
          <t>1993</t>
        </is>
      </c>
      <c r="N517" t="inlineStr">
        <is>
          <t>1st ed.</t>
        </is>
      </c>
      <c r="O517" t="inlineStr">
        <is>
          <t>eng</t>
        </is>
      </c>
      <c r="P517" t="inlineStr">
        <is>
          <t>enk</t>
        </is>
      </c>
      <c r="Q517" t="inlineStr">
        <is>
          <t>Conservation biology series ; 1</t>
        </is>
      </c>
      <c r="R517" t="inlineStr">
        <is>
          <t xml:space="preserve">QL </t>
        </is>
      </c>
      <c r="S517" t="n">
        <v>18</v>
      </c>
      <c r="T517" t="n">
        <v>18</v>
      </c>
      <c r="U517" t="inlineStr">
        <is>
          <t>2009-04-26</t>
        </is>
      </c>
      <c r="V517" t="inlineStr">
        <is>
          <t>2009-04-26</t>
        </is>
      </c>
      <c r="W517" t="inlineStr">
        <is>
          <t>1997-07-22</t>
        </is>
      </c>
      <c r="X517" t="inlineStr">
        <is>
          <t>1997-07-22</t>
        </is>
      </c>
      <c r="Y517" t="n">
        <v>233</v>
      </c>
      <c r="Z517" t="n">
        <v>128</v>
      </c>
      <c r="AA517" t="n">
        <v>135</v>
      </c>
      <c r="AB517" t="n">
        <v>3</v>
      </c>
      <c r="AC517" t="n">
        <v>3</v>
      </c>
      <c r="AD517" t="n">
        <v>6</v>
      </c>
      <c r="AE517" t="n">
        <v>6</v>
      </c>
      <c r="AF517" t="n">
        <v>0</v>
      </c>
      <c r="AG517" t="n">
        <v>0</v>
      </c>
      <c r="AH517" t="n">
        <v>3</v>
      </c>
      <c r="AI517" t="n">
        <v>3</v>
      </c>
      <c r="AJ517" t="n">
        <v>2</v>
      </c>
      <c r="AK517" t="n">
        <v>2</v>
      </c>
      <c r="AL517" t="n">
        <v>2</v>
      </c>
      <c r="AM517" t="n">
        <v>2</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HYPERLINK("https://creighton-primo.hosted.exlibrisgroup.com/primo-explore/search?tab=default_tab&amp;search_scope=EVERYTHING&amp;vid=01CRU&amp;lang=en_US&amp;offset=0&amp;query=any,contains,991002154779702656","Catalog Record")</f>
        <v/>
      </c>
      <c r="AT517">
        <f>HYPERLINK("http://www.worldcat.org/oclc/27769009","WorldCat Record")</f>
        <v/>
      </c>
      <c r="AU517" t="inlineStr">
        <is>
          <t>327670129:eng</t>
        </is>
      </c>
      <c r="AV517" t="inlineStr">
        <is>
          <t>27769009</t>
        </is>
      </c>
      <c r="AW517" t="inlineStr">
        <is>
          <t>991002154779702656</t>
        </is>
      </c>
      <c r="AX517" t="inlineStr">
        <is>
          <t>991002154779702656</t>
        </is>
      </c>
      <c r="AY517" t="inlineStr">
        <is>
          <t>2265250580002656</t>
        </is>
      </c>
      <c r="AZ517" t="inlineStr">
        <is>
          <t>BOOK</t>
        </is>
      </c>
      <c r="BB517" t="inlineStr">
        <is>
          <t>9780412402203</t>
        </is>
      </c>
      <c r="BC517" t="inlineStr">
        <is>
          <t>32285002883964</t>
        </is>
      </c>
      <c r="BD517" t="inlineStr">
        <is>
          <t>893866867</t>
        </is>
      </c>
    </row>
    <row r="518">
      <c r="A518" t="inlineStr">
        <is>
          <t>No</t>
        </is>
      </c>
      <c r="B518" t="inlineStr">
        <is>
          <t>QL555.G7 S48 2009</t>
        </is>
      </c>
      <c r="C518" t="inlineStr">
        <is>
          <t>0                      QL 0555000G  7                  S  48          2009</t>
        </is>
      </c>
      <c r="D518" t="inlineStr">
        <is>
          <t>Colour identification guide to moths of the British Isles : (Macrolepidoptera) / Bernard Skinner ; illustrated by David Wilson.</t>
        </is>
      </c>
      <c r="F518" t="inlineStr">
        <is>
          <t>No</t>
        </is>
      </c>
      <c r="G518" t="inlineStr">
        <is>
          <t>1</t>
        </is>
      </c>
      <c r="H518" t="inlineStr">
        <is>
          <t>No</t>
        </is>
      </c>
      <c r="I518" t="inlineStr">
        <is>
          <t>No</t>
        </is>
      </c>
      <c r="J518" t="inlineStr">
        <is>
          <t>0</t>
        </is>
      </c>
      <c r="K518" t="inlineStr">
        <is>
          <t>Skinner, Bernard.</t>
        </is>
      </c>
      <c r="L518" t="inlineStr">
        <is>
          <t>Stenstrup, Denmark : Apollo Books, c2009.</t>
        </is>
      </c>
      <c r="M518" t="inlineStr">
        <is>
          <t>2009</t>
        </is>
      </c>
      <c r="N518" t="inlineStr">
        <is>
          <t>3rd rev. and updated ed.</t>
        </is>
      </c>
      <c r="O518" t="inlineStr">
        <is>
          <t>eng</t>
        </is>
      </c>
      <c r="P518" t="inlineStr">
        <is>
          <t xml:space="preserve">dk </t>
        </is>
      </c>
      <c r="R518" t="inlineStr">
        <is>
          <t xml:space="preserve">QL </t>
        </is>
      </c>
      <c r="S518" t="n">
        <v>1</v>
      </c>
      <c r="T518" t="n">
        <v>1</v>
      </c>
      <c r="U518" t="inlineStr">
        <is>
          <t>2010-09-28</t>
        </is>
      </c>
      <c r="V518" t="inlineStr">
        <is>
          <t>2010-09-28</t>
        </is>
      </c>
      <c r="W518" t="inlineStr">
        <is>
          <t>2010-09-28</t>
        </is>
      </c>
      <c r="X518" t="inlineStr">
        <is>
          <t>2010-09-28</t>
        </is>
      </c>
      <c r="Y518" t="n">
        <v>56</v>
      </c>
      <c r="Z518" t="n">
        <v>32</v>
      </c>
      <c r="AA518" t="n">
        <v>83</v>
      </c>
      <c r="AB518" t="n">
        <v>1</v>
      </c>
      <c r="AC518" t="n">
        <v>2</v>
      </c>
      <c r="AD518" t="n">
        <v>1</v>
      </c>
      <c r="AE518" t="n">
        <v>2</v>
      </c>
      <c r="AF518" t="n">
        <v>0</v>
      </c>
      <c r="AG518" t="n">
        <v>0</v>
      </c>
      <c r="AH518" t="n">
        <v>1</v>
      </c>
      <c r="AI518" t="n">
        <v>1</v>
      </c>
      <c r="AJ518" t="n">
        <v>1</v>
      </c>
      <c r="AK518" t="n">
        <v>1</v>
      </c>
      <c r="AL518" t="n">
        <v>0</v>
      </c>
      <c r="AM518" t="n">
        <v>1</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HYPERLINK("https://creighton-primo.hosted.exlibrisgroup.com/primo-explore/search?tab=default_tab&amp;search_scope=EVERYTHING&amp;vid=01CRU&amp;lang=en_US&amp;offset=0&amp;query=any,contains,991000151239702656","Catalog Record")</f>
        <v/>
      </c>
      <c r="AT518">
        <f>HYPERLINK("http://www.worldcat.org/oclc/421379977","WorldCat Record")</f>
        <v/>
      </c>
      <c r="AU518" t="inlineStr">
        <is>
          <t>308504845:eng</t>
        </is>
      </c>
      <c r="AV518" t="inlineStr">
        <is>
          <t>421379977</t>
        </is>
      </c>
      <c r="AW518" t="inlineStr">
        <is>
          <t>991000151239702656</t>
        </is>
      </c>
      <c r="AX518" t="inlineStr">
        <is>
          <t>991000151239702656</t>
        </is>
      </c>
      <c r="AY518" t="inlineStr">
        <is>
          <t>2266443350002656</t>
        </is>
      </c>
      <c r="AZ518" t="inlineStr">
        <is>
          <t>BOOK</t>
        </is>
      </c>
      <c r="BB518" t="inlineStr">
        <is>
          <t>9788788757903</t>
        </is>
      </c>
      <c r="BC518" t="inlineStr">
        <is>
          <t>32285005596894</t>
        </is>
      </c>
      <c r="BD518" t="inlineStr">
        <is>
          <t>893771433</t>
        </is>
      </c>
    </row>
    <row r="519">
      <c r="A519" t="inlineStr">
        <is>
          <t>No</t>
        </is>
      </c>
      <c r="B519" t="inlineStr">
        <is>
          <t>QL555.G7 T65 2001</t>
        </is>
      </c>
      <c r="C519" t="inlineStr">
        <is>
          <t>0                      QL 0555000G  7                  T  65          2001</t>
        </is>
      </c>
      <c r="D519" t="inlineStr">
        <is>
          <t>Photographic guide to the butterflies of Britain and Europe / Tom W. Tolman.</t>
        </is>
      </c>
      <c r="F519" t="inlineStr">
        <is>
          <t>No</t>
        </is>
      </c>
      <c r="G519" t="inlineStr">
        <is>
          <t>1</t>
        </is>
      </c>
      <c r="H519" t="inlineStr">
        <is>
          <t>No</t>
        </is>
      </c>
      <c r="I519" t="inlineStr">
        <is>
          <t>No</t>
        </is>
      </c>
      <c r="J519" t="inlineStr">
        <is>
          <t>0</t>
        </is>
      </c>
      <c r="K519" t="inlineStr">
        <is>
          <t>Tolman, Tom.</t>
        </is>
      </c>
      <c r="L519" t="inlineStr">
        <is>
          <t>New York : Oxford University Press, 2001.</t>
        </is>
      </c>
      <c r="M519" t="inlineStr">
        <is>
          <t>2001</t>
        </is>
      </c>
      <c r="O519" t="inlineStr">
        <is>
          <t>eng</t>
        </is>
      </c>
      <c r="P519" t="inlineStr">
        <is>
          <t>nyu</t>
        </is>
      </c>
      <c r="R519" t="inlineStr">
        <is>
          <t xml:space="preserve">QL </t>
        </is>
      </c>
      <c r="S519" t="n">
        <v>1</v>
      </c>
      <c r="T519" t="n">
        <v>1</v>
      </c>
      <c r="U519" t="inlineStr">
        <is>
          <t>2001-12-20</t>
        </is>
      </c>
      <c r="V519" t="inlineStr">
        <is>
          <t>2001-12-20</t>
        </is>
      </c>
      <c r="W519" t="inlineStr">
        <is>
          <t>2001-12-20</t>
        </is>
      </c>
      <c r="X519" t="inlineStr">
        <is>
          <t>2001-12-20</t>
        </is>
      </c>
      <c r="Y519" t="n">
        <v>122</v>
      </c>
      <c r="Z519" t="n">
        <v>98</v>
      </c>
      <c r="AA519" t="n">
        <v>103</v>
      </c>
      <c r="AB519" t="n">
        <v>3</v>
      </c>
      <c r="AC519" t="n">
        <v>3</v>
      </c>
      <c r="AD519" t="n">
        <v>4</v>
      </c>
      <c r="AE519" t="n">
        <v>4</v>
      </c>
      <c r="AF519" t="n">
        <v>0</v>
      </c>
      <c r="AG519" t="n">
        <v>0</v>
      </c>
      <c r="AH519" t="n">
        <v>1</v>
      </c>
      <c r="AI519" t="n">
        <v>1</v>
      </c>
      <c r="AJ519" t="n">
        <v>2</v>
      </c>
      <c r="AK519" t="n">
        <v>2</v>
      </c>
      <c r="AL519" t="n">
        <v>2</v>
      </c>
      <c r="AM519" t="n">
        <v>2</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HYPERLINK("https://creighton-primo.hosted.exlibrisgroup.com/primo-explore/search?tab=default_tab&amp;search_scope=EVERYTHING&amp;vid=01CRU&amp;lang=en_US&amp;offset=0&amp;query=any,contains,991003671719702656","Catalog Record")</f>
        <v/>
      </c>
      <c r="AT519">
        <f>HYPERLINK("http://www.worldcat.org/oclc/45087153","WorldCat Record")</f>
        <v/>
      </c>
      <c r="AU519" t="inlineStr">
        <is>
          <t>3944060990:eng</t>
        </is>
      </c>
      <c r="AV519" t="inlineStr">
        <is>
          <t>45087153</t>
        </is>
      </c>
      <c r="AW519" t="inlineStr">
        <is>
          <t>991003671719702656</t>
        </is>
      </c>
      <c r="AX519" t="inlineStr">
        <is>
          <t>991003671719702656</t>
        </is>
      </c>
      <c r="AY519" t="inlineStr">
        <is>
          <t>2266618980002656</t>
        </is>
      </c>
      <c r="AZ519" t="inlineStr">
        <is>
          <t>BOOK</t>
        </is>
      </c>
      <c r="BB519" t="inlineStr">
        <is>
          <t>9780198506065</t>
        </is>
      </c>
      <c r="BC519" t="inlineStr">
        <is>
          <t>32285004429741</t>
        </is>
      </c>
      <c r="BD519" t="inlineStr">
        <is>
          <t>893330637</t>
        </is>
      </c>
    </row>
    <row r="520">
      <c r="A520" t="inlineStr">
        <is>
          <t>No</t>
        </is>
      </c>
      <c r="B520" t="inlineStr">
        <is>
          <t>QL561.A34 N3813</t>
        </is>
      </c>
      <c r="C520" t="inlineStr">
        <is>
          <t>0                      QL 0561000A  34                 N  3813</t>
        </is>
      </c>
      <c r="D520" t="inlineStr">
        <is>
          <t>Studies on the systematics and phylogeny of Holarctic Sesiidae (Insecta, Lepidoptera) / Clas M. Naumann.</t>
        </is>
      </c>
      <c r="F520" t="inlineStr">
        <is>
          <t>No</t>
        </is>
      </c>
      <c r="G520" t="inlineStr">
        <is>
          <t>1</t>
        </is>
      </c>
      <c r="H520" t="inlineStr">
        <is>
          <t>No</t>
        </is>
      </c>
      <c r="I520" t="inlineStr">
        <is>
          <t>No</t>
        </is>
      </c>
      <c r="J520" t="inlineStr">
        <is>
          <t>0</t>
        </is>
      </c>
      <c r="K520" t="inlineStr">
        <is>
          <t>Naumann, Clas M.</t>
        </is>
      </c>
      <c r="L520" t="inlineStr">
        <is>
          <t>New Delhi : Published for the Smithsonian Institution and the National Science Foundation, Washington, D. C., by Amerind Pub. Co., 1977.</t>
        </is>
      </c>
      <c r="M520" t="inlineStr">
        <is>
          <t>1977</t>
        </is>
      </c>
      <c r="O520" t="inlineStr">
        <is>
          <t>eng</t>
        </is>
      </c>
      <c r="P520" t="inlineStr">
        <is>
          <t xml:space="preserve">ii </t>
        </is>
      </c>
      <c r="R520" t="inlineStr">
        <is>
          <t xml:space="preserve">QL </t>
        </is>
      </c>
      <c r="S520" t="n">
        <v>4</v>
      </c>
      <c r="T520" t="n">
        <v>4</v>
      </c>
      <c r="U520" t="inlineStr">
        <is>
          <t>2003-02-24</t>
        </is>
      </c>
      <c r="V520" t="inlineStr">
        <is>
          <t>2003-02-24</t>
        </is>
      </c>
      <c r="W520" t="inlineStr">
        <is>
          <t>1993-05-27</t>
        </is>
      </c>
      <c r="X520" t="inlineStr">
        <is>
          <t>1993-05-27</t>
        </is>
      </c>
      <c r="Y520" t="n">
        <v>123</v>
      </c>
      <c r="Z520" t="n">
        <v>113</v>
      </c>
      <c r="AA520" t="n">
        <v>116</v>
      </c>
      <c r="AB520" t="n">
        <v>2</v>
      </c>
      <c r="AC520" t="n">
        <v>2</v>
      </c>
      <c r="AD520" t="n">
        <v>5</v>
      </c>
      <c r="AE520" t="n">
        <v>5</v>
      </c>
      <c r="AF520" t="n">
        <v>1</v>
      </c>
      <c r="AG520" t="n">
        <v>1</v>
      </c>
      <c r="AH520" t="n">
        <v>1</v>
      </c>
      <c r="AI520" t="n">
        <v>1</v>
      </c>
      <c r="AJ520" t="n">
        <v>2</v>
      </c>
      <c r="AK520" t="n">
        <v>2</v>
      </c>
      <c r="AL520" t="n">
        <v>1</v>
      </c>
      <c r="AM520" t="n">
        <v>1</v>
      </c>
      <c r="AN520" t="n">
        <v>0</v>
      </c>
      <c r="AO520" t="n">
        <v>0</v>
      </c>
      <c r="AP520" t="inlineStr">
        <is>
          <t>No</t>
        </is>
      </c>
      <c r="AQ520" t="inlineStr">
        <is>
          <t>Yes</t>
        </is>
      </c>
      <c r="AR520">
        <f>HYPERLINK("http://catalog.hathitrust.org/Record/000134792","HathiTrust Record")</f>
        <v/>
      </c>
      <c r="AS520">
        <f>HYPERLINK("https://creighton-primo.hosted.exlibrisgroup.com/primo-explore/search?tab=default_tab&amp;search_scope=EVERYTHING&amp;vid=01CRU&amp;lang=en_US&amp;offset=0&amp;query=any,contains,991004523399702656","Catalog Record")</f>
        <v/>
      </c>
      <c r="AT520">
        <f>HYPERLINK("http://www.worldcat.org/oclc/3832521","WorldCat Record")</f>
        <v/>
      </c>
      <c r="AU520" t="inlineStr">
        <is>
          <t>58605201:eng</t>
        </is>
      </c>
      <c r="AV520" t="inlineStr">
        <is>
          <t>3832521</t>
        </is>
      </c>
      <c r="AW520" t="inlineStr">
        <is>
          <t>991004523399702656</t>
        </is>
      </c>
      <c r="AX520" t="inlineStr">
        <is>
          <t>991004523399702656</t>
        </is>
      </c>
      <c r="AY520" t="inlineStr">
        <is>
          <t>2272747530002656</t>
        </is>
      </c>
      <c r="AZ520" t="inlineStr">
        <is>
          <t>BOOK</t>
        </is>
      </c>
      <c r="BC520" t="inlineStr">
        <is>
          <t>32285001687580</t>
        </is>
      </c>
      <c r="BD520" t="inlineStr">
        <is>
          <t>893259820</t>
        </is>
      </c>
    </row>
    <row r="521">
      <c r="A521" t="inlineStr">
        <is>
          <t>No</t>
        </is>
      </c>
      <c r="B521" t="inlineStr">
        <is>
          <t>QL561.D3 B56 1993</t>
        </is>
      </c>
      <c r="C521" t="inlineStr">
        <is>
          <t>0                      QL 0561000D  3                  B  56          1993</t>
        </is>
      </c>
      <c r="D521" t="inlineStr">
        <is>
          <t>Biology and conservation of the monarch butterfly / edited by Stephen B. Malcolm and Myron P. Zalucki.</t>
        </is>
      </c>
      <c r="F521" t="inlineStr">
        <is>
          <t>No</t>
        </is>
      </c>
      <c r="G521" t="inlineStr">
        <is>
          <t>1</t>
        </is>
      </c>
      <c r="H521" t="inlineStr">
        <is>
          <t>No</t>
        </is>
      </c>
      <c r="I521" t="inlineStr">
        <is>
          <t>No</t>
        </is>
      </c>
      <c r="J521" t="inlineStr">
        <is>
          <t>0</t>
        </is>
      </c>
      <c r="L521" t="inlineStr">
        <is>
          <t>Los Angeles, Calif. : Natural History Museum of Los Angeles County, 1993.</t>
        </is>
      </c>
      <c r="M521" t="inlineStr">
        <is>
          <t>1993</t>
        </is>
      </c>
      <c r="O521" t="inlineStr">
        <is>
          <t>eng</t>
        </is>
      </c>
      <c r="P521" t="inlineStr">
        <is>
          <t>cau</t>
        </is>
      </c>
      <c r="Q521" t="inlineStr">
        <is>
          <t>Science series, 0079-0943 ; no. 38</t>
        </is>
      </c>
      <c r="R521" t="inlineStr">
        <is>
          <t xml:space="preserve">QL </t>
        </is>
      </c>
      <c r="S521" t="n">
        <v>26</v>
      </c>
      <c r="T521" t="n">
        <v>26</v>
      </c>
      <c r="U521" t="inlineStr">
        <is>
          <t>2008-11-25</t>
        </is>
      </c>
      <c r="V521" t="inlineStr">
        <is>
          <t>2008-11-25</t>
        </is>
      </c>
      <c r="W521" t="inlineStr">
        <is>
          <t>1997-03-14</t>
        </is>
      </c>
      <c r="X521" t="inlineStr">
        <is>
          <t>1997-03-14</t>
        </is>
      </c>
      <c r="Y521" t="n">
        <v>211</v>
      </c>
      <c r="Z521" t="n">
        <v>167</v>
      </c>
      <c r="AA521" t="n">
        <v>168</v>
      </c>
      <c r="AB521" t="n">
        <v>1</v>
      </c>
      <c r="AC521" t="n">
        <v>1</v>
      </c>
      <c r="AD521" t="n">
        <v>3</v>
      </c>
      <c r="AE521" t="n">
        <v>3</v>
      </c>
      <c r="AF521" t="n">
        <v>1</v>
      </c>
      <c r="AG521" t="n">
        <v>1</v>
      </c>
      <c r="AH521" t="n">
        <v>2</v>
      </c>
      <c r="AI521" t="n">
        <v>2</v>
      </c>
      <c r="AJ521" t="n">
        <v>1</v>
      </c>
      <c r="AK521" t="n">
        <v>1</v>
      </c>
      <c r="AL521" t="n">
        <v>0</v>
      </c>
      <c r="AM521" t="n">
        <v>0</v>
      </c>
      <c r="AN521" t="n">
        <v>0</v>
      </c>
      <c r="AO521" t="n">
        <v>0</v>
      </c>
      <c r="AP521" t="inlineStr">
        <is>
          <t>No</t>
        </is>
      </c>
      <c r="AQ521" t="inlineStr">
        <is>
          <t>Yes</t>
        </is>
      </c>
      <c r="AR521">
        <f>HYPERLINK("http://catalog.hathitrust.org/Record/002618400","HathiTrust Record")</f>
        <v/>
      </c>
      <c r="AS521">
        <f>HYPERLINK("https://creighton-primo.hosted.exlibrisgroup.com/primo-explore/search?tab=default_tab&amp;search_scope=EVERYTHING&amp;vid=01CRU&amp;lang=en_US&amp;offset=0&amp;query=any,contains,991002146349702656","Catalog Record")</f>
        <v/>
      </c>
      <c r="AT521">
        <f>HYPERLINK("http://www.worldcat.org/oclc/27655571","WorldCat Record")</f>
        <v/>
      </c>
      <c r="AU521" t="inlineStr">
        <is>
          <t>365705707:eng</t>
        </is>
      </c>
      <c r="AV521" t="inlineStr">
        <is>
          <t>27655571</t>
        </is>
      </c>
      <c r="AW521" t="inlineStr">
        <is>
          <t>991002146349702656</t>
        </is>
      </c>
      <c r="AX521" t="inlineStr">
        <is>
          <t>991002146349702656</t>
        </is>
      </c>
      <c r="AY521" t="inlineStr">
        <is>
          <t>2263577570002656</t>
        </is>
      </c>
      <c r="AZ521" t="inlineStr">
        <is>
          <t>BOOK</t>
        </is>
      </c>
      <c r="BC521" t="inlineStr">
        <is>
          <t>32285002443009</t>
        </is>
      </c>
      <c r="BD521" t="inlineStr">
        <is>
          <t>893334978</t>
        </is>
      </c>
    </row>
    <row r="522">
      <c r="A522" t="inlineStr">
        <is>
          <t>No</t>
        </is>
      </c>
      <c r="B522" t="inlineStr">
        <is>
          <t>QL561.D3 H35 2001</t>
        </is>
      </c>
      <c r="C522" t="inlineStr">
        <is>
          <t>0                      QL 0561000D  3                  H  35          2001</t>
        </is>
      </c>
      <c r="D522" t="inlineStr">
        <is>
          <t>Four wings and a prayer : caught in the mystery of the monarch butterfly / Sue Halpern.</t>
        </is>
      </c>
      <c r="F522" t="inlineStr">
        <is>
          <t>No</t>
        </is>
      </c>
      <c r="G522" t="inlineStr">
        <is>
          <t>1</t>
        </is>
      </c>
      <c r="H522" t="inlineStr">
        <is>
          <t>No</t>
        </is>
      </c>
      <c r="I522" t="inlineStr">
        <is>
          <t>No</t>
        </is>
      </c>
      <c r="J522" t="inlineStr">
        <is>
          <t>0</t>
        </is>
      </c>
      <c r="K522" t="inlineStr">
        <is>
          <t>Halpern, Sue.</t>
        </is>
      </c>
      <c r="L522" t="inlineStr">
        <is>
          <t>New York : Pantheon Books c2001.</t>
        </is>
      </c>
      <c r="M522" t="inlineStr">
        <is>
          <t>2001</t>
        </is>
      </c>
      <c r="N522" t="inlineStr">
        <is>
          <t>1st ed.</t>
        </is>
      </c>
      <c r="O522" t="inlineStr">
        <is>
          <t>eng</t>
        </is>
      </c>
      <c r="P522" t="inlineStr">
        <is>
          <t>nyu</t>
        </is>
      </c>
      <c r="R522" t="inlineStr">
        <is>
          <t xml:space="preserve">QL </t>
        </is>
      </c>
      <c r="S522" t="n">
        <v>9</v>
      </c>
      <c r="T522" t="n">
        <v>9</v>
      </c>
      <c r="U522" t="inlineStr">
        <is>
          <t>2008-03-25</t>
        </is>
      </c>
      <c r="V522" t="inlineStr">
        <is>
          <t>2008-03-25</t>
        </is>
      </c>
      <c r="W522" t="inlineStr">
        <is>
          <t>2001-12-20</t>
        </is>
      </c>
      <c r="X522" t="inlineStr">
        <is>
          <t>2001-12-20</t>
        </is>
      </c>
      <c r="Y522" t="n">
        <v>665</v>
      </c>
      <c r="Z522" t="n">
        <v>655</v>
      </c>
      <c r="AA522" t="n">
        <v>794</v>
      </c>
      <c r="AB522" t="n">
        <v>4</v>
      </c>
      <c r="AC522" t="n">
        <v>7</v>
      </c>
      <c r="AD522" t="n">
        <v>9</v>
      </c>
      <c r="AE522" t="n">
        <v>10</v>
      </c>
      <c r="AF522" t="n">
        <v>2</v>
      </c>
      <c r="AG522" t="n">
        <v>2</v>
      </c>
      <c r="AH522" t="n">
        <v>3</v>
      </c>
      <c r="AI522" t="n">
        <v>3</v>
      </c>
      <c r="AJ522" t="n">
        <v>6</v>
      </c>
      <c r="AK522" t="n">
        <v>6</v>
      </c>
      <c r="AL522" t="n">
        <v>1</v>
      </c>
      <c r="AM522" t="n">
        <v>2</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HYPERLINK("https://creighton-primo.hosted.exlibrisgroup.com/primo-explore/search?tab=default_tab&amp;search_scope=EVERYTHING&amp;vid=01CRU&amp;lang=en_US&amp;offset=0&amp;query=any,contains,991003667989702656","Catalog Record")</f>
        <v/>
      </c>
      <c r="AT522">
        <f>HYPERLINK("http://www.worldcat.org/oclc/45172046","WorldCat Record")</f>
        <v/>
      </c>
      <c r="AU522" t="inlineStr">
        <is>
          <t>792918599:eng</t>
        </is>
      </c>
      <c r="AV522" t="inlineStr">
        <is>
          <t>45172046</t>
        </is>
      </c>
      <c r="AW522" t="inlineStr">
        <is>
          <t>991003667989702656</t>
        </is>
      </c>
      <c r="AX522" t="inlineStr">
        <is>
          <t>991003667989702656</t>
        </is>
      </c>
      <c r="AY522" t="inlineStr">
        <is>
          <t>2258822760002656</t>
        </is>
      </c>
      <c r="AZ522" t="inlineStr">
        <is>
          <t>BOOK</t>
        </is>
      </c>
      <c r="BB522" t="inlineStr">
        <is>
          <t>9780375402081</t>
        </is>
      </c>
      <c r="BC522" t="inlineStr">
        <is>
          <t>32285004445325</t>
        </is>
      </c>
      <c r="BD522" t="inlineStr">
        <is>
          <t>893258691</t>
        </is>
      </c>
    </row>
    <row r="523">
      <c r="A523" t="inlineStr">
        <is>
          <t>No</t>
        </is>
      </c>
      <c r="B523" t="inlineStr">
        <is>
          <t>QL561.D3 M66 2004</t>
        </is>
      </c>
      <c r="C523" t="inlineStr">
        <is>
          <t>0                      QL 0561000D  3                  M  66          2004</t>
        </is>
      </c>
      <c r="D523" t="inlineStr">
        <is>
          <t>The Monarch butterfly biology &amp; conservation / edited by Karen S. Oberhauser &amp; Michelle J. Solensky.</t>
        </is>
      </c>
      <c r="F523" t="inlineStr">
        <is>
          <t>No</t>
        </is>
      </c>
      <c r="G523" t="inlineStr">
        <is>
          <t>1</t>
        </is>
      </c>
      <c r="H523" t="inlineStr">
        <is>
          <t>No</t>
        </is>
      </c>
      <c r="I523" t="inlineStr">
        <is>
          <t>No</t>
        </is>
      </c>
      <c r="J523" t="inlineStr">
        <is>
          <t>0</t>
        </is>
      </c>
      <c r="L523" t="inlineStr">
        <is>
          <t>Ithaca : Cornell University Press, 2004.</t>
        </is>
      </c>
      <c r="M523" t="inlineStr">
        <is>
          <t>2004</t>
        </is>
      </c>
      <c r="O523" t="inlineStr">
        <is>
          <t>eng</t>
        </is>
      </c>
      <c r="P523" t="inlineStr">
        <is>
          <t>nyu</t>
        </is>
      </c>
      <c r="R523" t="inlineStr">
        <is>
          <t xml:space="preserve">QL </t>
        </is>
      </c>
      <c r="S523" t="n">
        <v>9</v>
      </c>
      <c r="T523" t="n">
        <v>9</v>
      </c>
      <c r="U523" t="inlineStr">
        <is>
          <t>2010-12-01</t>
        </is>
      </c>
      <c r="V523" t="inlineStr">
        <is>
          <t>2010-12-01</t>
        </is>
      </c>
      <c r="W523" t="inlineStr">
        <is>
          <t>2005-03-28</t>
        </is>
      </c>
      <c r="X523" t="inlineStr">
        <is>
          <t>2005-03-28</t>
        </is>
      </c>
      <c r="Y523" t="n">
        <v>751</v>
      </c>
      <c r="Z523" t="n">
        <v>695</v>
      </c>
      <c r="AA523" t="n">
        <v>730</v>
      </c>
      <c r="AB523" t="n">
        <v>4</v>
      </c>
      <c r="AC523" t="n">
        <v>4</v>
      </c>
      <c r="AD523" t="n">
        <v>19</v>
      </c>
      <c r="AE523" t="n">
        <v>20</v>
      </c>
      <c r="AF523" t="n">
        <v>11</v>
      </c>
      <c r="AG523" t="n">
        <v>11</v>
      </c>
      <c r="AH523" t="n">
        <v>2</v>
      </c>
      <c r="AI523" t="n">
        <v>3</v>
      </c>
      <c r="AJ523" t="n">
        <v>7</v>
      </c>
      <c r="AK523" t="n">
        <v>8</v>
      </c>
      <c r="AL523" t="n">
        <v>2</v>
      </c>
      <c r="AM523" t="n">
        <v>2</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HYPERLINK("https://creighton-primo.hosted.exlibrisgroup.com/primo-explore/search?tab=default_tab&amp;search_scope=EVERYTHING&amp;vid=01CRU&amp;lang=en_US&amp;offset=0&amp;query=any,contains,991004489019702656","Catalog Record")</f>
        <v/>
      </c>
      <c r="AT523">
        <f>HYPERLINK("http://www.worldcat.org/oclc/54046294","WorldCat Record")</f>
        <v/>
      </c>
      <c r="AU523" t="inlineStr">
        <is>
          <t>3768539258:eng</t>
        </is>
      </c>
      <c r="AV523" t="inlineStr">
        <is>
          <t>54046294</t>
        </is>
      </c>
      <c r="AW523" t="inlineStr">
        <is>
          <t>991004489019702656</t>
        </is>
      </c>
      <c r="AX523" t="inlineStr">
        <is>
          <t>991004489019702656</t>
        </is>
      </c>
      <c r="AY523" t="inlineStr">
        <is>
          <t>2259477760002656</t>
        </is>
      </c>
      <c r="AZ523" t="inlineStr">
        <is>
          <t>BOOK</t>
        </is>
      </c>
      <c r="BB523" t="inlineStr">
        <is>
          <t>9780801441882</t>
        </is>
      </c>
      <c r="BC523" t="inlineStr">
        <is>
          <t>32285005044960</t>
        </is>
      </c>
      <c r="BD523" t="inlineStr">
        <is>
          <t>893350067</t>
        </is>
      </c>
    </row>
    <row r="524">
      <c r="A524" t="inlineStr">
        <is>
          <t>No</t>
        </is>
      </c>
      <c r="B524" t="inlineStr">
        <is>
          <t>QL561.D3 P95 1999</t>
        </is>
      </c>
      <c r="C524" t="inlineStr">
        <is>
          <t>0                      QL 0561000D  3                  P  95          1999</t>
        </is>
      </c>
      <c r="D524" t="inlineStr">
        <is>
          <t>Chasing monarchs : migrating with the butterflies of passage / Robert Michael Pyle.</t>
        </is>
      </c>
      <c r="F524" t="inlineStr">
        <is>
          <t>No</t>
        </is>
      </c>
      <c r="G524" t="inlineStr">
        <is>
          <t>1</t>
        </is>
      </c>
      <c r="H524" t="inlineStr">
        <is>
          <t>No</t>
        </is>
      </c>
      <c r="I524" t="inlineStr">
        <is>
          <t>No</t>
        </is>
      </c>
      <c r="J524" t="inlineStr">
        <is>
          <t>0</t>
        </is>
      </c>
      <c r="K524" t="inlineStr">
        <is>
          <t>Pyle, Robert Michael.</t>
        </is>
      </c>
      <c r="L524" t="inlineStr">
        <is>
          <t>Boston : Houghton Mifflin Co., 1999.</t>
        </is>
      </c>
      <c r="M524" t="inlineStr">
        <is>
          <t>1999</t>
        </is>
      </c>
      <c r="O524" t="inlineStr">
        <is>
          <t>eng</t>
        </is>
      </c>
      <c r="P524" t="inlineStr">
        <is>
          <t>mau</t>
        </is>
      </c>
      <c r="R524" t="inlineStr">
        <is>
          <t xml:space="preserve">QL </t>
        </is>
      </c>
      <c r="S524" t="n">
        <v>9</v>
      </c>
      <c r="T524" t="n">
        <v>9</v>
      </c>
      <c r="U524" t="inlineStr">
        <is>
          <t>2008-03-25</t>
        </is>
      </c>
      <c r="V524" t="inlineStr">
        <is>
          <t>2008-03-25</t>
        </is>
      </c>
      <c r="W524" t="inlineStr">
        <is>
          <t>2000-07-18</t>
        </is>
      </c>
      <c r="X524" t="inlineStr">
        <is>
          <t>2000-07-18</t>
        </is>
      </c>
      <c r="Y524" t="n">
        <v>919</v>
      </c>
      <c r="Z524" t="n">
        <v>878</v>
      </c>
      <c r="AA524" t="n">
        <v>1254</v>
      </c>
      <c r="AB524" t="n">
        <v>6</v>
      </c>
      <c r="AC524" t="n">
        <v>36</v>
      </c>
      <c r="AD524" t="n">
        <v>11</v>
      </c>
      <c r="AE524" t="n">
        <v>32</v>
      </c>
      <c r="AF524" t="n">
        <v>1</v>
      </c>
      <c r="AG524" t="n">
        <v>6</v>
      </c>
      <c r="AH524" t="n">
        <v>3</v>
      </c>
      <c r="AI524" t="n">
        <v>6</v>
      </c>
      <c r="AJ524" t="n">
        <v>8</v>
      </c>
      <c r="AK524" t="n">
        <v>12</v>
      </c>
      <c r="AL524" t="n">
        <v>1</v>
      </c>
      <c r="AM524" t="n">
        <v>12</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HYPERLINK("https://creighton-primo.hosted.exlibrisgroup.com/primo-explore/search?tab=default_tab&amp;search_scope=EVERYTHING&amp;vid=01CRU&amp;lang=en_US&amp;offset=0&amp;query=any,contains,991003204859702656","Catalog Record")</f>
        <v/>
      </c>
      <c r="AT524">
        <f>HYPERLINK("http://www.worldcat.org/oclc/40683040","WorldCat Record")</f>
        <v/>
      </c>
      <c r="AU524" t="inlineStr">
        <is>
          <t>10694357:eng</t>
        </is>
      </c>
      <c r="AV524" t="inlineStr">
        <is>
          <t>40683040</t>
        </is>
      </c>
      <c r="AW524" t="inlineStr">
        <is>
          <t>991003204859702656</t>
        </is>
      </c>
      <c r="AX524" t="inlineStr">
        <is>
          <t>991003204859702656</t>
        </is>
      </c>
      <c r="AY524" t="inlineStr">
        <is>
          <t>2265917170002656</t>
        </is>
      </c>
      <c r="AZ524" t="inlineStr">
        <is>
          <t>BOOK</t>
        </is>
      </c>
      <c r="BB524" t="inlineStr">
        <is>
          <t>9780395828205</t>
        </is>
      </c>
      <c r="BC524" t="inlineStr">
        <is>
          <t>32285003740239</t>
        </is>
      </c>
      <c r="BD524" t="inlineStr">
        <is>
          <t>893434740</t>
        </is>
      </c>
    </row>
    <row r="525">
      <c r="A525" t="inlineStr">
        <is>
          <t>No</t>
        </is>
      </c>
      <c r="B525" t="inlineStr">
        <is>
          <t>QL561.D3 S33 2004</t>
        </is>
      </c>
      <c r="C525" t="inlineStr">
        <is>
          <t>0                      QL 0561000D  3                  S  33          2004</t>
        </is>
      </c>
      <c r="D525" t="inlineStr">
        <is>
          <t>The last monarch butterfly : conserving the monarch butterfly in a brave new world / Phil Schappert.</t>
        </is>
      </c>
      <c r="F525" t="inlineStr">
        <is>
          <t>No</t>
        </is>
      </c>
      <c r="G525" t="inlineStr">
        <is>
          <t>1</t>
        </is>
      </c>
      <c r="H525" t="inlineStr">
        <is>
          <t>No</t>
        </is>
      </c>
      <c r="I525" t="inlineStr">
        <is>
          <t>No</t>
        </is>
      </c>
      <c r="J525" t="inlineStr">
        <is>
          <t>0</t>
        </is>
      </c>
      <c r="K525" t="inlineStr">
        <is>
          <t>Schappert, Phillip Joseph, 1956-</t>
        </is>
      </c>
      <c r="L525" t="inlineStr">
        <is>
          <t>Buffalo, N.Y. : Firefly Books, 2004.</t>
        </is>
      </c>
      <c r="M525" t="inlineStr">
        <is>
          <t>2004</t>
        </is>
      </c>
      <c r="O525" t="inlineStr">
        <is>
          <t>eng</t>
        </is>
      </c>
      <c r="P525" t="inlineStr">
        <is>
          <t>nyu</t>
        </is>
      </c>
      <c r="R525" t="inlineStr">
        <is>
          <t xml:space="preserve">QL </t>
        </is>
      </c>
      <c r="S525" t="n">
        <v>7</v>
      </c>
      <c r="T525" t="n">
        <v>7</v>
      </c>
      <c r="U525" t="inlineStr">
        <is>
          <t>2009-02-28</t>
        </is>
      </c>
      <c r="V525" t="inlineStr">
        <is>
          <t>2009-02-28</t>
        </is>
      </c>
      <c r="W525" t="inlineStr">
        <is>
          <t>2005-09-12</t>
        </is>
      </c>
      <c r="X525" t="inlineStr">
        <is>
          <t>2005-09-12</t>
        </is>
      </c>
      <c r="Y525" t="n">
        <v>455</v>
      </c>
      <c r="Z525" t="n">
        <v>445</v>
      </c>
      <c r="AA525" t="n">
        <v>450</v>
      </c>
      <c r="AB525" t="n">
        <v>3</v>
      </c>
      <c r="AC525" t="n">
        <v>3</v>
      </c>
      <c r="AD525" t="n">
        <v>6</v>
      </c>
      <c r="AE525" t="n">
        <v>6</v>
      </c>
      <c r="AF525" t="n">
        <v>1</v>
      </c>
      <c r="AG525" t="n">
        <v>1</v>
      </c>
      <c r="AH525" t="n">
        <v>2</v>
      </c>
      <c r="AI525" t="n">
        <v>2</v>
      </c>
      <c r="AJ525" t="n">
        <v>2</v>
      </c>
      <c r="AK525" t="n">
        <v>2</v>
      </c>
      <c r="AL525" t="n">
        <v>2</v>
      </c>
      <c r="AM525" t="n">
        <v>2</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HYPERLINK("https://creighton-primo.hosted.exlibrisgroup.com/primo-explore/search?tab=default_tab&amp;search_scope=EVERYTHING&amp;vid=01CRU&amp;lang=en_US&amp;offset=0&amp;query=any,contains,991004630409702656","Catalog Record")</f>
        <v/>
      </c>
      <c r="AT525">
        <f>HYPERLINK("http://www.worldcat.org/oclc/56793328","WorldCat Record")</f>
        <v/>
      </c>
      <c r="AU525" t="inlineStr">
        <is>
          <t>10157636843:eng</t>
        </is>
      </c>
      <c r="AV525" t="inlineStr">
        <is>
          <t>56793328</t>
        </is>
      </c>
      <c r="AW525" t="inlineStr">
        <is>
          <t>991004630409702656</t>
        </is>
      </c>
      <c r="AX525" t="inlineStr">
        <is>
          <t>991004630409702656</t>
        </is>
      </c>
      <c r="AY525" t="inlineStr">
        <is>
          <t>2257414280002656</t>
        </is>
      </c>
      <c r="AZ525" t="inlineStr">
        <is>
          <t>BOOK</t>
        </is>
      </c>
      <c r="BB525" t="inlineStr">
        <is>
          <t>9781552979693</t>
        </is>
      </c>
      <c r="BC525" t="inlineStr">
        <is>
          <t>32285005083703</t>
        </is>
      </c>
      <c r="BD525" t="inlineStr">
        <is>
          <t>893337935</t>
        </is>
      </c>
    </row>
    <row r="526">
      <c r="A526" t="inlineStr">
        <is>
          <t>No</t>
        </is>
      </c>
      <c r="B526" t="inlineStr">
        <is>
          <t>QL561.N7 S27 1976</t>
        </is>
      </c>
      <c r="C526" t="inlineStr">
        <is>
          <t>0                      QL 0561000N  7                  S  27          1976</t>
        </is>
      </c>
      <c r="D526" t="inlineStr">
        <is>
          <t>Legion of night : the underwing moths / Theodore D. Sargent ; photos by Harold J. Vermes ; drawings by Katherine A. Doktor Sargent.</t>
        </is>
      </c>
      <c r="F526" t="inlineStr">
        <is>
          <t>No</t>
        </is>
      </c>
      <c r="G526" t="inlineStr">
        <is>
          <t>1</t>
        </is>
      </c>
      <c r="H526" t="inlineStr">
        <is>
          <t>No</t>
        </is>
      </c>
      <c r="I526" t="inlineStr">
        <is>
          <t>No</t>
        </is>
      </c>
      <c r="J526" t="inlineStr">
        <is>
          <t>0</t>
        </is>
      </c>
      <c r="K526" t="inlineStr">
        <is>
          <t>Sargent, Theodore D., 1936-</t>
        </is>
      </c>
      <c r="L526" t="inlineStr">
        <is>
          <t>Amherst : University of Massachusetts Press, 1976.</t>
        </is>
      </c>
      <c r="M526" t="inlineStr">
        <is>
          <t>1976</t>
        </is>
      </c>
      <c r="O526" t="inlineStr">
        <is>
          <t>eng</t>
        </is>
      </c>
      <c r="P526" t="inlineStr">
        <is>
          <t>mau</t>
        </is>
      </c>
      <c r="R526" t="inlineStr">
        <is>
          <t xml:space="preserve">QL </t>
        </is>
      </c>
      <c r="S526" t="n">
        <v>1</v>
      </c>
      <c r="T526" t="n">
        <v>1</v>
      </c>
      <c r="U526" t="inlineStr">
        <is>
          <t>2009-06-02</t>
        </is>
      </c>
      <c r="V526" t="inlineStr">
        <is>
          <t>2009-06-02</t>
        </is>
      </c>
      <c r="W526" t="inlineStr">
        <is>
          <t>1993-05-27</t>
        </is>
      </c>
      <c r="X526" t="inlineStr">
        <is>
          <t>1993-05-27</t>
        </is>
      </c>
      <c r="Y526" t="n">
        <v>358</v>
      </c>
      <c r="Z526" t="n">
        <v>328</v>
      </c>
      <c r="AA526" t="n">
        <v>330</v>
      </c>
      <c r="AB526" t="n">
        <v>3</v>
      </c>
      <c r="AC526" t="n">
        <v>3</v>
      </c>
      <c r="AD526" t="n">
        <v>7</v>
      </c>
      <c r="AE526" t="n">
        <v>7</v>
      </c>
      <c r="AF526" t="n">
        <v>2</v>
      </c>
      <c r="AG526" t="n">
        <v>2</v>
      </c>
      <c r="AH526" t="n">
        <v>2</v>
      </c>
      <c r="AI526" t="n">
        <v>2</v>
      </c>
      <c r="AJ526" t="n">
        <v>2</v>
      </c>
      <c r="AK526" t="n">
        <v>2</v>
      </c>
      <c r="AL526" t="n">
        <v>2</v>
      </c>
      <c r="AM526" t="n">
        <v>2</v>
      </c>
      <c r="AN526" t="n">
        <v>0</v>
      </c>
      <c r="AO526" t="n">
        <v>0</v>
      </c>
      <c r="AP526" t="inlineStr">
        <is>
          <t>No</t>
        </is>
      </c>
      <c r="AQ526" t="inlineStr">
        <is>
          <t>Yes</t>
        </is>
      </c>
      <c r="AR526">
        <f>HYPERLINK("http://catalog.hathitrust.org/Record/009664819","HathiTrust Record")</f>
        <v/>
      </c>
      <c r="AS526">
        <f>HYPERLINK("https://creighton-primo.hosted.exlibrisgroup.com/primo-explore/search?tab=default_tab&amp;search_scope=EVERYTHING&amp;vid=01CRU&amp;lang=en_US&amp;offset=0&amp;query=any,contains,991003885149702656","Catalog Record")</f>
        <v/>
      </c>
      <c r="AT526">
        <f>HYPERLINK("http://www.worldcat.org/oclc/1735300","WorldCat Record")</f>
        <v/>
      </c>
      <c r="AU526" t="inlineStr">
        <is>
          <t>899567914:eng</t>
        </is>
      </c>
      <c r="AV526" t="inlineStr">
        <is>
          <t>1735300</t>
        </is>
      </c>
      <c r="AW526" t="inlineStr">
        <is>
          <t>991003885149702656</t>
        </is>
      </c>
      <c r="AX526" t="inlineStr">
        <is>
          <t>991003885149702656</t>
        </is>
      </c>
      <c r="AY526" t="inlineStr">
        <is>
          <t>2256105470002656</t>
        </is>
      </c>
      <c r="AZ526" t="inlineStr">
        <is>
          <t>BOOK</t>
        </is>
      </c>
      <c r="BB526" t="inlineStr">
        <is>
          <t>9780870231872</t>
        </is>
      </c>
      <c r="BC526" t="inlineStr">
        <is>
          <t>32285001687606</t>
        </is>
      </c>
      <c r="BD526" t="inlineStr">
        <is>
          <t>893599117</t>
        </is>
      </c>
    </row>
    <row r="527">
      <c r="A527" t="inlineStr">
        <is>
          <t>No</t>
        </is>
      </c>
      <c r="B527" t="inlineStr">
        <is>
          <t>QL561.N9 A25 1984</t>
        </is>
      </c>
      <c r="C527" t="inlineStr">
        <is>
          <t>0                      QL 0561000N  9                  A  25          1984</t>
        </is>
      </c>
      <c r="D527" t="inlineStr">
        <is>
          <t>Milkweed butterflies, their cladistics and biology : being an account of the natural history of the Danainae, a subfamily of the Lepidoptera, Nymphalidae / P.R. Ackery and R.I. Vane-Wright.</t>
        </is>
      </c>
      <c r="F527" t="inlineStr">
        <is>
          <t>No</t>
        </is>
      </c>
      <c r="G527" t="inlineStr">
        <is>
          <t>1</t>
        </is>
      </c>
      <c r="H527" t="inlineStr">
        <is>
          <t>No</t>
        </is>
      </c>
      <c r="I527" t="inlineStr">
        <is>
          <t>No</t>
        </is>
      </c>
      <c r="J527" t="inlineStr">
        <is>
          <t>0</t>
        </is>
      </c>
      <c r="K527" t="inlineStr">
        <is>
          <t>Ackery, Phillip Ronald.</t>
        </is>
      </c>
      <c r="L527" t="inlineStr">
        <is>
          <t>[London] : British Museum (Natural History) ; Ithaca, N.Y. : Comstock Pub. Associates, 1984.</t>
        </is>
      </c>
      <c r="M527" t="inlineStr">
        <is>
          <t>1984</t>
        </is>
      </c>
      <c r="O527" t="inlineStr">
        <is>
          <t>eng</t>
        </is>
      </c>
      <c r="P527" t="inlineStr">
        <is>
          <t>enk</t>
        </is>
      </c>
      <c r="R527" t="inlineStr">
        <is>
          <t xml:space="preserve">QL </t>
        </is>
      </c>
      <c r="S527" t="n">
        <v>12</v>
      </c>
      <c r="T527" t="n">
        <v>12</v>
      </c>
      <c r="U527" t="inlineStr">
        <is>
          <t>2000-11-18</t>
        </is>
      </c>
      <c r="V527" t="inlineStr">
        <is>
          <t>2000-11-18</t>
        </is>
      </c>
      <c r="W527" t="inlineStr">
        <is>
          <t>1996-10-16</t>
        </is>
      </c>
      <c r="X527" t="inlineStr">
        <is>
          <t>1996-10-16</t>
        </is>
      </c>
      <c r="Y527" t="n">
        <v>263</v>
      </c>
      <c r="Z527" t="n">
        <v>206</v>
      </c>
      <c r="AA527" t="n">
        <v>216</v>
      </c>
      <c r="AB527" t="n">
        <v>1</v>
      </c>
      <c r="AC527" t="n">
        <v>1</v>
      </c>
      <c r="AD527" t="n">
        <v>3</v>
      </c>
      <c r="AE527" t="n">
        <v>3</v>
      </c>
      <c r="AF527" t="n">
        <v>0</v>
      </c>
      <c r="AG527" t="n">
        <v>0</v>
      </c>
      <c r="AH527" t="n">
        <v>2</v>
      </c>
      <c r="AI527" t="n">
        <v>2</v>
      </c>
      <c r="AJ527" t="n">
        <v>2</v>
      </c>
      <c r="AK527" t="n">
        <v>2</v>
      </c>
      <c r="AL527" t="n">
        <v>0</v>
      </c>
      <c r="AM527" t="n">
        <v>0</v>
      </c>
      <c r="AN527" t="n">
        <v>0</v>
      </c>
      <c r="AO527" t="n">
        <v>0</v>
      </c>
      <c r="AP527" t="inlineStr">
        <is>
          <t>No</t>
        </is>
      </c>
      <c r="AQ527" t="inlineStr">
        <is>
          <t>Yes</t>
        </is>
      </c>
      <c r="AR527">
        <f>HYPERLINK("http://catalog.hathitrust.org/Record/000562802","HathiTrust Record")</f>
        <v/>
      </c>
      <c r="AS527">
        <f>HYPERLINK("https://creighton-primo.hosted.exlibrisgroup.com/primo-explore/search?tab=default_tab&amp;search_scope=EVERYTHING&amp;vid=01CRU&amp;lang=en_US&amp;offset=0&amp;query=any,contains,991000524439702656","Catalog Record")</f>
        <v/>
      </c>
      <c r="AT527">
        <f>HYPERLINK("http://www.worldcat.org/oclc/11364239","WorldCat Record")</f>
        <v/>
      </c>
      <c r="AU527" t="inlineStr">
        <is>
          <t>117205665:eng</t>
        </is>
      </c>
      <c r="AV527" t="inlineStr">
        <is>
          <t>11364239</t>
        </is>
      </c>
      <c r="AW527" t="inlineStr">
        <is>
          <t>991000524439702656</t>
        </is>
      </c>
      <c r="AX527" t="inlineStr">
        <is>
          <t>991000524439702656</t>
        </is>
      </c>
      <c r="AY527" t="inlineStr">
        <is>
          <t>2255081020002656</t>
        </is>
      </c>
      <c r="AZ527" t="inlineStr">
        <is>
          <t>BOOK</t>
        </is>
      </c>
      <c r="BB527" t="inlineStr">
        <is>
          <t>9780565008932</t>
        </is>
      </c>
      <c r="BC527" t="inlineStr">
        <is>
          <t>32285002366424</t>
        </is>
      </c>
      <c r="BD527" t="inlineStr">
        <is>
          <t>893620550</t>
        </is>
      </c>
    </row>
    <row r="528">
      <c r="A528" t="inlineStr">
        <is>
          <t>No</t>
        </is>
      </c>
      <c r="B528" t="inlineStr">
        <is>
          <t>QL561.P2 N49 1991</t>
        </is>
      </c>
      <c r="C528" t="inlineStr">
        <is>
          <t>0                      QL 0561000P  2                  N  49          1991</t>
        </is>
      </c>
      <c r="D528" t="inlineStr">
        <is>
          <t>Swallowtail butterflies : an action plan for their conservation / compiled by T.R. New and N.M. Collins ; IUCN/SSC Lepidoptera Specialist Group.</t>
        </is>
      </c>
      <c r="F528" t="inlineStr">
        <is>
          <t>No</t>
        </is>
      </c>
      <c r="G528" t="inlineStr">
        <is>
          <t>1</t>
        </is>
      </c>
      <c r="H528" t="inlineStr">
        <is>
          <t>No</t>
        </is>
      </c>
      <c r="I528" t="inlineStr">
        <is>
          <t>No</t>
        </is>
      </c>
      <c r="J528" t="inlineStr">
        <is>
          <t>0</t>
        </is>
      </c>
      <c r="K528" t="inlineStr">
        <is>
          <t>New, T. R.</t>
        </is>
      </c>
      <c r="L528" t="inlineStr">
        <is>
          <t>Gland, Switzerland : IUCN, c1991.</t>
        </is>
      </c>
      <c r="M528" t="inlineStr">
        <is>
          <t>1991</t>
        </is>
      </c>
      <c r="O528" t="inlineStr">
        <is>
          <t>eng</t>
        </is>
      </c>
      <c r="P528" t="inlineStr">
        <is>
          <t xml:space="preserve">sz </t>
        </is>
      </c>
      <c r="Q528" t="inlineStr">
        <is>
          <t>IUCN/SSC action plans for the conservation of biological diversity</t>
        </is>
      </c>
      <c r="R528" t="inlineStr">
        <is>
          <t xml:space="preserve">QL </t>
        </is>
      </c>
      <c r="S528" t="n">
        <v>1</v>
      </c>
      <c r="T528" t="n">
        <v>1</v>
      </c>
      <c r="U528" t="inlineStr">
        <is>
          <t>2009-02-21</t>
        </is>
      </c>
      <c r="V528" t="inlineStr">
        <is>
          <t>2009-02-21</t>
        </is>
      </c>
      <c r="W528" t="inlineStr">
        <is>
          <t>1999-04-28</t>
        </is>
      </c>
      <c r="X528" t="inlineStr">
        <is>
          <t>1999-04-28</t>
        </is>
      </c>
      <c r="Y528" t="n">
        <v>74</v>
      </c>
      <c r="Z528" t="n">
        <v>47</v>
      </c>
      <c r="AA528" t="n">
        <v>49</v>
      </c>
      <c r="AB528" t="n">
        <v>1</v>
      </c>
      <c r="AC528" t="n">
        <v>1</v>
      </c>
      <c r="AD528" t="n">
        <v>1</v>
      </c>
      <c r="AE528" t="n">
        <v>1</v>
      </c>
      <c r="AF528" t="n">
        <v>0</v>
      </c>
      <c r="AG528" t="n">
        <v>0</v>
      </c>
      <c r="AH528" t="n">
        <v>1</v>
      </c>
      <c r="AI528" t="n">
        <v>1</v>
      </c>
      <c r="AJ528" t="n">
        <v>1</v>
      </c>
      <c r="AK528" t="n">
        <v>1</v>
      </c>
      <c r="AL528" t="n">
        <v>0</v>
      </c>
      <c r="AM528" t="n">
        <v>0</v>
      </c>
      <c r="AN528" t="n">
        <v>0</v>
      </c>
      <c r="AO528" t="n">
        <v>0</v>
      </c>
      <c r="AP528" t="inlineStr">
        <is>
          <t>No</t>
        </is>
      </c>
      <c r="AQ528" t="inlineStr">
        <is>
          <t>Yes</t>
        </is>
      </c>
      <c r="AR528">
        <f>HYPERLINK("http://catalog.hathitrust.org/Record/002643435","HathiTrust Record")</f>
        <v/>
      </c>
      <c r="AS528">
        <f>HYPERLINK("https://creighton-primo.hosted.exlibrisgroup.com/primo-explore/search?tab=default_tab&amp;search_scope=EVERYTHING&amp;vid=01CRU&amp;lang=en_US&amp;offset=0&amp;query=any,contains,991002077969702656","Catalog Record")</f>
        <v/>
      </c>
      <c r="AT528">
        <f>HYPERLINK("http://www.worldcat.org/oclc/26634954","WorldCat Record")</f>
        <v/>
      </c>
      <c r="AU528" t="inlineStr">
        <is>
          <t>29157817:eng</t>
        </is>
      </c>
      <c r="AV528" t="inlineStr">
        <is>
          <t>26634954</t>
        </is>
      </c>
      <c r="AW528" t="inlineStr">
        <is>
          <t>991002077969702656</t>
        </is>
      </c>
      <c r="AX528" t="inlineStr">
        <is>
          <t>991002077969702656</t>
        </is>
      </c>
      <c r="AY528" t="inlineStr">
        <is>
          <t>2264038020002656</t>
        </is>
      </c>
      <c r="AZ528" t="inlineStr">
        <is>
          <t>BOOK</t>
        </is>
      </c>
      <c r="BB528" t="inlineStr">
        <is>
          <t>9782831700618</t>
        </is>
      </c>
      <c r="BC528" t="inlineStr">
        <is>
          <t>32285003557245</t>
        </is>
      </c>
      <c r="BD528" t="inlineStr">
        <is>
          <t>893773184</t>
        </is>
      </c>
    </row>
    <row r="529">
      <c r="A529" t="inlineStr">
        <is>
          <t>No</t>
        </is>
      </c>
      <c r="B529" t="inlineStr">
        <is>
          <t>QL561.P2 T82 1994</t>
        </is>
      </c>
      <c r="C529" t="inlineStr">
        <is>
          <t>0                      QL 0561000P  2                  T  82          1994</t>
        </is>
      </c>
      <c r="D529" t="inlineStr">
        <is>
          <t>Swallowtail butterflies of the Americas : a study in biological dynamics, ecological diversity, biosystematics, and conservation / Hamilton A. Tyler, Keith S. Brown, Jr., Kent H. Wilson.</t>
        </is>
      </c>
      <c r="F529" t="inlineStr">
        <is>
          <t>No</t>
        </is>
      </c>
      <c r="G529" t="inlineStr">
        <is>
          <t>1</t>
        </is>
      </c>
      <c r="H529" t="inlineStr">
        <is>
          <t>No</t>
        </is>
      </c>
      <c r="I529" t="inlineStr">
        <is>
          <t>No</t>
        </is>
      </c>
      <c r="J529" t="inlineStr">
        <is>
          <t>0</t>
        </is>
      </c>
      <c r="K529" t="inlineStr">
        <is>
          <t>Tyler, Hamilton A.</t>
        </is>
      </c>
      <c r="L529" t="inlineStr">
        <is>
          <t>Gainesville, FL : Scientific Publishers, 1994.</t>
        </is>
      </c>
      <c r="M529" t="inlineStr">
        <is>
          <t>1994</t>
        </is>
      </c>
      <c r="O529" t="inlineStr">
        <is>
          <t>eng</t>
        </is>
      </c>
      <c r="P529" t="inlineStr">
        <is>
          <t>flu</t>
        </is>
      </c>
      <c r="R529" t="inlineStr">
        <is>
          <t xml:space="preserve">QL </t>
        </is>
      </c>
      <c r="S529" t="n">
        <v>7</v>
      </c>
      <c r="T529" t="n">
        <v>7</v>
      </c>
      <c r="U529" t="inlineStr">
        <is>
          <t>2009-02-21</t>
        </is>
      </c>
      <c r="V529" t="inlineStr">
        <is>
          <t>2009-02-21</t>
        </is>
      </c>
      <c r="W529" t="inlineStr">
        <is>
          <t>1995-03-19</t>
        </is>
      </c>
      <c r="X529" t="inlineStr">
        <is>
          <t>1995-03-19</t>
        </is>
      </c>
      <c r="Y529" t="n">
        <v>167</v>
      </c>
      <c r="Z529" t="n">
        <v>142</v>
      </c>
      <c r="AA529" t="n">
        <v>143</v>
      </c>
      <c r="AB529" t="n">
        <v>1</v>
      </c>
      <c r="AC529" t="n">
        <v>1</v>
      </c>
      <c r="AD529" t="n">
        <v>5</v>
      </c>
      <c r="AE529" t="n">
        <v>5</v>
      </c>
      <c r="AF529" t="n">
        <v>1</v>
      </c>
      <c r="AG529" t="n">
        <v>1</v>
      </c>
      <c r="AH529" t="n">
        <v>2</v>
      </c>
      <c r="AI529" t="n">
        <v>2</v>
      </c>
      <c r="AJ529" t="n">
        <v>3</v>
      </c>
      <c r="AK529" t="n">
        <v>3</v>
      </c>
      <c r="AL529" t="n">
        <v>0</v>
      </c>
      <c r="AM529" t="n">
        <v>0</v>
      </c>
      <c r="AN529" t="n">
        <v>0</v>
      </c>
      <c r="AO529" t="n">
        <v>0</v>
      </c>
      <c r="AP529" t="inlineStr">
        <is>
          <t>No</t>
        </is>
      </c>
      <c r="AQ529" t="inlineStr">
        <is>
          <t>Yes</t>
        </is>
      </c>
      <c r="AR529">
        <f>HYPERLINK("http://catalog.hathitrust.org/Record/002993706","HathiTrust Record")</f>
        <v/>
      </c>
      <c r="AS529">
        <f>HYPERLINK("https://creighton-primo.hosted.exlibrisgroup.com/primo-explore/search?tab=default_tab&amp;search_scope=EVERYTHING&amp;vid=01CRU&amp;lang=en_US&amp;offset=0&amp;query=any,contains,991002055549702656","Catalog Record")</f>
        <v/>
      </c>
      <c r="AT529">
        <f>HYPERLINK("http://www.worldcat.org/oclc/26261337","WorldCat Record")</f>
        <v/>
      </c>
      <c r="AU529" t="inlineStr">
        <is>
          <t>890355832:eng</t>
        </is>
      </c>
      <c r="AV529" t="inlineStr">
        <is>
          <t>26261337</t>
        </is>
      </c>
      <c r="AW529" t="inlineStr">
        <is>
          <t>991002055549702656</t>
        </is>
      </c>
      <c r="AX529" t="inlineStr">
        <is>
          <t>991002055549702656</t>
        </is>
      </c>
      <c r="AY529" t="inlineStr">
        <is>
          <t>2262781040002656</t>
        </is>
      </c>
      <c r="AZ529" t="inlineStr">
        <is>
          <t>BOOK</t>
        </is>
      </c>
      <c r="BB529" t="inlineStr">
        <is>
          <t>9780945417903</t>
        </is>
      </c>
      <c r="BC529" t="inlineStr">
        <is>
          <t>32285002002474</t>
        </is>
      </c>
      <c r="BD529" t="inlineStr">
        <is>
          <t>893516840</t>
        </is>
      </c>
    </row>
    <row r="530">
      <c r="A530" t="inlineStr">
        <is>
          <t>No</t>
        </is>
      </c>
      <c r="B530" t="inlineStr">
        <is>
          <t>QL562.2 .M64 1995</t>
        </is>
      </c>
      <c r="C530" t="inlineStr">
        <is>
          <t>0                      QL 0562200M  64          1995</t>
        </is>
      </c>
      <c r="D530" t="inlineStr">
        <is>
          <t>Molecular model systems in the Lepidoptera / edited by Marian R. Goldsmith, Adam S. Wilkins.</t>
        </is>
      </c>
      <c r="F530" t="inlineStr">
        <is>
          <t>No</t>
        </is>
      </c>
      <c r="G530" t="inlineStr">
        <is>
          <t>1</t>
        </is>
      </c>
      <c r="H530" t="inlineStr">
        <is>
          <t>No</t>
        </is>
      </c>
      <c r="I530" t="inlineStr">
        <is>
          <t>No</t>
        </is>
      </c>
      <c r="J530" t="inlineStr">
        <is>
          <t>0</t>
        </is>
      </c>
      <c r="L530" t="inlineStr">
        <is>
          <t>Cambridge [England] ; New York, N.Y. : Cambridge University Press, c1995.</t>
        </is>
      </c>
      <c r="M530" t="inlineStr">
        <is>
          <t>1995</t>
        </is>
      </c>
      <c r="O530" t="inlineStr">
        <is>
          <t>eng</t>
        </is>
      </c>
      <c r="P530" t="inlineStr">
        <is>
          <t>enk</t>
        </is>
      </c>
      <c r="R530" t="inlineStr">
        <is>
          <t xml:space="preserve">QL </t>
        </is>
      </c>
      <c r="S530" t="n">
        <v>1</v>
      </c>
      <c r="T530" t="n">
        <v>1</v>
      </c>
      <c r="U530" t="inlineStr">
        <is>
          <t>2003-02-24</t>
        </is>
      </c>
      <c r="V530" t="inlineStr">
        <is>
          <t>2003-02-24</t>
        </is>
      </c>
      <c r="W530" t="inlineStr">
        <is>
          <t>1995-07-05</t>
        </is>
      </c>
      <c r="X530" t="inlineStr">
        <is>
          <t>1995-07-05</t>
        </is>
      </c>
      <c r="Y530" t="n">
        <v>166</v>
      </c>
      <c r="Z530" t="n">
        <v>107</v>
      </c>
      <c r="AA530" t="n">
        <v>121</v>
      </c>
      <c r="AB530" t="n">
        <v>1</v>
      </c>
      <c r="AC530" t="n">
        <v>1</v>
      </c>
      <c r="AD530" t="n">
        <v>3</v>
      </c>
      <c r="AE530" t="n">
        <v>3</v>
      </c>
      <c r="AF530" t="n">
        <v>1</v>
      </c>
      <c r="AG530" t="n">
        <v>1</v>
      </c>
      <c r="AH530" t="n">
        <v>1</v>
      </c>
      <c r="AI530" t="n">
        <v>1</v>
      </c>
      <c r="AJ530" t="n">
        <v>2</v>
      </c>
      <c r="AK530" t="n">
        <v>2</v>
      </c>
      <c r="AL530" t="n">
        <v>0</v>
      </c>
      <c r="AM530" t="n">
        <v>0</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HYPERLINK("https://creighton-primo.hosted.exlibrisgroup.com/primo-explore/search?tab=default_tab&amp;search_scope=EVERYTHING&amp;vid=01CRU&amp;lang=en_US&amp;offset=0&amp;query=any,contains,991002276539702656","Catalog Record")</f>
        <v/>
      </c>
      <c r="AT530">
        <f>HYPERLINK("http://www.worldcat.org/oclc/29548076","WorldCat Record")</f>
        <v/>
      </c>
      <c r="AU530" t="inlineStr">
        <is>
          <t>1101546816:eng</t>
        </is>
      </c>
      <c r="AV530" t="inlineStr">
        <is>
          <t>29548076</t>
        </is>
      </c>
      <c r="AW530" t="inlineStr">
        <is>
          <t>991002276539702656</t>
        </is>
      </c>
      <c r="AX530" t="inlineStr">
        <is>
          <t>991002276539702656</t>
        </is>
      </c>
      <c r="AY530" t="inlineStr">
        <is>
          <t>2271032220002656</t>
        </is>
      </c>
      <c r="AZ530" t="inlineStr">
        <is>
          <t>BOOK</t>
        </is>
      </c>
      <c r="BB530" t="inlineStr">
        <is>
          <t>9780521402491</t>
        </is>
      </c>
      <c r="BC530" t="inlineStr">
        <is>
          <t>32285002053659</t>
        </is>
      </c>
      <c r="BD530" t="inlineStr">
        <is>
          <t>893232767</t>
        </is>
      </c>
    </row>
    <row r="531">
      <c r="A531" t="inlineStr">
        <is>
          <t>No</t>
        </is>
      </c>
      <c r="B531" t="inlineStr">
        <is>
          <t>QL562.4 .D46 1993</t>
        </is>
      </c>
      <c r="C531" t="inlineStr">
        <is>
          <t>0                      QL 0562400D  46          1993</t>
        </is>
      </c>
      <c r="D531" t="inlineStr">
        <is>
          <t>Butterflies and climate change / Roger L.H. Dennis.</t>
        </is>
      </c>
      <c r="F531" t="inlineStr">
        <is>
          <t>No</t>
        </is>
      </c>
      <c r="G531" t="inlineStr">
        <is>
          <t>1</t>
        </is>
      </c>
      <c r="H531" t="inlineStr">
        <is>
          <t>No</t>
        </is>
      </c>
      <c r="I531" t="inlineStr">
        <is>
          <t>No</t>
        </is>
      </c>
      <c r="J531" t="inlineStr">
        <is>
          <t>0</t>
        </is>
      </c>
      <c r="K531" t="inlineStr">
        <is>
          <t>Dennis, Roger L. H.</t>
        </is>
      </c>
      <c r="L531" t="inlineStr">
        <is>
          <t>Manchester ; New York : Manchester University Press ; New York : Distributed exclusively in the USA and Canada by St. Martin's Press, c1993.</t>
        </is>
      </c>
      <c r="M531" t="inlineStr">
        <is>
          <t>1993</t>
        </is>
      </c>
      <c r="O531" t="inlineStr">
        <is>
          <t>eng</t>
        </is>
      </c>
      <c r="P531" t="inlineStr">
        <is>
          <t>enk</t>
        </is>
      </c>
      <c r="R531" t="inlineStr">
        <is>
          <t xml:space="preserve">QL </t>
        </is>
      </c>
      <c r="S531" t="n">
        <v>11</v>
      </c>
      <c r="T531" t="n">
        <v>11</v>
      </c>
      <c r="U531" t="inlineStr">
        <is>
          <t>2009-03-01</t>
        </is>
      </c>
      <c r="V531" t="inlineStr">
        <is>
          <t>2009-03-01</t>
        </is>
      </c>
      <c r="W531" t="inlineStr">
        <is>
          <t>1995-12-05</t>
        </is>
      </c>
      <c r="X531" t="inlineStr">
        <is>
          <t>1995-12-05</t>
        </is>
      </c>
      <c r="Y531" t="n">
        <v>237</v>
      </c>
      <c r="Z531" t="n">
        <v>164</v>
      </c>
      <c r="AA531" t="n">
        <v>166</v>
      </c>
      <c r="AB531" t="n">
        <v>1</v>
      </c>
      <c r="AC531" t="n">
        <v>1</v>
      </c>
      <c r="AD531" t="n">
        <v>4</v>
      </c>
      <c r="AE531" t="n">
        <v>4</v>
      </c>
      <c r="AF531" t="n">
        <v>0</v>
      </c>
      <c r="AG531" t="n">
        <v>0</v>
      </c>
      <c r="AH531" t="n">
        <v>1</v>
      </c>
      <c r="AI531" t="n">
        <v>1</v>
      </c>
      <c r="AJ531" t="n">
        <v>3</v>
      </c>
      <c r="AK531" t="n">
        <v>3</v>
      </c>
      <c r="AL531" t="n">
        <v>0</v>
      </c>
      <c r="AM531" t="n">
        <v>0</v>
      </c>
      <c r="AN531" t="n">
        <v>0</v>
      </c>
      <c r="AO531" t="n">
        <v>0</v>
      </c>
      <c r="AP531" t="inlineStr">
        <is>
          <t>No</t>
        </is>
      </c>
      <c r="AQ531" t="inlineStr">
        <is>
          <t>Yes</t>
        </is>
      </c>
      <c r="AR531">
        <f>HYPERLINK("http://catalog.hathitrust.org/Record/002752920","HathiTrust Record")</f>
        <v/>
      </c>
      <c r="AS531">
        <f>HYPERLINK("https://creighton-primo.hosted.exlibrisgroup.com/primo-explore/search?tab=default_tab&amp;search_scope=EVERYTHING&amp;vid=01CRU&amp;lang=en_US&amp;offset=0&amp;query=any,contains,991002133009702656","Catalog Record")</f>
        <v/>
      </c>
      <c r="AT531">
        <f>HYPERLINK("http://www.worldcat.org/oclc/27339355","WorldCat Record")</f>
        <v/>
      </c>
      <c r="AU531" t="inlineStr">
        <is>
          <t>348814:eng</t>
        </is>
      </c>
      <c r="AV531" t="inlineStr">
        <is>
          <t>27339355</t>
        </is>
      </c>
      <c r="AW531" t="inlineStr">
        <is>
          <t>991002133009702656</t>
        </is>
      </c>
      <c r="AX531" t="inlineStr">
        <is>
          <t>991002133009702656</t>
        </is>
      </c>
      <c r="AY531" t="inlineStr">
        <is>
          <t>2267232880002656</t>
        </is>
      </c>
      <c r="AZ531" t="inlineStr">
        <is>
          <t>BOOK</t>
        </is>
      </c>
      <c r="BB531" t="inlineStr">
        <is>
          <t>9780719035050</t>
        </is>
      </c>
      <c r="BC531" t="inlineStr">
        <is>
          <t>32285002108073</t>
        </is>
      </c>
      <c r="BD531" t="inlineStr">
        <is>
          <t>893244792</t>
        </is>
      </c>
    </row>
    <row r="532">
      <c r="A532" t="inlineStr">
        <is>
          <t>No</t>
        </is>
      </c>
      <c r="B532" t="inlineStr">
        <is>
          <t>QL563 .O53 2001</t>
        </is>
      </c>
      <c r="C532" t="inlineStr">
        <is>
          <t>0                      QL 0563000O  53          2001</t>
        </is>
      </c>
      <c r="D532" t="inlineStr">
        <is>
          <t>Solitary wasps : behavior and natural history / Kevin M. O'Neill ; with illustrations by Catherine Seibert.</t>
        </is>
      </c>
      <c r="F532" t="inlineStr">
        <is>
          <t>No</t>
        </is>
      </c>
      <c r="G532" t="inlineStr">
        <is>
          <t>1</t>
        </is>
      </c>
      <c r="H532" t="inlineStr">
        <is>
          <t>No</t>
        </is>
      </c>
      <c r="I532" t="inlineStr">
        <is>
          <t>No</t>
        </is>
      </c>
      <c r="J532" t="inlineStr">
        <is>
          <t>0</t>
        </is>
      </c>
      <c r="K532" t="inlineStr">
        <is>
          <t>O'Neill, Kevin M.</t>
        </is>
      </c>
      <c r="L532" t="inlineStr">
        <is>
          <t>Ithaca, N.Y. : Comstock Pub. Associates, 2001.</t>
        </is>
      </c>
      <c r="M532" t="inlineStr">
        <is>
          <t>2001</t>
        </is>
      </c>
      <c r="O532" t="inlineStr">
        <is>
          <t>eng</t>
        </is>
      </c>
      <c r="P532" t="inlineStr">
        <is>
          <t>nyu</t>
        </is>
      </c>
      <c r="Q532" t="inlineStr">
        <is>
          <t>Cornell series in arthropod biology</t>
        </is>
      </c>
      <c r="R532" t="inlineStr">
        <is>
          <t xml:space="preserve">QL </t>
        </is>
      </c>
      <c r="S532" t="n">
        <v>19</v>
      </c>
      <c r="T532" t="n">
        <v>19</v>
      </c>
      <c r="U532" t="inlineStr">
        <is>
          <t>2010-03-08</t>
        </is>
      </c>
      <c r="V532" t="inlineStr">
        <is>
          <t>2010-03-08</t>
        </is>
      </c>
      <c r="W532" t="inlineStr">
        <is>
          <t>2001-11-26</t>
        </is>
      </c>
      <c r="X532" t="inlineStr">
        <is>
          <t>2001-11-26</t>
        </is>
      </c>
      <c r="Y532" t="n">
        <v>402</v>
      </c>
      <c r="Z532" t="n">
        <v>348</v>
      </c>
      <c r="AA532" t="n">
        <v>356</v>
      </c>
      <c r="AB532" t="n">
        <v>3</v>
      </c>
      <c r="AC532" t="n">
        <v>3</v>
      </c>
      <c r="AD532" t="n">
        <v>16</v>
      </c>
      <c r="AE532" t="n">
        <v>16</v>
      </c>
      <c r="AF532" t="n">
        <v>6</v>
      </c>
      <c r="AG532" t="n">
        <v>6</v>
      </c>
      <c r="AH532" t="n">
        <v>5</v>
      </c>
      <c r="AI532" t="n">
        <v>5</v>
      </c>
      <c r="AJ532" t="n">
        <v>8</v>
      </c>
      <c r="AK532" t="n">
        <v>8</v>
      </c>
      <c r="AL532" t="n">
        <v>2</v>
      </c>
      <c r="AM532" t="n">
        <v>2</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HYPERLINK("https://creighton-primo.hosted.exlibrisgroup.com/primo-explore/search?tab=default_tab&amp;search_scope=EVERYTHING&amp;vid=01CRU&amp;lang=en_US&amp;offset=0&amp;query=any,contains,991003661739702656","Catalog Record")</f>
        <v/>
      </c>
      <c r="AT532">
        <f>HYPERLINK("http://www.worldcat.org/oclc/44516527","WorldCat Record")</f>
        <v/>
      </c>
      <c r="AU532" t="inlineStr">
        <is>
          <t>50589:eng</t>
        </is>
      </c>
      <c r="AV532" t="inlineStr">
        <is>
          <t>44516527</t>
        </is>
      </c>
      <c r="AW532" t="inlineStr">
        <is>
          <t>991003661739702656</t>
        </is>
      </c>
      <c r="AX532" t="inlineStr">
        <is>
          <t>991003661739702656</t>
        </is>
      </c>
      <c r="AY532" t="inlineStr">
        <is>
          <t>2260905020002656</t>
        </is>
      </c>
      <c r="AZ532" t="inlineStr">
        <is>
          <t>BOOK</t>
        </is>
      </c>
      <c r="BB532" t="inlineStr">
        <is>
          <t>9780801437212</t>
        </is>
      </c>
      <c r="BC532" t="inlineStr">
        <is>
          <t>32285004413364</t>
        </is>
      </c>
      <c r="BD532" t="inlineStr">
        <is>
          <t>893781250</t>
        </is>
      </c>
    </row>
    <row r="533">
      <c r="A533" t="inlineStr">
        <is>
          <t>No</t>
        </is>
      </c>
      <c r="B533" t="inlineStr">
        <is>
          <t>QL565 .A57 1969b</t>
        </is>
      </c>
      <c r="C533" t="inlineStr">
        <is>
          <t>0                      QL 0565000A  57          1969b</t>
        </is>
      </c>
      <c r="D533" t="inlineStr">
        <is>
          <t>The lives of wasps and bees [by] Sir Christopher Andrewes.</t>
        </is>
      </c>
      <c r="F533" t="inlineStr">
        <is>
          <t>No</t>
        </is>
      </c>
      <c r="G533" t="inlineStr">
        <is>
          <t>1</t>
        </is>
      </c>
      <c r="H533" t="inlineStr">
        <is>
          <t>No</t>
        </is>
      </c>
      <c r="I533" t="inlineStr">
        <is>
          <t>No</t>
        </is>
      </c>
      <c r="J533" t="inlineStr">
        <is>
          <t>0</t>
        </is>
      </c>
      <c r="K533" t="inlineStr">
        <is>
          <t>Andrewes, C. H. (Christopher Howard), Sir.</t>
        </is>
      </c>
      <c r="L533" t="inlineStr">
        <is>
          <t>New York, American Elsevier Pub. Co., 1969.</t>
        </is>
      </c>
      <c r="M533" t="inlineStr">
        <is>
          <t>1969</t>
        </is>
      </c>
      <c r="O533" t="inlineStr">
        <is>
          <t>eng</t>
        </is>
      </c>
      <c r="P533" t="inlineStr">
        <is>
          <t>nyu</t>
        </is>
      </c>
      <c r="R533" t="inlineStr">
        <is>
          <t xml:space="preserve">QL </t>
        </is>
      </c>
      <c r="S533" t="n">
        <v>6</v>
      </c>
      <c r="T533" t="n">
        <v>6</v>
      </c>
      <c r="U533" t="inlineStr">
        <is>
          <t>2006-11-09</t>
        </is>
      </c>
      <c r="V533" t="inlineStr">
        <is>
          <t>2006-11-09</t>
        </is>
      </c>
      <c r="W533" t="inlineStr">
        <is>
          <t>1997-07-24</t>
        </is>
      </c>
      <c r="X533" t="inlineStr">
        <is>
          <t>1997-07-24</t>
        </is>
      </c>
      <c r="Y533" t="n">
        <v>383</v>
      </c>
      <c r="Z533" t="n">
        <v>374</v>
      </c>
      <c r="AA533" t="n">
        <v>502</v>
      </c>
      <c r="AB533" t="n">
        <v>4</v>
      </c>
      <c r="AC533" t="n">
        <v>6</v>
      </c>
      <c r="AD533" t="n">
        <v>9</v>
      </c>
      <c r="AE533" t="n">
        <v>15</v>
      </c>
      <c r="AF533" t="n">
        <v>2</v>
      </c>
      <c r="AG533" t="n">
        <v>4</v>
      </c>
      <c r="AH533" t="n">
        <v>1</v>
      </c>
      <c r="AI533" t="n">
        <v>2</v>
      </c>
      <c r="AJ533" t="n">
        <v>3</v>
      </c>
      <c r="AK533" t="n">
        <v>8</v>
      </c>
      <c r="AL533" t="n">
        <v>3</v>
      </c>
      <c r="AM533" t="n">
        <v>4</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HYPERLINK("https://creighton-primo.hosted.exlibrisgroup.com/primo-explore/search?tab=default_tab&amp;search_scope=EVERYTHING&amp;vid=01CRU&amp;lang=en_US&amp;offset=0&amp;query=any,contains,991000126549702656","Catalog Record")</f>
        <v/>
      </c>
      <c r="AT533">
        <f>HYPERLINK("http://www.worldcat.org/oclc/52174","WorldCat Record")</f>
        <v/>
      </c>
      <c r="AU533" t="inlineStr">
        <is>
          <t>1173723:eng</t>
        </is>
      </c>
      <c r="AV533" t="inlineStr">
        <is>
          <t>52174</t>
        </is>
      </c>
      <c r="AW533" t="inlineStr">
        <is>
          <t>991000126549702656</t>
        </is>
      </c>
      <c r="AX533" t="inlineStr">
        <is>
          <t>991000126549702656</t>
        </is>
      </c>
      <c r="AY533" t="inlineStr">
        <is>
          <t>2259395120002656</t>
        </is>
      </c>
      <c r="AZ533" t="inlineStr">
        <is>
          <t>BOOK</t>
        </is>
      </c>
      <c r="BB533" t="inlineStr">
        <is>
          <t>9780444197337</t>
        </is>
      </c>
      <c r="BC533" t="inlineStr">
        <is>
          <t>32285002981206</t>
        </is>
      </c>
      <c r="BD533" t="inlineStr">
        <is>
          <t>893871434</t>
        </is>
      </c>
    </row>
    <row r="534">
      <c r="A534" t="inlineStr">
        <is>
          <t>No</t>
        </is>
      </c>
      <c r="B534" t="inlineStr">
        <is>
          <t>QL565 .E8</t>
        </is>
      </c>
      <c r="C534" t="inlineStr">
        <is>
          <t>0                      QL 0565000E  8</t>
        </is>
      </c>
      <c r="D534" t="inlineStr">
        <is>
          <t>Wasp farm.</t>
        </is>
      </c>
      <c r="F534" t="inlineStr">
        <is>
          <t>No</t>
        </is>
      </c>
      <c r="G534" t="inlineStr">
        <is>
          <t>1</t>
        </is>
      </c>
      <c r="H534" t="inlineStr">
        <is>
          <t>No</t>
        </is>
      </c>
      <c r="I534" t="inlineStr">
        <is>
          <t>No</t>
        </is>
      </c>
      <c r="J534" t="inlineStr">
        <is>
          <t>0</t>
        </is>
      </c>
      <c r="K534" t="inlineStr">
        <is>
          <t>Evans, Howard Ensign.</t>
        </is>
      </c>
      <c r="L534" t="inlineStr">
        <is>
          <t>Garden City, N.Y., Published for the American Museum of Natural History [by] the Natural History Press, 1963.</t>
        </is>
      </c>
      <c r="M534" t="inlineStr">
        <is>
          <t>1963</t>
        </is>
      </c>
      <c r="O534" t="inlineStr">
        <is>
          <t>eng</t>
        </is>
      </c>
      <c r="P534" t="inlineStr">
        <is>
          <t>nyu</t>
        </is>
      </c>
      <c r="R534" t="inlineStr">
        <is>
          <t xml:space="preserve">QL </t>
        </is>
      </c>
      <c r="S534" t="n">
        <v>2</v>
      </c>
      <c r="T534" t="n">
        <v>2</v>
      </c>
      <c r="U534" t="inlineStr">
        <is>
          <t>2004-02-21</t>
        </is>
      </c>
      <c r="V534" t="inlineStr">
        <is>
          <t>2004-02-21</t>
        </is>
      </c>
      <c r="W534" t="inlineStr">
        <is>
          <t>1997-07-24</t>
        </is>
      </c>
      <c r="X534" t="inlineStr">
        <is>
          <t>1997-07-24</t>
        </is>
      </c>
      <c r="Y534" t="n">
        <v>623</v>
      </c>
      <c r="Z534" t="n">
        <v>589</v>
      </c>
      <c r="AA534" t="n">
        <v>719</v>
      </c>
      <c r="AB534" t="n">
        <v>7</v>
      </c>
      <c r="AC534" t="n">
        <v>7</v>
      </c>
      <c r="AD534" t="n">
        <v>16</v>
      </c>
      <c r="AE534" t="n">
        <v>17</v>
      </c>
      <c r="AF534" t="n">
        <v>5</v>
      </c>
      <c r="AG534" t="n">
        <v>5</v>
      </c>
      <c r="AH534" t="n">
        <v>2</v>
      </c>
      <c r="AI534" t="n">
        <v>2</v>
      </c>
      <c r="AJ534" t="n">
        <v>7</v>
      </c>
      <c r="AK534" t="n">
        <v>8</v>
      </c>
      <c r="AL534" t="n">
        <v>5</v>
      </c>
      <c r="AM534" t="n">
        <v>5</v>
      </c>
      <c r="AN534" t="n">
        <v>0</v>
      </c>
      <c r="AO534" t="n">
        <v>0</v>
      </c>
      <c r="AP534" t="inlineStr">
        <is>
          <t>No</t>
        </is>
      </c>
      <c r="AQ534" t="inlineStr">
        <is>
          <t>No</t>
        </is>
      </c>
      <c r="AR534">
        <f>HYPERLINK("http://catalog.hathitrust.org/Record/001500506","HathiTrust Record")</f>
        <v/>
      </c>
      <c r="AS534">
        <f>HYPERLINK("https://creighton-primo.hosted.exlibrisgroup.com/primo-explore/search?tab=default_tab&amp;search_scope=EVERYTHING&amp;vid=01CRU&amp;lang=en_US&amp;offset=0&amp;query=any,contains,991001070109702656","Catalog Record")</f>
        <v/>
      </c>
      <c r="AT534">
        <f>HYPERLINK("http://www.worldcat.org/oclc/178586","WorldCat Record")</f>
        <v/>
      </c>
      <c r="AU534" t="inlineStr">
        <is>
          <t>1317029:eng</t>
        </is>
      </c>
      <c r="AV534" t="inlineStr">
        <is>
          <t>178586</t>
        </is>
      </c>
      <c r="AW534" t="inlineStr">
        <is>
          <t>991001070109702656</t>
        </is>
      </c>
      <c r="AX534" t="inlineStr">
        <is>
          <t>991001070109702656</t>
        </is>
      </c>
      <c r="AY534" t="inlineStr">
        <is>
          <t>2264372180002656</t>
        </is>
      </c>
      <c r="AZ534" t="inlineStr">
        <is>
          <t>BOOK</t>
        </is>
      </c>
      <c r="BC534" t="inlineStr">
        <is>
          <t>32285002981214</t>
        </is>
      </c>
      <c r="BD534" t="inlineStr">
        <is>
          <t>893784786</t>
        </is>
      </c>
    </row>
    <row r="535">
      <c r="A535" t="inlineStr">
        <is>
          <t>No</t>
        </is>
      </c>
      <c r="B535" t="inlineStr">
        <is>
          <t>QL568.A6 A35 1977</t>
        </is>
      </c>
      <c r="C535" t="inlineStr">
        <is>
          <t>0                      QL 0568000A  6                  A  35          1977</t>
        </is>
      </c>
      <c r="D535" t="inlineStr">
        <is>
          <t>African bees : taxonomy, biology and economic use : proceedings of an Apimondia international symposium held in Pretoria, South Africa from 17-19 November, 1976 / edited by David J. C. Fletcher.</t>
        </is>
      </c>
      <c r="F535" t="inlineStr">
        <is>
          <t>No</t>
        </is>
      </c>
      <c r="G535" t="inlineStr">
        <is>
          <t>1</t>
        </is>
      </c>
      <c r="H535" t="inlineStr">
        <is>
          <t>No</t>
        </is>
      </c>
      <c r="I535" t="inlineStr">
        <is>
          <t>No</t>
        </is>
      </c>
      <c r="J535" t="inlineStr">
        <is>
          <t>0</t>
        </is>
      </c>
      <c r="L535" t="inlineStr">
        <is>
          <t>Pretoria : Apimondia, 1977.</t>
        </is>
      </c>
      <c r="M535" t="inlineStr">
        <is>
          <t>1977</t>
        </is>
      </c>
      <c r="O535" t="inlineStr">
        <is>
          <t>eng</t>
        </is>
      </c>
      <c r="P535" t="inlineStr">
        <is>
          <t xml:space="preserve">sa </t>
        </is>
      </c>
      <c r="R535" t="inlineStr">
        <is>
          <t xml:space="preserve">QL </t>
        </is>
      </c>
      <c r="S535" t="n">
        <v>11</v>
      </c>
      <c r="T535" t="n">
        <v>11</v>
      </c>
      <c r="U535" t="inlineStr">
        <is>
          <t>2000-02-18</t>
        </is>
      </c>
      <c r="V535" t="inlineStr">
        <is>
          <t>2000-02-18</t>
        </is>
      </c>
      <c r="W535" t="inlineStr">
        <is>
          <t>1993-05-27</t>
        </is>
      </c>
      <c r="X535" t="inlineStr">
        <is>
          <t>1993-05-27</t>
        </is>
      </c>
      <c r="Y535" t="n">
        <v>27</v>
      </c>
      <c r="Z535" t="n">
        <v>14</v>
      </c>
      <c r="AA535" t="n">
        <v>16</v>
      </c>
      <c r="AB535" t="n">
        <v>1</v>
      </c>
      <c r="AC535" t="n">
        <v>1</v>
      </c>
      <c r="AD535" t="n">
        <v>1</v>
      </c>
      <c r="AE535" t="n">
        <v>1</v>
      </c>
      <c r="AF535" t="n">
        <v>0</v>
      </c>
      <c r="AG535" t="n">
        <v>0</v>
      </c>
      <c r="AH535" t="n">
        <v>1</v>
      </c>
      <c r="AI535" t="n">
        <v>1</v>
      </c>
      <c r="AJ535" t="n">
        <v>0</v>
      </c>
      <c r="AK535" t="n">
        <v>0</v>
      </c>
      <c r="AL535" t="n">
        <v>0</v>
      </c>
      <c r="AM535" t="n">
        <v>0</v>
      </c>
      <c r="AN535" t="n">
        <v>0</v>
      </c>
      <c r="AO535" t="n">
        <v>0</v>
      </c>
      <c r="AP535" t="inlineStr">
        <is>
          <t>No</t>
        </is>
      </c>
      <c r="AQ535" t="inlineStr">
        <is>
          <t>Yes</t>
        </is>
      </c>
      <c r="AR535">
        <f>HYPERLINK("http://catalog.hathitrust.org/Record/009108932","HathiTrust Record")</f>
        <v/>
      </c>
      <c r="AS535">
        <f>HYPERLINK("https://creighton-primo.hosted.exlibrisgroup.com/primo-explore/search?tab=default_tab&amp;search_scope=EVERYTHING&amp;vid=01CRU&amp;lang=en_US&amp;offset=0&amp;query=any,contains,991004626279702656","Catalog Record")</f>
        <v/>
      </c>
      <c r="AT535">
        <f>HYPERLINK("http://www.worldcat.org/oclc/4343156","WorldCat Record")</f>
        <v/>
      </c>
      <c r="AU535" t="inlineStr">
        <is>
          <t>915733292:eng</t>
        </is>
      </c>
      <c r="AV535" t="inlineStr">
        <is>
          <t>4343156</t>
        </is>
      </c>
      <c r="AW535" t="inlineStr">
        <is>
          <t>991004626279702656</t>
        </is>
      </c>
      <c r="AX535" t="inlineStr">
        <is>
          <t>991004626279702656</t>
        </is>
      </c>
      <c r="AY535" t="inlineStr">
        <is>
          <t>2267740880002656</t>
        </is>
      </c>
      <c r="AZ535" t="inlineStr">
        <is>
          <t>BOOK</t>
        </is>
      </c>
      <c r="BC535" t="inlineStr">
        <is>
          <t>32285001687630</t>
        </is>
      </c>
      <c r="BD535" t="inlineStr">
        <is>
          <t>893325575</t>
        </is>
      </c>
    </row>
    <row r="536">
      <c r="A536" t="inlineStr">
        <is>
          <t>No</t>
        </is>
      </c>
      <c r="B536" t="inlineStr">
        <is>
          <t>QL568.A6 A351 1991</t>
        </is>
      </c>
      <c r="C536" t="inlineStr">
        <is>
          <t>0                      QL 0568000A  6                  A  351         1991</t>
        </is>
      </c>
      <c r="D536" t="inlineStr">
        <is>
          <t>The "African" honey bee / edited by Marla Spivak, David J.C. Fletcher, and Michael D. Breed.</t>
        </is>
      </c>
      <c r="F536" t="inlineStr">
        <is>
          <t>No</t>
        </is>
      </c>
      <c r="G536" t="inlineStr">
        <is>
          <t>1</t>
        </is>
      </c>
      <c r="H536" t="inlineStr">
        <is>
          <t>No</t>
        </is>
      </c>
      <c r="I536" t="inlineStr">
        <is>
          <t>No</t>
        </is>
      </c>
      <c r="J536" t="inlineStr">
        <is>
          <t>0</t>
        </is>
      </c>
      <c r="L536" t="inlineStr">
        <is>
          <t>Boulder : Westview Press, 1991.</t>
        </is>
      </c>
      <c r="M536" t="inlineStr">
        <is>
          <t>1991</t>
        </is>
      </c>
      <c r="O536" t="inlineStr">
        <is>
          <t>eng</t>
        </is>
      </c>
      <c r="P536" t="inlineStr">
        <is>
          <t>cou</t>
        </is>
      </c>
      <c r="Q536" t="inlineStr">
        <is>
          <t>Westview studies in insect biology</t>
        </is>
      </c>
      <c r="R536" t="inlineStr">
        <is>
          <t xml:space="preserve">QL </t>
        </is>
      </c>
      <c r="S536" t="n">
        <v>21</v>
      </c>
      <c r="T536" t="n">
        <v>21</v>
      </c>
      <c r="U536" t="inlineStr">
        <is>
          <t>2007-02-24</t>
        </is>
      </c>
      <c r="V536" t="inlineStr">
        <is>
          <t>2007-02-24</t>
        </is>
      </c>
      <c r="W536" t="inlineStr">
        <is>
          <t>1991-02-12</t>
        </is>
      </c>
      <c r="X536" t="inlineStr">
        <is>
          <t>1991-02-12</t>
        </is>
      </c>
      <c r="Y536" t="n">
        <v>359</v>
      </c>
      <c r="Z536" t="n">
        <v>312</v>
      </c>
      <c r="AA536" t="n">
        <v>337</v>
      </c>
      <c r="AB536" t="n">
        <v>2</v>
      </c>
      <c r="AC536" t="n">
        <v>2</v>
      </c>
      <c r="AD536" t="n">
        <v>11</v>
      </c>
      <c r="AE536" t="n">
        <v>11</v>
      </c>
      <c r="AF536" t="n">
        <v>4</v>
      </c>
      <c r="AG536" t="n">
        <v>4</v>
      </c>
      <c r="AH536" t="n">
        <v>4</v>
      </c>
      <c r="AI536" t="n">
        <v>4</v>
      </c>
      <c r="AJ536" t="n">
        <v>5</v>
      </c>
      <c r="AK536" t="n">
        <v>5</v>
      </c>
      <c r="AL536" t="n">
        <v>1</v>
      </c>
      <c r="AM536" t="n">
        <v>1</v>
      </c>
      <c r="AN536" t="n">
        <v>0</v>
      </c>
      <c r="AO536" t="n">
        <v>0</v>
      </c>
      <c r="AP536" t="inlineStr">
        <is>
          <t>No</t>
        </is>
      </c>
      <c r="AQ536" t="inlineStr">
        <is>
          <t>Yes</t>
        </is>
      </c>
      <c r="AR536">
        <f>HYPERLINK("http://catalog.hathitrust.org/Record/002425841","HathiTrust Record")</f>
        <v/>
      </c>
      <c r="AS536">
        <f>HYPERLINK("https://creighton-primo.hosted.exlibrisgroup.com/primo-explore/search?tab=default_tab&amp;search_scope=EVERYTHING&amp;vid=01CRU&amp;lang=en_US&amp;offset=0&amp;query=any,contains,991000988269702656","Catalog Record")</f>
        <v/>
      </c>
      <c r="AT536">
        <f>HYPERLINK("http://www.worldcat.org/oclc/15084122","WorldCat Record")</f>
        <v/>
      </c>
      <c r="AU536" t="inlineStr">
        <is>
          <t>475558952:eng</t>
        </is>
      </c>
      <c r="AV536" t="inlineStr">
        <is>
          <t>15084122</t>
        </is>
      </c>
      <c r="AW536" t="inlineStr">
        <is>
          <t>991000988269702656</t>
        </is>
      </c>
      <c r="AX536" t="inlineStr">
        <is>
          <t>991000988269702656</t>
        </is>
      </c>
      <c r="AY536" t="inlineStr">
        <is>
          <t>2255324590002656</t>
        </is>
      </c>
      <c r="AZ536" t="inlineStr">
        <is>
          <t>BOOK</t>
        </is>
      </c>
      <c r="BB536" t="inlineStr">
        <is>
          <t>9780813372099</t>
        </is>
      </c>
      <c r="BC536" t="inlineStr">
        <is>
          <t>32285000464346</t>
        </is>
      </c>
      <c r="BD536" t="inlineStr">
        <is>
          <t>893784714</t>
        </is>
      </c>
    </row>
    <row r="537">
      <c r="A537" t="inlineStr">
        <is>
          <t>No</t>
        </is>
      </c>
      <c r="B537" t="inlineStr">
        <is>
          <t>QL568.A6 B6</t>
        </is>
      </c>
      <c r="C537" t="inlineStr">
        <is>
          <t>0                      QL 0568000A  6                  B  6</t>
        </is>
      </c>
      <c r="D537" t="inlineStr">
        <is>
          <t>The evolution of parasitism among bees [by] George E. Bohart.</t>
        </is>
      </c>
      <c r="F537" t="inlineStr">
        <is>
          <t>No</t>
        </is>
      </c>
      <c r="G537" t="inlineStr">
        <is>
          <t>1</t>
        </is>
      </c>
      <c r="H537" t="inlineStr">
        <is>
          <t>No</t>
        </is>
      </c>
      <c r="I537" t="inlineStr">
        <is>
          <t>No</t>
        </is>
      </c>
      <c r="J537" t="inlineStr">
        <is>
          <t>0</t>
        </is>
      </c>
      <c r="K537" t="inlineStr">
        <is>
          <t>Bohart, George E., 1916-1998.</t>
        </is>
      </c>
      <c r="L537" t="inlineStr">
        <is>
          <t>Logan, Utah State University, 1970.</t>
        </is>
      </c>
      <c r="M537" t="inlineStr">
        <is>
          <t>1970</t>
        </is>
      </c>
      <c r="O537" t="inlineStr">
        <is>
          <t>eng</t>
        </is>
      </c>
      <c r="P537" t="inlineStr">
        <is>
          <t xml:space="preserve">xx </t>
        </is>
      </c>
      <c r="Q537" t="inlineStr">
        <is>
          <t>Forty-first honor lecture</t>
        </is>
      </c>
      <c r="R537" t="inlineStr">
        <is>
          <t xml:space="preserve">QL </t>
        </is>
      </c>
      <c r="S537" t="n">
        <v>4</v>
      </c>
      <c r="T537" t="n">
        <v>4</v>
      </c>
      <c r="U537" t="inlineStr">
        <is>
          <t>2007-04-11</t>
        </is>
      </c>
      <c r="V537" t="inlineStr">
        <is>
          <t>2007-04-11</t>
        </is>
      </c>
      <c r="W537" t="inlineStr">
        <is>
          <t>1997-07-24</t>
        </is>
      </c>
      <c r="X537" t="inlineStr">
        <is>
          <t>1997-07-24</t>
        </is>
      </c>
      <c r="Y537" t="n">
        <v>97</v>
      </c>
      <c r="Z537" t="n">
        <v>96</v>
      </c>
      <c r="AA537" t="n">
        <v>98</v>
      </c>
      <c r="AB537" t="n">
        <v>1</v>
      </c>
      <c r="AC537" t="n">
        <v>1</v>
      </c>
      <c r="AD537" t="n">
        <v>6</v>
      </c>
      <c r="AE537" t="n">
        <v>6</v>
      </c>
      <c r="AF537" t="n">
        <v>1</v>
      </c>
      <c r="AG537" t="n">
        <v>1</v>
      </c>
      <c r="AH537" t="n">
        <v>1</v>
      </c>
      <c r="AI537" t="n">
        <v>1</v>
      </c>
      <c r="AJ537" t="n">
        <v>4</v>
      </c>
      <c r="AK537" t="n">
        <v>4</v>
      </c>
      <c r="AL537" t="n">
        <v>0</v>
      </c>
      <c r="AM537" t="n">
        <v>0</v>
      </c>
      <c r="AN537" t="n">
        <v>0</v>
      </c>
      <c r="AO537" t="n">
        <v>0</v>
      </c>
      <c r="AP537" t="inlineStr">
        <is>
          <t>No</t>
        </is>
      </c>
      <c r="AQ537" t="inlineStr">
        <is>
          <t>Yes</t>
        </is>
      </c>
      <c r="AR537">
        <f>HYPERLINK("http://catalog.hathitrust.org/Record/000939164","HathiTrust Record")</f>
        <v/>
      </c>
      <c r="AS537">
        <f>HYPERLINK("https://creighton-primo.hosted.exlibrisgroup.com/primo-explore/search?tab=default_tab&amp;search_scope=EVERYTHING&amp;vid=01CRU&amp;lang=en_US&amp;offset=0&amp;query=any,contains,991002709239702656","Catalog Record")</f>
        <v/>
      </c>
      <c r="AT537">
        <f>HYPERLINK("http://www.worldcat.org/oclc/408514","WorldCat Record")</f>
        <v/>
      </c>
      <c r="AU537" t="inlineStr">
        <is>
          <t>1443379:eng</t>
        </is>
      </c>
      <c r="AV537" t="inlineStr">
        <is>
          <t>408514</t>
        </is>
      </c>
      <c r="AW537" t="inlineStr">
        <is>
          <t>991002709239702656</t>
        </is>
      </c>
      <c r="AX537" t="inlineStr">
        <is>
          <t>991002709239702656</t>
        </is>
      </c>
      <c r="AY537" t="inlineStr">
        <is>
          <t>2264102900002656</t>
        </is>
      </c>
      <c r="AZ537" t="inlineStr">
        <is>
          <t>BOOK</t>
        </is>
      </c>
      <c r="BC537" t="inlineStr">
        <is>
          <t>32285002981230</t>
        </is>
      </c>
      <c r="BD537" t="inlineStr">
        <is>
          <t>893591673</t>
        </is>
      </c>
    </row>
    <row r="538">
      <c r="A538" t="inlineStr">
        <is>
          <t>No</t>
        </is>
      </c>
      <c r="B538" t="inlineStr">
        <is>
          <t>QL568.A6 F2</t>
        </is>
      </c>
      <c r="C538" t="inlineStr">
        <is>
          <t>0                      QL 0568000A  6                  F  2</t>
        </is>
      </c>
      <c r="D538" t="inlineStr">
        <is>
          <t>The mason-bees, by J. Henri Fabre; tr. by Alexander Teixeira de Mattos ...</t>
        </is>
      </c>
      <c r="F538" t="inlineStr">
        <is>
          <t>No</t>
        </is>
      </c>
      <c r="G538" t="inlineStr">
        <is>
          <t>1</t>
        </is>
      </c>
      <c r="H538" t="inlineStr">
        <is>
          <t>No</t>
        </is>
      </c>
      <c r="I538" t="inlineStr">
        <is>
          <t>No</t>
        </is>
      </c>
      <c r="J538" t="inlineStr">
        <is>
          <t>0</t>
        </is>
      </c>
      <c r="K538" t="inlineStr">
        <is>
          <t>Fabre, Jean-Henri, 1823-1915.</t>
        </is>
      </c>
      <c r="L538" t="inlineStr">
        <is>
          <t>New York, Dodd, Mead and Company, 1914.</t>
        </is>
      </c>
      <c r="M538" t="inlineStr">
        <is>
          <t>1914</t>
        </is>
      </c>
      <c r="O538" t="inlineStr">
        <is>
          <t>eng</t>
        </is>
      </c>
      <c r="P538" t="inlineStr">
        <is>
          <t>nyu</t>
        </is>
      </c>
      <c r="R538" t="inlineStr">
        <is>
          <t xml:space="preserve">QL </t>
        </is>
      </c>
      <c r="S538" t="n">
        <v>1</v>
      </c>
      <c r="T538" t="n">
        <v>1</v>
      </c>
      <c r="U538" t="inlineStr">
        <is>
          <t>2007-02-24</t>
        </is>
      </c>
      <c r="V538" t="inlineStr">
        <is>
          <t>2007-02-24</t>
        </is>
      </c>
      <c r="W538" t="inlineStr">
        <is>
          <t>1997-07-24</t>
        </is>
      </c>
      <c r="X538" t="inlineStr">
        <is>
          <t>1997-07-24</t>
        </is>
      </c>
      <c r="Y538" t="n">
        <v>298</v>
      </c>
      <c r="Z538" t="n">
        <v>273</v>
      </c>
      <c r="AA538" t="n">
        <v>529</v>
      </c>
      <c r="AB538" t="n">
        <v>3</v>
      </c>
      <c r="AC538" t="n">
        <v>6</v>
      </c>
      <c r="AD538" t="n">
        <v>15</v>
      </c>
      <c r="AE538" t="n">
        <v>30</v>
      </c>
      <c r="AF538" t="n">
        <v>5</v>
      </c>
      <c r="AG538" t="n">
        <v>10</v>
      </c>
      <c r="AH538" t="n">
        <v>2</v>
      </c>
      <c r="AI538" t="n">
        <v>6</v>
      </c>
      <c r="AJ538" t="n">
        <v>10</v>
      </c>
      <c r="AK538" t="n">
        <v>18</v>
      </c>
      <c r="AL538" t="n">
        <v>2</v>
      </c>
      <c r="AM538" t="n">
        <v>5</v>
      </c>
      <c r="AN538" t="n">
        <v>0</v>
      </c>
      <c r="AO538" t="n">
        <v>0</v>
      </c>
      <c r="AP538" t="inlineStr">
        <is>
          <t>Yes</t>
        </is>
      </c>
      <c r="AQ538" t="inlineStr">
        <is>
          <t>No</t>
        </is>
      </c>
      <c r="AR538">
        <f>HYPERLINK("http://catalog.hathitrust.org/Record/001500529","HathiTrust Record")</f>
        <v/>
      </c>
      <c r="AS538">
        <f>HYPERLINK("https://creighton-primo.hosted.exlibrisgroup.com/primo-explore/search?tab=default_tab&amp;search_scope=EVERYTHING&amp;vid=01CRU&amp;lang=en_US&amp;offset=0&amp;query=any,contains,991003533549702656","Catalog Record")</f>
        <v/>
      </c>
      <c r="AT538">
        <f>HYPERLINK("http://www.worldcat.org/oclc/1096328","WorldCat Record")</f>
        <v/>
      </c>
      <c r="AU538" t="inlineStr">
        <is>
          <t>2863470976:eng</t>
        </is>
      </c>
      <c r="AV538" t="inlineStr">
        <is>
          <t>1096328</t>
        </is>
      </c>
      <c r="AW538" t="inlineStr">
        <is>
          <t>991003533549702656</t>
        </is>
      </c>
      <c r="AX538" t="inlineStr">
        <is>
          <t>991003533549702656</t>
        </is>
      </c>
      <c r="AY538" t="inlineStr">
        <is>
          <t>2268500440002656</t>
        </is>
      </c>
      <c r="AZ538" t="inlineStr">
        <is>
          <t>BOOK</t>
        </is>
      </c>
      <c r="BC538" t="inlineStr">
        <is>
          <t>32285002981255</t>
        </is>
      </c>
      <c r="BD538" t="inlineStr">
        <is>
          <t>893435094</t>
        </is>
      </c>
    </row>
    <row r="539">
      <c r="A539" t="inlineStr">
        <is>
          <t>No</t>
        </is>
      </c>
      <c r="B539" t="inlineStr">
        <is>
          <t>QL568.A6 M3 1967</t>
        </is>
      </c>
      <c r="C539" t="inlineStr">
        <is>
          <t>0                      QL 0568000A  6                  M  3           1967</t>
        </is>
      </c>
      <c r="D539" t="inlineStr">
        <is>
          <t>The life of the bee / by Maurice Maeterlinck ; tr. by Alfred Sutro.</t>
        </is>
      </c>
      <c r="F539" t="inlineStr">
        <is>
          <t>No</t>
        </is>
      </c>
      <c r="G539" t="inlineStr">
        <is>
          <t>1</t>
        </is>
      </c>
      <c r="H539" t="inlineStr">
        <is>
          <t>No</t>
        </is>
      </c>
      <c r="I539" t="inlineStr">
        <is>
          <t>No</t>
        </is>
      </c>
      <c r="J539" t="inlineStr">
        <is>
          <t>0</t>
        </is>
      </c>
      <c r="K539" t="inlineStr">
        <is>
          <t>Maeterlinck, Maurice, 1862-1949.</t>
        </is>
      </c>
      <c r="L539" t="inlineStr">
        <is>
          <t>New York : Dodd, Mead and company, 1967, c1928.</t>
        </is>
      </c>
      <c r="M539" t="inlineStr">
        <is>
          <t>1967</t>
        </is>
      </c>
      <c r="O539" t="inlineStr">
        <is>
          <t>eng</t>
        </is>
      </c>
      <c r="P539" t="inlineStr">
        <is>
          <t>nyu</t>
        </is>
      </c>
      <c r="R539" t="inlineStr">
        <is>
          <t xml:space="preserve">QL </t>
        </is>
      </c>
      <c r="S539" t="n">
        <v>3</v>
      </c>
      <c r="T539" t="n">
        <v>3</v>
      </c>
      <c r="U539" t="inlineStr">
        <is>
          <t>2004-02-23</t>
        </is>
      </c>
      <c r="V539" t="inlineStr">
        <is>
          <t>2004-02-23</t>
        </is>
      </c>
      <c r="W539" t="inlineStr">
        <is>
          <t>1994-03-01</t>
        </is>
      </c>
      <c r="X539" t="inlineStr">
        <is>
          <t>1994-03-01</t>
        </is>
      </c>
      <c r="Y539" t="n">
        <v>58</v>
      </c>
      <c r="Z539" t="n">
        <v>58</v>
      </c>
      <c r="AA539" t="n">
        <v>1548</v>
      </c>
      <c r="AB539" t="n">
        <v>2</v>
      </c>
      <c r="AC539" t="n">
        <v>9</v>
      </c>
      <c r="AD539" t="n">
        <v>3</v>
      </c>
      <c r="AE539" t="n">
        <v>46</v>
      </c>
      <c r="AF539" t="n">
        <v>1</v>
      </c>
      <c r="AG539" t="n">
        <v>22</v>
      </c>
      <c r="AH539" t="n">
        <v>0</v>
      </c>
      <c r="AI539" t="n">
        <v>10</v>
      </c>
      <c r="AJ539" t="n">
        <v>1</v>
      </c>
      <c r="AK539" t="n">
        <v>20</v>
      </c>
      <c r="AL539" t="n">
        <v>1</v>
      </c>
      <c r="AM539" t="n">
        <v>5</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HYPERLINK("https://creighton-primo.hosted.exlibrisgroup.com/primo-explore/search?tab=default_tab&amp;search_scope=EVERYTHING&amp;vid=01CRU&amp;lang=en_US&amp;offset=0&amp;query=any,contains,991004962549702656","Catalog Record")</f>
        <v/>
      </c>
      <c r="AT539">
        <f>HYPERLINK("http://www.worldcat.org/oclc/6318188","WorldCat Record")</f>
        <v/>
      </c>
      <c r="AU539" t="inlineStr">
        <is>
          <t>1654131:eng</t>
        </is>
      </c>
      <c r="AV539" t="inlineStr">
        <is>
          <t>6318188</t>
        </is>
      </c>
      <c r="AW539" t="inlineStr">
        <is>
          <t>991004962549702656</t>
        </is>
      </c>
      <c r="AX539" t="inlineStr">
        <is>
          <t>991004962549702656</t>
        </is>
      </c>
      <c r="AY539" t="inlineStr">
        <is>
          <t>2261632570002656</t>
        </is>
      </c>
      <c r="AZ539" t="inlineStr">
        <is>
          <t>BOOK</t>
        </is>
      </c>
      <c r="BC539" t="inlineStr">
        <is>
          <t>32285001850766</t>
        </is>
      </c>
      <c r="BD539" t="inlineStr">
        <is>
          <t>893901939</t>
        </is>
      </c>
    </row>
    <row r="540">
      <c r="A540" t="inlineStr">
        <is>
          <t>No</t>
        </is>
      </c>
      <c r="B540" t="inlineStr">
        <is>
          <t>QL568.A6 M557</t>
        </is>
      </c>
      <c r="C540" t="inlineStr">
        <is>
          <t>0                      QL 0568000A  6                  M  557</t>
        </is>
      </c>
      <c r="D540" t="inlineStr">
        <is>
          <t>The social behavior of the bees : a comparative study / by Charles D. Michener.</t>
        </is>
      </c>
      <c r="F540" t="inlineStr">
        <is>
          <t>No</t>
        </is>
      </c>
      <c r="G540" t="inlineStr">
        <is>
          <t>2</t>
        </is>
      </c>
      <c r="H540" t="inlineStr">
        <is>
          <t>No</t>
        </is>
      </c>
      <c r="I540" t="inlineStr">
        <is>
          <t>No</t>
        </is>
      </c>
      <c r="J540" t="inlineStr">
        <is>
          <t>0</t>
        </is>
      </c>
      <c r="K540" t="inlineStr">
        <is>
          <t>Michener, Charles D. (Charles Duncan), 1918-2015.</t>
        </is>
      </c>
      <c r="L540" t="inlineStr">
        <is>
          <t>Cambridge, Mass. : Belknap Press of Harvard University Press, 1974.</t>
        </is>
      </c>
      <c r="M540" t="inlineStr">
        <is>
          <t>1974</t>
        </is>
      </c>
      <c r="O540" t="inlineStr">
        <is>
          <t>eng</t>
        </is>
      </c>
      <c r="P540" t="inlineStr">
        <is>
          <t>mau</t>
        </is>
      </c>
      <c r="R540" t="inlineStr">
        <is>
          <t xml:space="preserve">QL </t>
        </is>
      </c>
      <c r="S540" t="n">
        <v>31</v>
      </c>
      <c r="T540" t="n">
        <v>31</v>
      </c>
      <c r="U540" t="inlineStr">
        <is>
          <t>2008-02-09</t>
        </is>
      </c>
      <c r="V540" t="inlineStr">
        <is>
          <t>2008-02-09</t>
        </is>
      </c>
      <c r="W540" t="inlineStr">
        <is>
          <t>1992-10-20</t>
        </is>
      </c>
      <c r="X540" t="inlineStr">
        <is>
          <t>1992-10-20</t>
        </is>
      </c>
      <c r="Y540" t="n">
        <v>973</v>
      </c>
      <c r="Z540" t="n">
        <v>807</v>
      </c>
      <c r="AA540" t="n">
        <v>810</v>
      </c>
      <c r="AB540" t="n">
        <v>8</v>
      </c>
      <c r="AC540" t="n">
        <v>8</v>
      </c>
      <c r="AD540" t="n">
        <v>29</v>
      </c>
      <c r="AE540" t="n">
        <v>29</v>
      </c>
      <c r="AF540" t="n">
        <v>10</v>
      </c>
      <c r="AG540" t="n">
        <v>10</v>
      </c>
      <c r="AH540" t="n">
        <v>6</v>
      </c>
      <c r="AI540" t="n">
        <v>6</v>
      </c>
      <c r="AJ540" t="n">
        <v>14</v>
      </c>
      <c r="AK540" t="n">
        <v>14</v>
      </c>
      <c r="AL540" t="n">
        <v>6</v>
      </c>
      <c r="AM540" t="n">
        <v>6</v>
      </c>
      <c r="AN540" t="n">
        <v>0</v>
      </c>
      <c r="AO540" t="n">
        <v>0</v>
      </c>
      <c r="AP540" t="inlineStr">
        <is>
          <t>No</t>
        </is>
      </c>
      <c r="AQ540" t="inlineStr">
        <is>
          <t>Yes</t>
        </is>
      </c>
      <c r="AR540">
        <f>HYPERLINK("http://catalog.hathitrust.org/Record/000230495","HathiTrust Record")</f>
        <v/>
      </c>
      <c r="AS540">
        <f>HYPERLINK("https://creighton-primo.hosted.exlibrisgroup.com/primo-explore/search?tab=default_tab&amp;search_scope=EVERYTHING&amp;vid=01CRU&amp;lang=en_US&amp;offset=0&amp;query=any,contains,991003467329702656","Catalog Record")</f>
        <v/>
      </c>
      <c r="AT540">
        <f>HYPERLINK("http://www.worldcat.org/oclc/1009131","WorldCat Record")</f>
        <v/>
      </c>
      <c r="AU540" t="inlineStr">
        <is>
          <t>796113744:eng</t>
        </is>
      </c>
      <c r="AV540" t="inlineStr">
        <is>
          <t>1009131</t>
        </is>
      </c>
      <c r="AW540" t="inlineStr">
        <is>
          <t>991003467329702656</t>
        </is>
      </c>
      <c r="AX540" t="inlineStr">
        <is>
          <t>991003467329702656</t>
        </is>
      </c>
      <c r="AY540" t="inlineStr">
        <is>
          <t>2263683830002656</t>
        </is>
      </c>
      <c r="AZ540" t="inlineStr">
        <is>
          <t>BOOK</t>
        </is>
      </c>
      <c r="BB540" t="inlineStr">
        <is>
          <t>9780674811751</t>
        </is>
      </c>
      <c r="BC540" t="inlineStr">
        <is>
          <t>32285001351914</t>
        </is>
      </c>
      <c r="BD540" t="inlineStr">
        <is>
          <t>893228081</t>
        </is>
      </c>
    </row>
    <row r="541">
      <c r="A541" t="inlineStr">
        <is>
          <t>No</t>
        </is>
      </c>
      <c r="B541" t="inlineStr">
        <is>
          <t>QL568.A6 P79 1987</t>
        </is>
      </c>
      <c r="C541" t="inlineStr">
        <is>
          <t>0                      QL 0568000A  6                  P  79          1987</t>
        </is>
      </c>
      <c r="D541" t="inlineStr">
        <is>
          <t>Bumblebees / Oliver E. Prŷs-Jones, Sarah A. Corbet ; with illustrations by Anthony J. Hopkins.</t>
        </is>
      </c>
      <c r="F541" t="inlineStr">
        <is>
          <t>No</t>
        </is>
      </c>
      <c r="G541" t="inlineStr">
        <is>
          <t>1</t>
        </is>
      </c>
      <c r="H541" t="inlineStr">
        <is>
          <t>No</t>
        </is>
      </c>
      <c r="I541" t="inlineStr">
        <is>
          <t>No</t>
        </is>
      </c>
      <c r="J541" t="inlineStr">
        <is>
          <t>0</t>
        </is>
      </c>
      <c r="K541" t="inlineStr">
        <is>
          <t>Prŷs-Jones, Oliver E.</t>
        </is>
      </c>
      <c r="L541" t="inlineStr">
        <is>
          <t>Cambridge [Cambridgeshire] ; New York : Cambridge University Press, c1987.</t>
        </is>
      </c>
      <c r="M541" t="inlineStr">
        <is>
          <t>1987</t>
        </is>
      </c>
      <c r="O541" t="inlineStr">
        <is>
          <t>eng</t>
        </is>
      </c>
      <c r="P541" t="inlineStr">
        <is>
          <t>enk</t>
        </is>
      </c>
      <c r="Q541" t="inlineStr">
        <is>
          <t>Naturalists' handbooks ; 6</t>
        </is>
      </c>
      <c r="R541" t="inlineStr">
        <is>
          <t xml:space="preserve">QL </t>
        </is>
      </c>
      <c r="S541" t="n">
        <v>5</v>
      </c>
      <c r="T541" t="n">
        <v>5</v>
      </c>
      <c r="U541" t="inlineStr">
        <is>
          <t>2004-12-06</t>
        </is>
      </c>
      <c r="V541" t="inlineStr">
        <is>
          <t>2004-12-06</t>
        </is>
      </c>
      <c r="W541" t="inlineStr">
        <is>
          <t>1993-05-27</t>
        </is>
      </c>
      <c r="X541" t="inlineStr">
        <is>
          <t>1993-05-27</t>
        </is>
      </c>
      <c r="Y541" t="n">
        <v>201</v>
      </c>
      <c r="Z541" t="n">
        <v>116</v>
      </c>
      <c r="AA541" t="n">
        <v>124</v>
      </c>
      <c r="AB541" t="n">
        <v>1</v>
      </c>
      <c r="AC541" t="n">
        <v>1</v>
      </c>
      <c r="AD541" t="n">
        <v>2</v>
      </c>
      <c r="AE541" t="n">
        <v>2</v>
      </c>
      <c r="AF541" t="n">
        <v>1</v>
      </c>
      <c r="AG541" t="n">
        <v>1</v>
      </c>
      <c r="AH541" t="n">
        <v>1</v>
      </c>
      <c r="AI541" t="n">
        <v>1</v>
      </c>
      <c r="AJ541" t="n">
        <v>1</v>
      </c>
      <c r="AK541" t="n">
        <v>1</v>
      </c>
      <c r="AL541" t="n">
        <v>0</v>
      </c>
      <c r="AM541" t="n">
        <v>0</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HYPERLINK("https://creighton-primo.hosted.exlibrisgroup.com/primo-explore/search?tab=default_tab&amp;search_scope=EVERYTHING&amp;vid=01CRU&amp;lang=en_US&amp;offset=0&amp;query=any,contains,991000836829702656","Catalog Record")</f>
        <v/>
      </c>
      <c r="AT541">
        <f>HYPERLINK("http://www.worldcat.org/oclc/13498017","WorldCat Record")</f>
        <v/>
      </c>
      <c r="AU541" t="inlineStr">
        <is>
          <t>7932979:eng</t>
        </is>
      </c>
      <c r="AV541" t="inlineStr">
        <is>
          <t>13498017</t>
        </is>
      </c>
      <c r="AW541" t="inlineStr">
        <is>
          <t>991000836829702656</t>
        </is>
      </c>
      <c r="AX541" t="inlineStr">
        <is>
          <t>991000836829702656</t>
        </is>
      </c>
      <c r="AY541" t="inlineStr">
        <is>
          <t>2263962190002656</t>
        </is>
      </c>
      <c r="AZ541" t="inlineStr">
        <is>
          <t>BOOK</t>
        </is>
      </c>
      <c r="BB541" t="inlineStr">
        <is>
          <t>9780521277815</t>
        </is>
      </c>
      <c r="BC541" t="inlineStr">
        <is>
          <t>32285001687663</t>
        </is>
      </c>
      <c r="BD541" t="inlineStr">
        <is>
          <t>893772019</t>
        </is>
      </c>
    </row>
    <row r="542">
      <c r="A542" t="inlineStr">
        <is>
          <t>No</t>
        </is>
      </c>
      <c r="B542" t="inlineStr">
        <is>
          <t>QL568.A6 W46 1990</t>
        </is>
      </c>
      <c r="C542" t="inlineStr">
        <is>
          <t>0                      QL 0568000A  6                  W  46          1990</t>
        </is>
      </c>
      <c r="D542" t="inlineStr">
        <is>
          <t>Anatomy of a controversy : the question of a "language" among bees / Adrian M. Wenner, Patrick H. Wells.</t>
        </is>
      </c>
      <c r="F542" t="inlineStr">
        <is>
          <t>No</t>
        </is>
      </c>
      <c r="G542" t="inlineStr">
        <is>
          <t>1</t>
        </is>
      </c>
      <c r="H542" t="inlineStr">
        <is>
          <t>No</t>
        </is>
      </c>
      <c r="I542" t="inlineStr">
        <is>
          <t>No</t>
        </is>
      </c>
      <c r="J542" t="inlineStr">
        <is>
          <t>0</t>
        </is>
      </c>
      <c r="K542" t="inlineStr">
        <is>
          <t>Wenner, Adrian M.</t>
        </is>
      </c>
      <c r="L542" t="inlineStr">
        <is>
          <t>New York : Columbia University Press, c1990.</t>
        </is>
      </c>
      <c r="M542" t="inlineStr">
        <is>
          <t>1990</t>
        </is>
      </c>
      <c r="O542" t="inlineStr">
        <is>
          <t>eng</t>
        </is>
      </c>
      <c r="P542" t="inlineStr">
        <is>
          <t>nyu</t>
        </is>
      </c>
      <c r="R542" t="inlineStr">
        <is>
          <t xml:space="preserve">QL </t>
        </is>
      </c>
      <c r="S542" t="n">
        <v>19</v>
      </c>
      <c r="T542" t="n">
        <v>19</v>
      </c>
      <c r="U542" t="inlineStr">
        <is>
          <t>2008-02-14</t>
        </is>
      </c>
      <c r="V542" t="inlineStr">
        <is>
          <t>2008-02-14</t>
        </is>
      </c>
      <c r="W542" t="inlineStr">
        <is>
          <t>1992-10-19</t>
        </is>
      </c>
      <c r="X542" t="inlineStr">
        <is>
          <t>1992-10-19</t>
        </is>
      </c>
      <c r="Y542" t="n">
        <v>382</v>
      </c>
      <c r="Z542" t="n">
        <v>300</v>
      </c>
      <c r="AA542" t="n">
        <v>560</v>
      </c>
      <c r="AB542" t="n">
        <v>2</v>
      </c>
      <c r="AC542" t="n">
        <v>3</v>
      </c>
      <c r="AD542" t="n">
        <v>11</v>
      </c>
      <c r="AE542" t="n">
        <v>15</v>
      </c>
      <c r="AF542" t="n">
        <v>3</v>
      </c>
      <c r="AG542" t="n">
        <v>6</v>
      </c>
      <c r="AH542" t="n">
        <v>3</v>
      </c>
      <c r="AI542" t="n">
        <v>4</v>
      </c>
      <c r="AJ542" t="n">
        <v>8</v>
      </c>
      <c r="AK542" t="n">
        <v>10</v>
      </c>
      <c r="AL542" t="n">
        <v>1</v>
      </c>
      <c r="AM542" t="n">
        <v>1</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HYPERLINK("https://creighton-primo.hosted.exlibrisgroup.com/primo-explore/search?tab=default_tab&amp;search_scope=EVERYTHING&amp;vid=01CRU&amp;lang=en_US&amp;offset=0&amp;query=any,contains,991001644279702656","Catalog Record")</f>
        <v/>
      </c>
      <c r="AT542">
        <f>HYPERLINK("http://www.worldcat.org/oclc/21040534","WorldCat Record")</f>
        <v/>
      </c>
      <c r="AU542" t="inlineStr">
        <is>
          <t>799376515:eng</t>
        </is>
      </c>
      <c r="AV542" t="inlineStr">
        <is>
          <t>21040534</t>
        </is>
      </c>
      <c r="AW542" t="inlineStr">
        <is>
          <t>991001644279702656</t>
        </is>
      </c>
      <c r="AX542" t="inlineStr">
        <is>
          <t>991001644279702656</t>
        </is>
      </c>
      <c r="AY542" t="inlineStr">
        <is>
          <t>2270301830002656</t>
        </is>
      </c>
      <c r="AZ542" t="inlineStr">
        <is>
          <t>BOOK</t>
        </is>
      </c>
      <c r="BB542" t="inlineStr">
        <is>
          <t>9780231065528</t>
        </is>
      </c>
      <c r="BC542" t="inlineStr">
        <is>
          <t>32285001318434</t>
        </is>
      </c>
      <c r="BD542" t="inlineStr">
        <is>
          <t>893340569</t>
        </is>
      </c>
    </row>
    <row r="543">
      <c r="A543" t="inlineStr">
        <is>
          <t>No</t>
        </is>
      </c>
      <c r="B543" t="inlineStr">
        <is>
          <t>QL568.F7 F45 1986</t>
        </is>
      </c>
      <c r="C543" t="inlineStr">
        <is>
          <t>0                      QL 0568000F  7                  F  45          1986</t>
        </is>
      </c>
      <c r="D543" t="inlineStr">
        <is>
          <t>Fire ants and leaf-cutting ants : biology and management / edited by Clifford S. Lofgren and Robert K. Vander Meer.</t>
        </is>
      </c>
      <c r="F543" t="inlineStr">
        <is>
          <t>No</t>
        </is>
      </c>
      <c r="G543" t="inlineStr">
        <is>
          <t>1</t>
        </is>
      </c>
      <c r="H543" t="inlineStr">
        <is>
          <t>No</t>
        </is>
      </c>
      <c r="I543" t="inlineStr">
        <is>
          <t>No</t>
        </is>
      </c>
      <c r="J543" t="inlineStr">
        <is>
          <t>0</t>
        </is>
      </c>
      <c r="L543" t="inlineStr">
        <is>
          <t>Boulder : Westview Press, 1986.</t>
        </is>
      </c>
      <c r="M543" t="inlineStr">
        <is>
          <t>1986</t>
        </is>
      </c>
      <c r="O543" t="inlineStr">
        <is>
          <t>eng</t>
        </is>
      </c>
      <c r="P543" t="inlineStr">
        <is>
          <t>cou</t>
        </is>
      </c>
      <c r="Q543" t="inlineStr">
        <is>
          <t>Westview studies in insect biology</t>
        </is>
      </c>
      <c r="R543" t="inlineStr">
        <is>
          <t xml:space="preserve">QL </t>
        </is>
      </c>
      <c r="S543" t="n">
        <v>29</v>
      </c>
      <c r="T543" t="n">
        <v>29</v>
      </c>
      <c r="U543" t="inlineStr">
        <is>
          <t>2008-11-09</t>
        </is>
      </c>
      <c r="V543" t="inlineStr">
        <is>
          <t>2008-11-09</t>
        </is>
      </c>
      <c r="W543" t="inlineStr">
        <is>
          <t>1993-05-28</t>
        </is>
      </c>
      <c r="X543" t="inlineStr">
        <is>
          <t>1993-05-28</t>
        </is>
      </c>
      <c r="Y543" t="n">
        <v>217</v>
      </c>
      <c r="Z543" t="n">
        <v>183</v>
      </c>
      <c r="AA543" t="n">
        <v>196</v>
      </c>
      <c r="AB543" t="n">
        <v>1</v>
      </c>
      <c r="AC543" t="n">
        <v>1</v>
      </c>
      <c r="AD543" t="n">
        <v>3</v>
      </c>
      <c r="AE543" t="n">
        <v>3</v>
      </c>
      <c r="AF543" t="n">
        <v>1</v>
      </c>
      <c r="AG543" t="n">
        <v>1</v>
      </c>
      <c r="AH543" t="n">
        <v>1</v>
      </c>
      <c r="AI543" t="n">
        <v>1</v>
      </c>
      <c r="AJ543" t="n">
        <v>3</v>
      </c>
      <c r="AK543" t="n">
        <v>3</v>
      </c>
      <c r="AL543" t="n">
        <v>0</v>
      </c>
      <c r="AM543" t="n">
        <v>0</v>
      </c>
      <c r="AN543" t="n">
        <v>0</v>
      </c>
      <c r="AO543" t="n">
        <v>0</v>
      </c>
      <c r="AP543" t="inlineStr">
        <is>
          <t>No</t>
        </is>
      </c>
      <c r="AQ543" t="inlineStr">
        <is>
          <t>Yes</t>
        </is>
      </c>
      <c r="AR543">
        <f>HYPERLINK("http://catalog.hathitrust.org/Record/000434585","HathiTrust Record")</f>
        <v/>
      </c>
      <c r="AS543">
        <f>HYPERLINK("https://creighton-primo.hosted.exlibrisgroup.com/primo-explore/search?tab=default_tab&amp;search_scope=EVERYTHING&amp;vid=01CRU&amp;lang=en_US&amp;offset=0&amp;query=any,contains,991000663729702656","Catalog Record")</f>
        <v/>
      </c>
      <c r="AT543">
        <f>HYPERLINK("http://www.worldcat.org/oclc/12262585","WorldCat Record")</f>
        <v/>
      </c>
      <c r="AU543" t="inlineStr">
        <is>
          <t>945763748:eng</t>
        </is>
      </c>
      <c r="AV543" t="inlineStr">
        <is>
          <t>12262585</t>
        </is>
      </c>
      <c r="AW543" t="inlineStr">
        <is>
          <t>991000663729702656</t>
        </is>
      </c>
      <c r="AX543" t="inlineStr">
        <is>
          <t>991000663729702656</t>
        </is>
      </c>
      <c r="AY543" t="inlineStr">
        <is>
          <t>2270616010002656</t>
        </is>
      </c>
      <c r="AZ543" t="inlineStr">
        <is>
          <t>BOOK</t>
        </is>
      </c>
      <c r="BB543" t="inlineStr">
        <is>
          <t>9780813370712</t>
        </is>
      </c>
      <c r="BC543" t="inlineStr">
        <is>
          <t>32285005241293</t>
        </is>
      </c>
      <c r="BD543" t="inlineStr">
        <is>
          <t>893771854</t>
        </is>
      </c>
    </row>
    <row r="544">
      <c r="A544" t="inlineStr">
        <is>
          <t>No</t>
        </is>
      </c>
      <c r="B544" t="inlineStr">
        <is>
          <t>QL568.F7 G613</t>
        </is>
      </c>
      <c r="C544" t="inlineStr">
        <is>
          <t>0                      QL 0568000F  7                  G  613</t>
        </is>
      </c>
      <c r="D544" t="inlineStr">
        <is>
          <t>The ants / by Wilhelm Goetsch. [Translated by Ralph Manheim]</t>
        </is>
      </c>
      <c r="F544" t="inlineStr">
        <is>
          <t>No</t>
        </is>
      </c>
      <c r="G544" t="inlineStr">
        <is>
          <t>1</t>
        </is>
      </c>
      <c r="H544" t="inlineStr">
        <is>
          <t>No</t>
        </is>
      </c>
      <c r="I544" t="inlineStr">
        <is>
          <t>No</t>
        </is>
      </c>
      <c r="J544" t="inlineStr">
        <is>
          <t>0</t>
        </is>
      </c>
      <c r="K544" t="inlineStr">
        <is>
          <t>Goetsch, Wilhelm, 1887-</t>
        </is>
      </c>
      <c r="L544" t="inlineStr">
        <is>
          <t>Ann Arbor : University of Michigan Press, [1957]</t>
        </is>
      </c>
      <c r="M544" t="inlineStr">
        <is>
          <t>1957</t>
        </is>
      </c>
      <c r="O544" t="inlineStr">
        <is>
          <t>eng</t>
        </is>
      </c>
      <c r="P544" t="inlineStr">
        <is>
          <t>miu</t>
        </is>
      </c>
      <c r="Q544" t="inlineStr">
        <is>
          <t>Ann Arbor science library</t>
        </is>
      </c>
      <c r="R544" t="inlineStr">
        <is>
          <t xml:space="preserve">QL </t>
        </is>
      </c>
      <c r="S544" t="n">
        <v>22</v>
      </c>
      <c r="T544" t="n">
        <v>22</v>
      </c>
      <c r="U544" t="inlineStr">
        <is>
          <t>2008-11-22</t>
        </is>
      </c>
      <c r="V544" t="inlineStr">
        <is>
          <t>2008-11-22</t>
        </is>
      </c>
      <c r="W544" t="inlineStr">
        <is>
          <t>1993-12-30</t>
        </is>
      </c>
      <c r="X544" t="inlineStr">
        <is>
          <t>1993-12-30</t>
        </is>
      </c>
      <c r="Y544" t="n">
        <v>870</v>
      </c>
      <c r="Z544" t="n">
        <v>793</v>
      </c>
      <c r="AA544" t="n">
        <v>867</v>
      </c>
      <c r="AB544" t="n">
        <v>3</v>
      </c>
      <c r="AC544" t="n">
        <v>4</v>
      </c>
      <c r="AD544" t="n">
        <v>19</v>
      </c>
      <c r="AE544" t="n">
        <v>22</v>
      </c>
      <c r="AF544" t="n">
        <v>10</v>
      </c>
      <c r="AG544" t="n">
        <v>10</v>
      </c>
      <c r="AH544" t="n">
        <v>2</v>
      </c>
      <c r="AI544" t="n">
        <v>3</v>
      </c>
      <c r="AJ544" t="n">
        <v>10</v>
      </c>
      <c r="AK544" t="n">
        <v>12</v>
      </c>
      <c r="AL544" t="n">
        <v>1</v>
      </c>
      <c r="AM544" t="n">
        <v>2</v>
      </c>
      <c r="AN544" t="n">
        <v>0</v>
      </c>
      <c r="AO544" t="n">
        <v>0</v>
      </c>
      <c r="AP544" t="inlineStr">
        <is>
          <t>No</t>
        </is>
      </c>
      <c r="AQ544" t="inlineStr">
        <is>
          <t>Yes</t>
        </is>
      </c>
      <c r="AR544">
        <f>HYPERLINK("http://catalog.hathitrust.org/Record/001500576","HathiTrust Record")</f>
        <v/>
      </c>
      <c r="AS544">
        <f>HYPERLINK("https://creighton-primo.hosted.exlibrisgroup.com/primo-explore/search?tab=default_tab&amp;search_scope=EVERYTHING&amp;vid=01CRU&amp;lang=en_US&amp;offset=0&amp;query=any,contains,991001408399702656","Catalog Record")</f>
        <v/>
      </c>
      <c r="AT544">
        <f>HYPERLINK("http://www.worldcat.org/oclc/230525","WorldCat Record")</f>
        <v/>
      </c>
      <c r="AU544" t="inlineStr">
        <is>
          <t>1352912:eng</t>
        </is>
      </c>
      <c r="AV544" t="inlineStr">
        <is>
          <t>230525</t>
        </is>
      </c>
      <c r="AW544" t="inlineStr">
        <is>
          <t>991001408399702656</t>
        </is>
      </c>
      <c r="AX544" t="inlineStr">
        <is>
          <t>991001408399702656</t>
        </is>
      </c>
      <c r="AY544" t="inlineStr">
        <is>
          <t>2269296250002656</t>
        </is>
      </c>
      <c r="AZ544" t="inlineStr">
        <is>
          <t>BOOK</t>
        </is>
      </c>
      <c r="BC544" t="inlineStr">
        <is>
          <t>32285001830024</t>
        </is>
      </c>
      <c r="BD544" t="inlineStr">
        <is>
          <t>893340418</t>
        </is>
      </c>
    </row>
    <row r="545">
      <c r="A545" t="inlineStr">
        <is>
          <t>No</t>
        </is>
      </c>
      <c r="B545" t="inlineStr">
        <is>
          <t>QL568.F7 G64 1999</t>
        </is>
      </c>
      <c r="C545" t="inlineStr">
        <is>
          <t>0                      QL 0568000F  7                  G  64          1999</t>
        </is>
      </c>
      <c r="D545" t="inlineStr">
        <is>
          <t>Ants at work : how an insect society is organized / Deborah M. Gordon ; illustrations by Michelle Schwengel.</t>
        </is>
      </c>
      <c r="F545" t="inlineStr">
        <is>
          <t>No</t>
        </is>
      </c>
      <c r="G545" t="inlineStr">
        <is>
          <t>1</t>
        </is>
      </c>
      <c r="H545" t="inlineStr">
        <is>
          <t>No</t>
        </is>
      </c>
      <c r="I545" t="inlineStr">
        <is>
          <t>No</t>
        </is>
      </c>
      <c r="J545" t="inlineStr">
        <is>
          <t>0</t>
        </is>
      </c>
      <c r="K545" t="inlineStr">
        <is>
          <t>Gordon, Deborah (Deborah M.)</t>
        </is>
      </c>
      <c r="L545" t="inlineStr">
        <is>
          <t>New York : Free Press, c1999.</t>
        </is>
      </c>
      <c r="M545" t="inlineStr">
        <is>
          <t>1999</t>
        </is>
      </c>
      <c r="O545" t="inlineStr">
        <is>
          <t>eng</t>
        </is>
      </c>
      <c r="P545" t="inlineStr">
        <is>
          <t>nyu</t>
        </is>
      </c>
      <c r="R545" t="inlineStr">
        <is>
          <t xml:space="preserve">QL </t>
        </is>
      </c>
      <c r="S545" t="n">
        <v>16</v>
      </c>
      <c r="T545" t="n">
        <v>16</v>
      </c>
      <c r="U545" t="inlineStr">
        <is>
          <t>2009-03-23</t>
        </is>
      </c>
      <c r="V545" t="inlineStr">
        <is>
          <t>2009-03-23</t>
        </is>
      </c>
      <c r="W545" t="inlineStr">
        <is>
          <t>1999-10-25</t>
        </is>
      </c>
      <c r="X545" t="inlineStr">
        <is>
          <t>1999-10-25</t>
        </is>
      </c>
      <c r="Y545" t="n">
        <v>1236</v>
      </c>
      <c r="Z545" t="n">
        <v>1129</v>
      </c>
      <c r="AA545" t="n">
        <v>1222</v>
      </c>
      <c r="AB545" t="n">
        <v>6</v>
      </c>
      <c r="AC545" t="n">
        <v>8</v>
      </c>
      <c r="AD545" t="n">
        <v>30</v>
      </c>
      <c r="AE545" t="n">
        <v>32</v>
      </c>
      <c r="AF545" t="n">
        <v>14</v>
      </c>
      <c r="AG545" t="n">
        <v>15</v>
      </c>
      <c r="AH545" t="n">
        <v>7</v>
      </c>
      <c r="AI545" t="n">
        <v>7</v>
      </c>
      <c r="AJ545" t="n">
        <v>13</v>
      </c>
      <c r="AK545" t="n">
        <v>13</v>
      </c>
      <c r="AL545" t="n">
        <v>3</v>
      </c>
      <c r="AM545" t="n">
        <v>4</v>
      </c>
      <c r="AN545" t="n">
        <v>0</v>
      </c>
      <c r="AO545" t="n">
        <v>0</v>
      </c>
      <c r="AP545" t="inlineStr">
        <is>
          <t>No</t>
        </is>
      </c>
      <c r="AQ545" t="inlineStr">
        <is>
          <t>Yes</t>
        </is>
      </c>
      <c r="AR545">
        <f>HYPERLINK("http://catalog.hathitrust.org/Record/004050798","HathiTrust Record")</f>
        <v/>
      </c>
      <c r="AS545">
        <f>HYPERLINK("https://creighton-primo.hosted.exlibrisgroup.com/primo-explore/search?tab=default_tab&amp;search_scope=EVERYTHING&amp;vid=01CRU&amp;lang=en_US&amp;offset=0&amp;query=any,contains,991003031589702656","Catalog Record")</f>
        <v/>
      </c>
      <c r="AT545">
        <f>HYPERLINK("http://www.worldcat.org/oclc/41531917","WorldCat Record")</f>
        <v/>
      </c>
      <c r="AU545" t="inlineStr">
        <is>
          <t>145172741:eng</t>
        </is>
      </c>
      <c r="AV545" t="inlineStr">
        <is>
          <t>41531917</t>
        </is>
      </c>
      <c r="AW545" t="inlineStr">
        <is>
          <t>991003031589702656</t>
        </is>
      </c>
      <c r="AX545" t="inlineStr">
        <is>
          <t>991003031589702656</t>
        </is>
      </c>
      <c r="AY545" t="inlineStr">
        <is>
          <t>2259472530002656</t>
        </is>
      </c>
      <c r="AZ545" t="inlineStr">
        <is>
          <t>BOOK</t>
        </is>
      </c>
      <c r="BB545" t="inlineStr">
        <is>
          <t>9780684857336</t>
        </is>
      </c>
      <c r="BC545" t="inlineStr">
        <is>
          <t>32285003612917</t>
        </is>
      </c>
      <c r="BD545" t="inlineStr">
        <is>
          <t>893342173</t>
        </is>
      </c>
    </row>
    <row r="546">
      <c r="A546" t="inlineStr">
        <is>
          <t>No</t>
        </is>
      </c>
      <c r="B546" t="inlineStr">
        <is>
          <t>QL568.F7 H66 1996</t>
        </is>
      </c>
      <c r="C546" t="inlineStr">
        <is>
          <t>0                      QL 0568000F  7                  H  66          1996</t>
        </is>
      </c>
      <c r="D546" t="inlineStr">
        <is>
          <t>The earth dwellers : adventures in the land of ants / Erich Hoyt.</t>
        </is>
      </c>
      <c r="F546" t="inlineStr">
        <is>
          <t>No</t>
        </is>
      </c>
      <c r="G546" t="inlineStr">
        <is>
          <t>1</t>
        </is>
      </c>
      <c r="H546" t="inlineStr">
        <is>
          <t>No</t>
        </is>
      </c>
      <c r="I546" t="inlineStr">
        <is>
          <t>No</t>
        </is>
      </c>
      <c r="J546" t="inlineStr">
        <is>
          <t>0</t>
        </is>
      </c>
      <c r="K546" t="inlineStr">
        <is>
          <t>Hoyt, Erich.</t>
        </is>
      </c>
      <c r="L546" t="inlineStr">
        <is>
          <t>New York : Simon &amp; Schuster, c1996.</t>
        </is>
      </c>
      <c r="M546" t="inlineStr">
        <is>
          <t>1996</t>
        </is>
      </c>
      <c r="O546" t="inlineStr">
        <is>
          <t>eng</t>
        </is>
      </c>
      <c r="P546" t="inlineStr">
        <is>
          <t>nyu</t>
        </is>
      </c>
      <c r="R546" t="inlineStr">
        <is>
          <t xml:space="preserve">QL </t>
        </is>
      </c>
      <c r="S546" t="n">
        <v>17</v>
      </c>
      <c r="T546" t="n">
        <v>17</v>
      </c>
      <c r="U546" t="inlineStr">
        <is>
          <t>2007-02-22</t>
        </is>
      </c>
      <c r="V546" t="inlineStr">
        <is>
          <t>2007-02-22</t>
        </is>
      </c>
      <c r="W546" t="inlineStr">
        <is>
          <t>1996-05-22</t>
        </is>
      </c>
      <c r="X546" t="inlineStr">
        <is>
          <t>1996-05-22</t>
        </is>
      </c>
      <c r="Y546" t="n">
        <v>745</v>
      </c>
      <c r="Z546" t="n">
        <v>684</v>
      </c>
      <c r="AA546" t="n">
        <v>729</v>
      </c>
      <c r="AB546" t="n">
        <v>4</v>
      </c>
      <c r="AC546" t="n">
        <v>4</v>
      </c>
      <c r="AD546" t="n">
        <v>16</v>
      </c>
      <c r="AE546" t="n">
        <v>16</v>
      </c>
      <c r="AF546" t="n">
        <v>5</v>
      </c>
      <c r="AG546" t="n">
        <v>5</v>
      </c>
      <c r="AH546" t="n">
        <v>2</v>
      </c>
      <c r="AI546" t="n">
        <v>2</v>
      </c>
      <c r="AJ546" t="n">
        <v>10</v>
      </c>
      <c r="AK546" t="n">
        <v>10</v>
      </c>
      <c r="AL546" t="n">
        <v>2</v>
      </c>
      <c r="AM546" t="n">
        <v>2</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HYPERLINK("https://creighton-primo.hosted.exlibrisgroup.com/primo-explore/search?tab=default_tab&amp;search_scope=EVERYTHING&amp;vid=01CRU&amp;lang=en_US&amp;offset=0&amp;query=any,contains,991002570879702656","Catalog Record")</f>
        <v/>
      </c>
      <c r="AT546">
        <f>HYPERLINK("http://www.worldcat.org/oclc/33406995","WorldCat Record")</f>
        <v/>
      </c>
      <c r="AU546" t="inlineStr">
        <is>
          <t>20572702:eng</t>
        </is>
      </c>
      <c r="AV546" t="inlineStr">
        <is>
          <t>33406995</t>
        </is>
      </c>
      <c r="AW546" t="inlineStr">
        <is>
          <t>991002570879702656</t>
        </is>
      </c>
      <c r="AX546" t="inlineStr">
        <is>
          <t>991002570879702656</t>
        </is>
      </c>
      <c r="AY546" t="inlineStr">
        <is>
          <t>2270584240002656</t>
        </is>
      </c>
      <c r="AZ546" t="inlineStr">
        <is>
          <t>BOOK</t>
        </is>
      </c>
      <c r="BB546" t="inlineStr">
        <is>
          <t>9780684810867</t>
        </is>
      </c>
      <c r="BC546" t="inlineStr">
        <is>
          <t>32285002177292</t>
        </is>
      </c>
      <c r="BD546" t="inlineStr">
        <is>
          <t>893786303</t>
        </is>
      </c>
    </row>
    <row r="547">
      <c r="A547" t="inlineStr">
        <is>
          <t>No</t>
        </is>
      </c>
      <c r="B547" t="inlineStr">
        <is>
          <t>QL568.F7 U725 2008</t>
        </is>
      </c>
      <c r="C547" t="inlineStr">
        <is>
          <t>0                      QL 0568000F  7                  U  725         2008</t>
        </is>
      </c>
      <c r="D547" t="inlineStr">
        <is>
          <t>Urban ants of North America and Europe : identification, biology, and management / John Klotz ... [et al.].</t>
        </is>
      </c>
      <c r="F547" t="inlineStr">
        <is>
          <t>No</t>
        </is>
      </c>
      <c r="G547" t="inlineStr">
        <is>
          <t>1</t>
        </is>
      </c>
      <c r="H547" t="inlineStr">
        <is>
          <t>No</t>
        </is>
      </c>
      <c r="I547" t="inlineStr">
        <is>
          <t>No</t>
        </is>
      </c>
      <c r="J547" t="inlineStr">
        <is>
          <t>0</t>
        </is>
      </c>
      <c r="L547" t="inlineStr">
        <is>
          <t>Ithaca : Comstock Pub. Associates, 2008.</t>
        </is>
      </c>
      <c r="M547" t="inlineStr">
        <is>
          <t>2008</t>
        </is>
      </c>
      <c r="O547" t="inlineStr">
        <is>
          <t>eng</t>
        </is>
      </c>
      <c r="P547" t="inlineStr">
        <is>
          <t>nyu</t>
        </is>
      </c>
      <c r="Q547" t="inlineStr">
        <is>
          <t>Cornell paperbacks</t>
        </is>
      </c>
      <c r="R547" t="inlineStr">
        <is>
          <t xml:space="preserve">QL </t>
        </is>
      </c>
      <c r="S547" t="n">
        <v>1</v>
      </c>
      <c r="T547" t="n">
        <v>1</v>
      </c>
      <c r="U547" t="inlineStr">
        <is>
          <t>2009-10-05</t>
        </is>
      </c>
      <c r="V547" t="inlineStr">
        <is>
          <t>2009-10-05</t>
        </is>
      </c>
      <c r="W547" t="inlineStr">
        <is>
          <t>2009-10-05</t>
        </is>
      </c>
      <c r="X547" t="inlineStr">
        <is>
          <t>2009-10-05</t>
        </is>
      </c>
      <c r="Y547" t="n">
        <v>260</v>
      </c>
      <c r="Z547" t="n">
        <v>225</v>
      </c>
      <c r="AA547" t="n">
        <v>225</v>
      </c>
      <c r="AB547" t="n">
        <v>2</v>
      </c>
      <c r="AC547" t="n">
        <v>2</v>
      </c>
      <c r="AD547" t="n">
        <v>9</v>
      </c>
      <c r="AE547" t="n">
        <v>9</v>
      </c>
      <c r="AF547" t="n">
        <v>3</v>
      </c>
      <c r="AG547" t="n">
        <v>3</v>
      </c>
      <c r="AH547" t="n">
        <v>2</v>
      </c>
      <c r="AI547" t="n">
        <v>2</v>
      </c>
      <c r="AJ547" t="n">
        <v>6</v>
      </c>
      <c r="AK547" t="n">
        <v>6</v>
      </c>
      <c r="AL547" t="n">
        <v>1</v>
      </c>
      <c r="AM547" t="n">
        <v>1</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HYPERLINK("https://creighton-primo.hosted.exlibrisgroup.com/primo-explore/search?tab=default_tab&amp;search_scope=EVERYTHING&amp;vid=01CRU&amp;lang=en_US&amp;offset=0&amp;query=any,contains,991005337399702656","Catalog Record")</f>
        <v/>
      </c>
      <c r="AT547">
        <f>HYPERLINK("http://www.worldcat.org/oclc/226304732","WorldCat Record")</f>
        <v/>
      </c>
      <c r="AU547" t="inlineStr">
        <is>
          <t>136149323:eng</t>
        </is>
      </c>
      <c r="AV547" t="inlineStr">
        <is>
          <t>226304732</t>
        </is>
      </c>
      <c r="AW547" t="inlineStr">
        <is>
          <t>991005337399702656</t>
        </is>
      </c>
      <c r="AX547" t="inlineStr">
        <is>
          <t>991005337399702656</t>
        </is>
      </c>
      <c r="AY547" t="inlineStr">
        <is>
          <t>2267293880002656</t>
        </is>
      </c>
      <c r="AZ547" t="inlineStr">
        <is>
          <t>BOOK</t>
        </is>
      </c>
      <c r="BB547" t="inlineStr">
        <is>
          <t>9780801474736</t>
        </is>
      </c>
      <c r="BC547" t="inlineStr">
        <is>
          <t>32285005546451</t>
        </is>
      </c>
      <c r="BD547" t="inlineStr">
        <is>
          <t>893507993</t>
        </is>
      </c>
    </row>
    <row r="548">
      <c r="A548" t="inlineStr">
        <is>
          <t>No</t>
        </is>
      </c>
      <c r="B548" t="inlineStr">
        <is>
          <t>QL568.F7 W5</t>
        </is>
      </c>
      <c r="C548" t="inlineStr">
        <is>
          <t>0                      QL 0568000F  7                  W  5</t>
        </is>
      </c>
      <c r="D548" t="inlineStr">
        <is>
          <t>Ants : their structure, development and behavior / by William Morton Wheeler.</t>
        </is>
      </c>
      <c r="F548" t="inlineStr">
        <is>
          <t>No</t>
        </is>
      </c>
      <c r="G548" t="inlineStr">
        <is>
          <t>1</t>
        </is>
      </c>
      <c r="H548" t="inlineStr">
        <is>
          <t>No</t>
        </is>
      </c>
      <c r="I548" t="inlineStr">
        <is>
          <t>No</t>
        </is>
      </c>
      <c r="J548" t="inlineStr">
        <is>
          <t>0</t>
        </is>
      </c>
      <c r="K548" t="inlineStr">
        <is>
          <t>Wheeler, William Morton, 1865-1937.</t>
        </is>
      </c>
      <c r="L548" t="inlineStr">
        <is>
          <t>New York : Columbia university press, 1910.</t>
        </is>
      </c>
      <c r="M548" t="inlineStr">
        <is>
          <t>1910</t>
        </is>
      </c>
      <c r="O548" t="inlineStr">
        <is>
          <t>eng</t>
        </is>
      </c>
      <c r="P548" t="inlineStr">
        <is>
          <t>nyu</t>
        </is>
      </c>
      <c r="Q548" t="inlineStr">
        <is>
          <t>Columbia university biological series. IX</t>
        </is>
      </c>
      <c r="R548" t="inlineStr">
        <is>
          <t xml:space="preserve">QL </t>
        </is>
      </c>
      <c r="S548" t="n">
        <v>18</v>
      </c>
      <c r="T548" t="n">
        <v>18</v>
      </c>
      <c r="U548" t="inlineStr">
        <is>
          <t>2007-02-07</t>
        </is>
      </c>
      <c r="V548" t="inlineStr">
        <is>
          <t>2007-02-07</t>
        </is>
      </c>
      <c r="W548" t="inlineStr">
        <is>
          <t>1992-05-21</t>
        </is>
      </c>
      <c r="X548" t="inlineStr">
        <is>
          <t>1992-05-21</t>
        </is>
      </c>
      <c r="Y548" t="n">
        <v>821</v>
      </c>
      <c r="Z548" t="n">
        <v>728</v>
      </c>
      <c r="AA548" t="n">
        <v>946</v>
      </c>
      <c r="AB548" t="n">
        <v>4</v>
      </c>
      <c r="AC548" t="n">
        <v>6</v>
      </c>
      <c r="AD548" t="n">
        <v>28</v>
      </c>
      <c r="AE548" t="n">
        <v>37</v>
      </c>
      <c r="AF548" t="n">
        <v>13</v>
      </c>
      <c r="AG548" t="n">
        <v>17</v>
      </c>
      <c r="AH548" t="n">
        <v>5</v>
      </c>
      <c r="AI548" t="n">
        <v>7</v>
      </c>
      <c r="AJ548" t="n">
        <v>15</v>
      </c>
      <c r="AK548" t="n">
        <v>20</v>
      </c>
      <c r="AL548" t="n">
        <v>3</v>
      </c>
      <c r="AM548" t="n">
        <v>4</v>
      </c>
      <c r="AN548" t="n">
        <v>0</v>
      </c>
      <c r="AO548" t="n">
        <v>0</v>
      </c>
      <c r="AP548" t="inlineStr">
        <is>
          <t>Yes</t>
        </is>
      </c>
      <c r="AQ548" t="inlineStr">
        <is>
          <t>No</t>
        </is>
      </c>
      <c r="AR548">
        <f>HYPERLINK("http://catalog.hathitrust.org/Record/001500590","HathiTrust Record")</f>
        <v/>
      </c>
      <c r="AS548">
        <f>HYPERLINK("https://creighton-primo.hosted.exlibrisgroup.com/primo-explore/search?tab=default_tab&amp;search_scope=EVERYTHING&amp;vid=01CRU&amp;lang=en_US&amp;offset=0&amp;query=any,contains,991002990219702656","Catalog Record")</f>
        <v/>
      </c>
      <c r="AT548">
        <f>HYPERLINK("http://www.worldcat.org/oclc/560205","WorldCat Record")</f>
        <v/>
      </c>
      <c r="AU548" t="inlineStr">
        <is>
          <t>419606:eng</t>
        </is>
      </c>
      <c r="AV548" t="inlineStr">
        <is>
          <t>560205</t>
        </is>
      </c>
      <c r="AW548" t="inlineStr">
        <is>
          <t>991002990219702656</t>
        </is>
      </c>
      <c r="AX548" t="inlineStr">
        <is>
          <t>991002990219702656</t>
        </is>
      </c>
      <c r="AY548" t="inlineStr">
        <is>
          <t>2256452590002656</t>
        </is>
      </c>
      <c r="AZ548" t="inlineStr">
        <is>
          <t>BOOK</t>
        </is>
      </c>
      <c r="BC548" t="inlineStr">
        <is>
          <t>32285001112241</t>
        </is>
      </c>
      <c r="BD548" t="inlineStr">
        <is>
          <t>893887008</t>
        </is>
      </c>
    </row>
    <row r="549">
      <c r="A549" t="inlineStr">
        <is>
          <t>No</t>
        </is>
      </c>
      <c r="B549" t="inlineStr">
        <is>
          <t>QL568.F7 W63 2006</t>
        </is>
      </c>
      <c r="C549" t="inlineStr">
        <is>
          <t>0                      QL 0568000F  7                  W  63          2006</t>
        </is>
      </c>
      <c r="D549" t="inlineStr">
        <is>
          <t>Nature revealed : selected writings, 1949-2006 / Edward O. Wilson.</t>
        </is>
      </c>
      <c r="F549" t="inlineStr">
        <is>
          <t>No</t>
        </is>
      </c>
      <c r="G549" t="inlineStr">
        <is>
          <t>1</t>
        </is>
      </c>
      <c r="H549" t="inlineStr">
        <is>
          <t>No</t>
        </is>
      </c>
      <c r="I549" t="inlineStr">
        <is>
          <t>No</t>
        </is>
      </c>
      <c r="J549" t="inlineStr">
        <is>
          <t>0</t>
        </is>
      </c>
      <c r="K549" t="inlineStr">
        <is>
          <t>Wilson, Edward O.</t>
        </is>
      </c>
      <c r="L549" t="inlineStr">
        <is>
          <t>Baltimore : Johns Hopkins University Press, c2006.</t>
        </is>
      </c>
      <c r="M549" t="inlineStr">
        <is>
          <t>2006</t>
        </is>
      </c>
      <c r="O549" t="inlineStr">
        <is>
          <t>eng</t>
        </is>
      </c>
      <c r="P549" t="inlineStr">
        <is>
          <t>mdu</t>
        </is>
      </c>
      <c r="R549" t="inlineStr">
        <is>
          <t xml:space="preserve">QL </t>
        </is>
      </c>
      <c r="S549" t="n">
        <v>2</v>
      </c>
      <c r="T549" t="n">
        <v>2</v>
      </c>
      <c r="U549" t="inlineStr">
        <is>
          <t>2007-07-30</t>
        </is>
      </c>
      <c r="V549" t="inlineStr">
        <is>
          <t>2007-07-30</t>
        </is>
      </c>
      <c r="W549" t="inlineStr">
        <is>
          <t>2007-06-25</t>
        </is>
      </c>
      <c r="X549" t="inlineStr">
        <is>
          <t>2007-06-25</t>
        </is>
      </c>
      <c r="Y549" t="n">
        <v>703</v>
      </c>
      <c r="Z549" t="n">
        <v>626</v>
      </c>
      <c r="AA549" t="n">
        <v>626</v>
      </c>
      <c r="AB549" t="n">
        <v>7</v>
      </c>
      <c r="AC549" t="n">
        <v>7</v>
      </c>
      <c r="AD549" t="n">
        <v>30</v>
      </c>
      <c r="AE549" t="n">
        <v>30</v>
      </c>
      <c r="AF549" t="n">
        <v>12</v>
      </c>
      <c r="AG549" t="n">
        <v>12</v>
      </c>
      <c r="AH549" t="n">
        <v>4</v>
      </c>
      <c r="AI549" t="n">
        <v>4</v>
      </c>
      <c r="AJ549" t="n">
        <v>13</v>
      </c>
      <c r="AK549" t="n">
        <v>13</v>
      </c>
      <c r="AL549" t="n">
        <v>6</v>
      </c>
      <c r="AM549" t="n">
        <v>6</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HYPERLINK("https://creighton-primo.hosted.exlibrisgroup.com/primo-explore/search?tab=default_tab&amp;search_scope=EVERYTHING&amp;vid=01CRU&amp;lang=en_US&amp;offset=0&amp;query=any,contains,991005004079702656","Catalog Record")</f>
        <v/>
      </c>
      <c r="AT549">
        <f>HYPERLINK("http://www.worldcat.org/oclc/61278530","WorldCat Record")</f>
        <v/>
      </c>
      <c r="AU549" t="inlineStr">
        <is>
          <t>891767445:eng</t>
        </is>
      </c>
      <c r="AV549" t="inlineStr">
        <is>
          <t>61278530</t>
        </is>
      </c>
      <c r="AW549" t="inlineStr">
        <is>
          <t>991005004079702656</t>
        </is>
      </c>
      <c r="AX549" t="inlineStr">
        <is>
          <t>991005004079702656</t>
        </is>
      </c>
      <c r="AY549" t="inlineStr">
        <is>
          <t>2263821520002656</t>
        </is>
      </c>
      <c r="AZ549" t="inlineStr">
        <is>
          <t>BOOK</t>
        </is>
      </c>
      <c r="BB549" t="inlineStr">
        <is>
          <t>9780801883293</t>
        </is>
      </c>
      <c r="BC549" t="inlineStr">
        <is>
          <t>32285005318307</t>
        </is>
      </c>
      <c r="BD549" t="inlineStr">
        <is>
          <t>893412191</t>
        </is>
      </c>
    </row>
    <row r="550">
      <c r="A550" t="inlineStr">
        <is>
          <t>No</t>
        </is>
      </c>
      <c r="B550" t="inlineStr">
        <is>
          <t>QL568.F7 W64 2003</t>
        </is>
      </c>
      <c r="C550" t="inlineStr">
        <is>
          <t>0                      QL 0568000F  7                  W  64          2003</t>
        </is>
      </c>
      <c r="D550" t="inlineStr">
        <is>
          <t>Pheidole in the new world : a dominant, hyperdiverse ant genus / Edward O. Wilson.</t>
        </is>
      </c>
      <c r="F550" t="inlineStr">
        <is>
          <t>No</t>
        </is>
      </c>
      <c r="G550" t="inlineStr">
        <is>
          <t>1</t>
        </is>
      </c>
      <c r="H550" t="inlineStr">
        <is>
          <t>No</t>
        </is>
      </c>
      <c r="I550" t="inlineStr">
        <is>
          <t>No</t>
        </is>
      </c>
      <c r="J550" t="inlineStr">
        <is>
          <t>0</t>
        </is>
      </c>
      <c r="K550" t="inlineStr">
        <is>
          <t>Wilson, Edward O.</t>
        </is>
      </c>
      <c r="L550" t="inlineStr">
        <is>
          <t>Cambridge, Mass. : Harvard University Press, 2003.</t>
        </is>
      </c>
      <c r="M550" t="inlineStr">
        <is>
          <t>2003</t>
        </is>
      </c>
      <c r="O550" t="inlineStr">
        <is>
          <t>eng</t>
        </is>
      </c>
      <c r="P550" t="inlineStr">
        <is>
          <t>mau</t>
        </is>
      </c>
      <c r="R550" t="inlineStr">
        <is>
          <t xml:space="preserve">QL </t>
        </is>
      </c>
      <c r="S550" t="n">
        <v>1</v>
      </c>
      <c r="T550" t="n">
        <v>1</v>
      </c>
      <c r="U550" t="inlineStr">
        <is>
          <t>2007-02-21</t>
        </is>
      </c>
      <c r="V550" t="inlineStr">
        <is>
          <t>2007-02-21</t>
        </is>
      </c>
      <c r="W550" t="inlineStr">
        <is>
          <t>2007-02-21</t>
        </is>
      </c>
      <c r="X550" t="inlineStr">
        <is>
          <t>2007-02-21</t>
        </is>
      </c>
      <c r="Y550" t="n">
        <v>229</v>
      </c>
      <c r="Z550" t="n">
        <v>180</v>
      </c>
      <c r="AA550" t="n">
        <v>180</v>
      </c>
      <c r="AB550" t="n">
        <v>2</v>
      </c>
      <c r="AC550" t="n">
        <v>2</v>
      </c>
      <c r="AD550" t="n">
        <v>6</v>
      </c>
      <c r="AE550" t="n">
        <v>6</v>
      </c>
      <c r="AF550" t="n">
        <v>1</v>
      </c>
      <c r="AG550" t="n">
        <v>1</v>
      </c>
      <c r="AH550" t="n">
        <v>2</v>
      </c>
      <c r="AI550" t="n">
        <v>2</v>
      </c>
      <c r="AJ550" t="n">
        <v>3</v>
      </c>
      <c r="AK550" t="n">
        <v>3</v>
      </c>
      <c r="AL550" t="n">
        <v>1</v>
      </c>
      <c r="AM550" t="n">
        <v>1</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HYPERLINK("https://creighton-primo.hosted.exlibrisgroup.com/primo-explore/search?tab=default_tab&amp;search_scope=EVERYTHING&amp;vid=01CRU&amp;lang=en_US&amp;offset=0&amp;query=any,contains,991005039089702656","Catalog Record")</f>
        <v/>
      </c>
      <c r="AT550">
        <f>HYPERLINK("http://www.worldcat.org/oclc/45320381","WorldCat Record")</f>
        <v/>
      </c>
      <c r="AU550" t="inlineStr">
        <is>
          <t>836963459:eng</t>
        </is>
      </c>
      <c r="AV550" t="inlineStr">
        <is>
          <t>45320381</t>
        </is>
      </c>
      <c r="AW550" t="inlineStr">
        <is>
          <t>991005039089702656</t>
        </is>
      </c>
      <c r="AX550" t="inlineStr">
        <is>
          <t>991005039089702656</t>
        </is>
      </c>
      <c r="AY550" t="inlineStr">
        <is>
          <t>2261286190002656</t>
        </is>
      </c>
      <c r="AZ550" t="inlineStr">
        <is>
          <t>BOOK</t>
        </is>
      </c>
      <c r="BB550" t="inlineStr">
        <is>
          <t>9780674002937</t>
        </is>
      </c>
      <c r="BC550" t="inlineStr">
        <is>
          <t>32285005300875</t>
        </is>
      </c>
      <c r="BD550" t="inlineStr">
        <is>
          <t>893688505</t>
        </is>
      </c>
    </row>
    <row r="551">
      <c r="A551" t="inlineStr">
        <is>
          <t>No</t>
        </is>
      </c>
      <c r="B551" t="inlineStr">
        <is>
          <t>QL568.S7 E83</t>
        </is>
      </c>
      <c r="C551" t="inlineStr">
        <is>
          <t>0                      QL 0568000S  7                  E  83</t>
        </is>
      </c>
      <c r="D551" t="inlineStr">
        <is>
          <t>The comparative ethology and evolution of the sand wasps [by] Howard E. Evans.</t>
        </is>
      </c>
      <c r="F551" t="inlineStr">
        <is>
          <t>No</t>
        </is>
      </c>
      <c r="G551" t="inlineStr">
        <is>
          <t>1</t>
        </is>
      </c>
      <c r="H551" t="inlineStr">
        <is>
          <t>No</t>
        </is>
      </c>
      <c r="I551" t="inlineStr">
        <is>
          <t>No</t>
        </is>
      </c>
      <c r="J551" t="inlineStr">
        <is>
          <t>0</t>
        </is>
      </c>
      <c r="K551" t="inlineStr">
        <is>
          <t>Evans, Howard Ensign.</t>
        </is>
      </c>
      <c r="L551" t="inlineStr">
        <is>
          <t>Cambridge, Harvard University Press, 1966.</t>
        </is>
      </c>
      <c r="M551" t="inlineStr">
        <is>
          <t>1966</t>
        </is>
      </c>
      <c r="O551" t="inlineStr">
        <is>
          <t>eng</t>
        </is>
      </c>
      <c r="P551" t="inlineStr">
        <is>
          <t>mau</t>
        </is>
      </c>
      <c r="R551" t="inlineStr">
        <is>
          <t xml:space="preserve">QL </t>
        </is>
      </c>
      <c r="S551" t="n">
        <v>2</v>
      </c>
      <c r="T551" t="n">
        <v>2</v>
      </c>
      <c r="U551" t="inlineStr">
        <is>
          <t>2006-03-27</t>
        </is>
      </c>
      <c r="V551" t="inlineStr">
        <is>
          <t>2006-03-27</t>
        </is>
      </c>
      <c r="W551" t="inlineStr">
        <is>
          <t>1997-07-25</t>
        </is>
      </c>
      <c r="X551" t="inlineStr">
        <is>
          <t>1997-07-25</t>
        </is>
      </c>
      <c r="Y551" t="n">
        <v>435</v>
      </c>
      <c r="Z551" t="n">
        <v>359</v>
      </c>
      <c r="AA551" t="n">
        <v>371</v>
      </c>
      <c r="AB551" t="n">
        <v>2</v>
      </c>
      <c r="AC551" t="n">
        <v>2</v>
      </c>
      <c r="AD551" t="n">
        <v>12</v>
      </c>
      <c r="AE551" t="n">
        <v>12</v>
      </c>
      <c r="AF551" t="n">
        <v>2</v>
      </c>
      <c r="AG551" t="n">
        <v>2</v>
      </c>
      <c r="AH551" t="n">
        <v>3</v>
      </c>
      <c r="AI551" t="n">
        <v>3</v>
      </c>
      <c r="AJ551" t="n">
        <v>8</v>
      </c>
      <c r="AK551" t="n">
        <v>8</v>
      </c>
      <c r="AL551" t="n">
        <v>1</v>
      </c>
      <c r="AM551" t="n">
        <v>1</v>
      </c>
      <c r="AN551" t="n">
        <v>0</v>
      </c>
      <c r="AO551" t="n">
        <v>0</v>
      </c>
      <c r="AP551" t="inlineStr">
        <is>
          <t>No</t>
        </is>
      </c>
      <c r="AQ551" t="inlineStr">
        <is>
          <t>Yes</t>
        </is>
      </c>
      <c r="AR551">
        <f>HYPERLINK("http://catalog.hathitrust.org/Record/000009686","HathiTrust Record")</f>
        <v/>
      </c>
      <c r="AS551">
        <f>HYPERLINK("https://creighton-primo.hosted.exlibrisgroup.com/primo-explore/search?tab=default_tab&amp;search_scope=EVERYTHING&amp;vid=01CRU&amp;lang=en_US&amp;offset=0&amp;query=any,contains,991003147109702656","Catalog Record")</f>
        <v/>
      </c>
      <c r="AT551">
        <f>HYPERLINK("http://www.worldcat.org/oclc/687393","WorldCat Record")</f>
        <v/>
      </c>
      <c r="AU551" t="inlineStr">
        <is>
          <t>1772803:eng</t>
        </is>
      </c>
      <c r="AV551" t="inlineStr">
        <is>
          <t>687393</t>
        </is>
      </c>
      <c r="AW551" t="inlineStr">
        <is>
          <t>991003147109702656</t>
        </is>
      </c>
      <c r="AX551" t="inlineStr">
        <is>
          <t>991003147109702656</t>
        </is>
      </c>
      <c r="AY551" t="inlineStr">
        <is>
          <t>2269706210002656</t>
        </is>
      </c>
      <c r="AZ551" t="inlineStr">
        <is>
          <t>BOOK</t>
        </is>
      </c>
      <c r="BC551" t="inlineStr">
        <is>
          <t>32285002981263</t>
        </is>
      </c>
      <c r="BD551" t="inlineStr">
        <is>
          <t>893617047</t>
        </is>
      </c>
    </row>
    <row r="552">
      <c r="A552" t="inlineStr">
        <is>
          <t>No</t>
        </is>
      </c>
      <c r="B552" t="inlineStr">
        <is>
          <t>QL568.V5 F3</t>
        </is>
      </c>
      <c r="C552" t="inlineStr">
        <is>
          <t>0                      QL 0568000V  5                  F  3</t>
        </is>
      </c>
      <c r="D552" t="inlineStr">
        <is>
          <t>The hunting wasps, by J. Henri Fabre; tr. by Alexander Teixeira de Mattos ...</t>
        </is>
      </c>
      <c r="F552" t="inlineStr">
        <is>
          <t>No</t>
        </is>
      </c>
      <c r="G552" t="inlineStr">
        <is>
          <t>1</t>
        </is>
      </c>
      <c r="H552" t="inlineStr">
        <is>
          <t>No</t>
        </is>
      </c>
      <c r="I552" t="inlineStr">
        <is>
          <t>No</t>
        </is>
      </c>
      <c r="J552" t="inlineStr">
        <is>
          <t>0</t>
        </is>
      </c>
      <c r="K552" t="inlineStr">
        <is>
          <t>Fabre, Jean-Henri, 1823-1915.</t>
        </is>
      </c>
      <c r="L552" t="inlineStr">
        <is>
          <t>New York, Dodd, Mead and Company, 1915.</t>
        </is>
      </c>
      <c r="M552" t="inlineStr">
        <is>
          <t>1915</t>
        </is>
      </c>
      <c r="O552" t="inlineStr">
        <is>
          <t>eng</t>
        </is>
      </c>
      <c r="P552" t="inlineStr">
        <is>
          <t>nyu</t>
        </is>
      </c>
      <c r="R552" t="inlineStr">
        <is>
          <t xml:space="preserve">QL </t>
        </is>
      </c>
      <c r="S552" t="n">
        <v>2</v>
      </c>
      <c r="T552" t="n">
        <v>2</v>
      </c>
      <c r="U552" t="inlineStr">
        <is>
          <t>2005-02-17</t>
        </is>
      </c>
      <c r="V552" t="inlineStr">
        <is>
          <t>2005-02-17</t>
        </is>
      </c>
      <c r="W552" t="inlineStr">
        <is>
          <t>1997-07-25</t>
        </is>
      </c>
      <c r="X552" t="inlineStr">
        <is>
          <t>1997-07-25</t>
        </is>
      </c>
      <c r="Y552" t="n">
        <v>298</v>
      </c>
      <c r="Z552" t="n">
        <v>281</v>
      </c>
      <c r="AA552" t="n">
        <v>365</v>
      </c>
      <c r="AB552" t="n">
        <v>3</v>
      </c>
      <c r="AC552" t="n">
        <v>3</v>
      </c>
      <c r="AD552" t="n">
        <v>12</v>
      </c>
      <c r="AE552" t="n">
        <v>16</v>
      </c>
      <c r="AF552" t="n">
        <v>4</v>
      </c>
      <c r="AG552" t="n">
        <v>6</v>
      </c>
      <c r="AH552" t="n">
        <v>4</v>
      </c>
      <c r="AI552" t="n">
        <v>6</v>
      </c>
      <c r="AJ552" t="n">
        <v>8</v>
      </c>
      <c r="AK552" t="n">
        <v>10</v>
      </c>
      <c r="AL552" t="n">
        <v>2</v>
      </c>
      <c r="AM552" t="n">
        <v>2</v>
      </c>
      <c r="AN552" t="n">
        <v>0</v>
      </c>
      <c r="AO552" t="n">
        <v>0</v>
      </c>
      <c r="AP552" t="inlineStr">
        <is>
          <t>Yes</t>
        </is>
      </c>
      <c r="AQ552" t="inlineStr">
        <is>
          <t>No</t>
        </is>
      </c>
      <c r="AR552">
        <f>HYPERLINK("http://catalog.hathitrust.org/Record/002007699","HathiTrust Record")</f>
        <v/>
      </c>
      <c r="AS552">
        <f>HYPERLINK("https://creighton-primo.hosted.exlibrisgroup.com/primo-explore/search?tab=default_tab&amp;search_scope=EVERYTHING&amp;vid=01CRU&amp;lang=en_US&amp;offset=0&amp;query=any,contains,991003604829702656","Catalog Record")</f>
        <v/>
      </c>
      <c r="AT552">
        <f>HYPERLINK("http://www.worldcat.org/oclc/1184274","WorldCat Record")</f>
        <v/>
      </c>
      <c r="AU552" t="inlineStr">
        <is>
          <t>3901061979:eng</t>
        </is>
      </c>
      <c r="AV552" t="inlineStr">
        <is>
          <t>1184274</t>
        </is>
      </c>
      <c r="AW552" t="inlineStr">
        <is>
          <t>991003604829702656</t>
        </is>
      </c>
      <c r="AX552" t="inlineStr">
        <is>
          <t>991003604829702656</t>
        </is>
      </c>
      <c r="AY552" t="inlineStr">
        <is>
          <t>2268194320002656</t>
        </is>
      </c>
      <c r="AZ552" t="inlineStr">
        <is>
          <t>BOOK</t>
        </is>
      </c>
      <c r="BC552" t="inlineStr">
        <is>
          <t>32285002981271</t>
        </is>
      </c>
      <c r="BD552" t="inlineStr">
        <is>
          <t>893525004</t>
        </is>
      </c>
    </row>
    <row r="553">
      <c r="A553" t="inlineStr">
        <is>
          <t>No</t>
        </is>
      </c>
      <c r="B553" t="inlineStr">
        <is>
          <t>QL568.V5 G47 1996</t>
        </is>
      </c>
      <c r="C553" t="inlineStr">
        <is>
          <t>0                      QL 0568000V  5                  G  47          1996</t>
        </is>
      </c>
      <c r="D553" t="inlineStr">
        <is>
          <t>The pollen wasps : ecology and natural history of the Masarinae / Sarah K. Gess.</t>
        </is>
      </c>
      <c r="F553" t="inlineStr">
        <is>
          <t>No</t>
        </is>
      </c>
      <c r="G553" t="inlineStr">
        <is>
          <t>1</t>
        </is>
      </c>
      <c r="H553" t="inlineStr">
        <is>
          <t>No</t>
        </is>
      </c>
      <c r="I553" t="inlineStr">
        <is>
          <t>No</t>
        </is>
      </c>
      <c r="J553" t="inlineStr">
        <is>
          <t>0</t>
        </is>
      </c>
      <c r="K553" t="inlineStr">
        <is>
          <t>Gess, Sarah K.</t>
        </is>
      </c>
      <c r="L553" t="inlineStr">
        <is>
          <t>Cambridge, Mass. : Harvard University Press, 1996.</t>
        </is>
      </c>
      <c r="M553" t="inlineStr">
        <is>
          <t>1996</t>
        </is>
      </c>
      <c r="O553" t="inlineStr">
        <is>
          <t>eng</t>
        </is>
      </c>
      <c r="P553" t="inlineStr">
        <is>
          <t>mau</t>
        </is>
      </c>
      <c r="R553" t="inlineStr">
        <is>
          <t xml:space="preserve">QL </t>
        </is>
      </c>
      <c r="S553" t="n">
        <v>1</v>
      </c>
      <c r="T553" t="n">
        <v>1</v>
      </c>
      <c r="U553" t="inlineStr">
        <is>
          <t>2007-02-23</t>
        </is>
      </c>
      <c r="V553" t="inlineStr">
        <is>
          <t>2007-02-23</t>
        </is>
      </c>
      <c r="W553" t="inlineStr">
        <is>
          <t>1997-04-18</t>
        </is>
      </c>
      <c r="X553" t="inlineStr">
        <is>
          <t>1997-04-18</t>
        </is>
      </c>
      <c r="Y553" t="n">
        <v>216</v>
      </c>
      <c r="Z553" t="n">
        <v>168</v>
      </c>
      <c r="AA553" t="n">
        <v>173</v>
      </c>
      <c r="AB553" t="n">
        <v>3</v>
      </c>
      <c r="AC553" t="n">
        <v>3</v>
      </c>
      <c r="AD553" t="n">
        <v>7</v>
      </c>
      <c r="AE553" t="n">
        <v>7</v>
      </c>
      <c r="AF553" t="n">
        <v>0</v>
      </c>
      <c r="AG553" t="n">
        <v>0</v>
      </c>
      <c r="AH553" t="n">
        <v>2</v>
      </c>
      <c r="AI553" t="n">
        <v>2</v>
      </c>
      <c r="AJ553" t="n">
        <v>4</v>
      </c>
      <c r="AK553" t="n">
        <v>4</v>
      </c>
      <c r="AL553" t="n">
        <v>2</v>
      </c>
      <c r="AM553" t="n">
        <v>2</v>
      </c>
      <c r="AN553" t="n">
        <v>0</v>
      </c>
      <c r="AO553" t="n">
        <v>0</v>
      </c>
      <c r="AP553" t="inlineStr">
        <is>
          <t>No</t>
        </is>
      </c>
      <c r="AQ553" t="inlineStr">
        <is>
          <t>No</t>
        </is>
      </c>
      <c r="AS553">
        <f>HYPERLINK("https://creighton-primo.hosted.exlibrisgroup.com/primo-explore/search?tab=default_tab&amp;search_scope=EVERYTHING&amp;vid=01CRU&amp;lang=en_US&amp;offset=0&amp;query=any,contains,991002545209702656","Catalog Record")</f>
        <v/>
      </c>
      <c r="AT553">
        <f>HYPERLINK("http://www.worldcat.org/oclc/33078359","WorldCat Record")</f>
        <v/>
      </c>
      <c r="AU553" t="inlineStr">
        <is>
          <t>2683135:eng</t>
        </is>
      </c>
      <c r="AV553" t="inlineStr">
        <is>
          <t>33078359</t>
        </is>
      </c>
      <c r="AW553" t="inlineStr">
        <is>
          <t>991002545209702656</t>
        </is>
      </c>
      <c r="AX553" t="inlineStr">
        <is>
          <t>991002545209702656</t>
        </is>
      </c>
      <c r="AY553" t="inlineStr">
        <is>
          <t>2255381270002656</t>
        </is>
      </c>
      <c r="AZ553" t="inlineStr">
        <is>
          <t>BOOK</t>
        </is>
      </c>
      <c r="BB553" t="inlineStr">
        <is>
          <t>9780674689640</t>
        </is>
      </c>
      <c r="BC553" t="inlineStr">
        <is>
          <t>32285002498540</t>
        </is>
      </c>
      <c r="BD553" t="inlineStr">
        <is>
          <t>893773746</t>
        </is>
      </c>
    </row>
    <row r="554">
      <c r="A554" t="inlineStr">
        <is>
          <t>No</t>
        </is>
      </c>
      <c r="B554" t="inlineStr">
        <is>
          <t>QL568.V5 S58 1991</t>
        </is>
      </c>
      <c r="C554" t="inlineStr">
        <is>
          <t>0                      QL 0568000V  5                  S  58          1991</t>
        </is>
      </c>
      <c r="D554" t="inlineStr">
        <is>
          <t>The Social biology of wasps / edited by Kenneth G. Ross, Robert W. Matthews.</t>
        </is>
      </c>
      <c r="F554" t="inlineStr">
        <is>
          <t>No</t>
        </is>
      </c>
      <c r="G554" t="inlineStr">
        <is>
          <t>1</t>
        </is>
      </c>
      <c r="H554" t="inlineStr">
        <is>
          <t>No</t>
        </is>
      </c>
      <c r="I554" t="inlineStr">
        <is>
          <t>No</t>
        </is>
      </c>
      <c r="J554" t="inlineStr">
        <is>
          <t>0</t>
        </is>
      </c>
      <c r="L554" t="inlineStr">
        <is>
          <t>Ithaca : Comstock Pub. Associates, 1991.</t>
        </is>
      </c>
      <c r="M554" t="inlineStr">
        <is>
          <t>1991</t>
        </is>
      </c>
      <c r="O554" t="inlineStr">
        <is>
          <t>eng</t>
        </is>
      </c>
      <c r="P554" t="inlineStr">
        <is>
          <t>nyu</t>
        </is>
      </c>
      <c r="R554" t="inlineStr">
        <is>
          <t xml:space="preserve">QL </t>
        </is>
      </c>
      <c r="S554" t="n">
        <v>2</v>
      </c>
      <c r="T554" t="n">
        <v>2</v>
      </c>
      <c r="U554" t="inlineStr">
        <is>
          <t>2007-02-28</t>
        </is>
      </c>
      <c r="V554" t="inlineStr">
        <is>
          <t>2007-02-28</t>
        </is>
      </c>
      <c r="W554" t="inlineStr">
        <is>
          <t>1992-05-08</t>
        </is>
      </c>
      <c r="X554" t="inlineStr">
        <is>
          <t>1992-05-08</t>
        </is>
      </c>
      <c r="Y554" t="n">
        <v>404</v>
      </c>
      <c r="Z554" t="n">
        <v>320</v>
      </c>
      <c r="AA554" t="n">
        <v>506</v>
      </c>
      <c r="AB554" t="n">
        <v>4</v>
      </c>
      <c r="AC554" t="n">
        <v>4</v>
      </c>
      <c r="AD554" t="n">
        <v>14</v>
      </c>
      <c r="AE554" t="n">
        <v>24</v>
      </c>
      <c r="AF554" t="n">
        <v>2</v>
      </c>
      <c r="AG554" t="n">
        <v>9</v>
      </c>
      <c r="AH554" t="n">
        <v>5</v>
      </c>
      <c r="AI554" t="n">
        <v>8</v>
      </c>
      <c r="AJ554" t="n">
        <v>7</v>
      </c>
      <c r="AK554" t="n">
        <v>11</v>
      </c>
      <c r="AL554" t="n">
        <v>3</v>
      </c>
      <c r="AM554" t="n">
        <v>3</v>
      </c>
      <c r="AN554" t="n">
        <v>0</v>
      </c>
      <c r="AO554" t="n">
        <v>0</v>
      </c>
      <c r="AP554" t="inlineStr">
        <is>
          <t>No</t>
        </is>
      </c>
      <c r="AQ554" t="inlineStr">
        <is>
          <t>Yes</t>
        </is>
      </c>
      <c r="AR554">
        <f>HYPERLINK("http://catalog.hathitrust.org/Record/002518262","HathiTrust Record")</f>
        <v/>
      </c>
      <c r="AS554">
        <f>HYPERLINK("https://creighton-primo.hosted.exlibrisgroup.com/primo-explore/search?tab=default_tab&amp;search_scope=EVERYTHING&amp;vid=01CRU&amp;lang=en_US&amp;offset=0&amp;query=any,contains,991001752879702656","Catalog Record")</f>
        <v/>
      </c>
      <c r="AT554">
        <f>HYPERLINK("http://www.worldcat.org/oclc/22184337","WorldCat Record")</f>
        <v/>
      </c>
      <c r="AU554" t="inlineStr">
        <is>
          <t>350462189:eng</t>
        </is>
      </c>
      <c r="AV554" t="inlineStr">
        <is>
          <t>22184337</t>
        </is>
      </c>
      <c r="AW554" t="inlineStr">
        <is>
          <t>991001752879702656</t>
        </is>
      </c>
      <c r="AX554" t="inlineStr">
        <is>
          <t>991001752879702656</t>
        </is>
      </c>
      <c r="AY554" t="inlineStr">
        <is>
          <t>2259474730002656</t>
        </is>
      </c>
      <c r="AZ554" t="inlineStr">
        <is>
          <t>BOOK</t>
        </is>
      </c>
      <c r="BB554" t="inlineStr">
        <is>
          <t>9780801499067</t>
        </is>
      </c>
      <c r="BC554" t="inlineStr">
        <is>
          <t>32285001038842</t>
        </is>
      </c>
      <c r="BD554" t="inlineStr">
        <is>
          <t>893703298</t>
        </is>
      </c>
    </row>
    <row r="555">
      <c r="A555" t="inlineStr">
        <is>
          <t>No</t>
        </is>
      </c>
      <c r="B555" t="inlineStr">
        <is>
          <t>QL568.V5 S65</t>
        </is>
      </c>
      <c r="C555" t="inlineStr">
        <is>
          <t>0                      QL 0568000V  5                  S  65</t>
        </is>
      </c>
      <c r="D555" t="inlineStr">
        <is>
          <t>Wasps; an account of the biology and natural history of solitary and social wasps, by J. Philip Spradbery. With a foreword by O. W. Richards.</t>
        </is>
      </c>
      <c r="F555" t="inlineStr">
        <is>
          <t>No</t>
        </is>
      </c>
      <c r="G555" t="inlineStr">
        <is>
          <t>1</t>
        </is>
      </c>
      <c r="H555" t="inlineStr">
        <is>
          <t>No</t>
        </is>
      </c>
      <c r="I555" t="inlineStr">
        <is>
          <t>No</t>
        </is>
      </c>
      <c r="J555" t="inlineStr">
        <is>
          <t>0</t>
        </is>
      </c>
      <c r="K555" t="inlineStr">
        <is>
          <t>Spradbery, J. Philip.</t>
        </is>
      </c>
      <c r="L555" t="inlineStr">
        <is>
          <t>Seattle, University of Washington Press [1973]</t>
        </is>
      </c>
      <c r="M555" t="inlineStr">
        <is>
          <t>1973</t>
        </is>
      </c>
      <c r="O555" t="inlineStr">
        <is>
          <t>eng</t>
        </is>
      </c>
      <c r="P555" t="inlineStr">
        <is>
          <t>wau</t>
        </is>
      </c>
      <c r="Q555" t="inlineStr">
        <is>
          <t>Biology series</t>
        </is>
      </c>
      <c r="R555" t="inlineStr">
        <is>
          <t xml:space="preserve">QL </t>
        </is>
      </c>
      <c r="S555" t="n">
        <v>5</v>
      </c>
      <c r="T555" t="n">
        <v>5</v>
      </c>
      <c r="U555" t="inlineStr">
        <is>
          <t>2008-11-09</t>
        </is>
      </c>
      <c r="V555" t="inlineStr">
        <is>
          <t>2008-11-09</t>
        </is>
      </c>
      <c r="W555" t="inlineStr">
        <is>
          <t>1997-07-25</t>
        </is>
      </c>
      <c r="X555" t="inlineStr">
        <is>
          <t>1997-07-25</t>
        </is>
      </c>
      <c r="Y555" t="n">
        <v>549</v>
      </c>
      <c r="Z555" t="n">
        <v>500</v>
      </c>
      <c r="AA555" t="n">
        <v>500</v>
      </c>
      <c r="AB555" t="n">
        <v>3</v>
      </c>
      <c r="AC555" t="n">
        <v>3</v>
      </c>
      <c r="AD555" t="n">
        <v>15</v>
      </c>
      <c r="AE555" t="n">
        <v>15</v>
      </c>
      <c r="AF555" t="n">
        <v>9</v>
      </c>
      <c r="AG555" t="n">
        <v>9</v>
      </c>
      <c r="AH555" t="n">
        <v>4</v>
      </c>
      <c r="AI555" t="n">
        <v>4</v>
      </c>
      <c r="AJ555" t="n">
        <v>5</v>
      </c>
      <c r="AK555" t="n">
        <v>5</v>
      </c>
      <c r="AL555" t="n">
        <v>1</v>
      </c>
      <c r="AM555" t="n">
        <v>1</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HYPERLINK("https://creighton-primo.hosted.exlibrisgroup.com/primo-explore/search?tab=default_tab&amp;search_scope=EVERYTHING&amp;vid=01CRU&amp;lang=en_US&amp;offset=0&amp;query=any,contains,991003075639702656","Catalog Record")</f>
        <v/>
      </c>
      <c r="AT555">
        <f>HYPERLINK("http://www.worldcat.org/oclc/628415","WorldCat Record")</f>
        <v/>
      </c>
      <c r="AU555" t="inlineStr">
        <is>
          <t>3901931711:eng</t>
        </is>
      </c>
      <c r="AV555" t="inlineStr">
        <is>
          <t>628415</t>
        </is>
      </c>
      <c r="AW555" t="inlineStr">
        <is>
          <t>991003075639702656</t>
        </is>
      </c>
      <c r="AX555" t="inlineStr">
        <is>
          <t>991003075639702656</t>
        </is>
      </c>
      <c r="AY555" t="inlineStr">
        <is>
          <t>2269391570002656</t>
        </is>
      </c>
      <c r="AZ555" t="inlineStr">
        <is>
          <t>BOOK</t>
        </is>
      </c>
      <c r="BB555" t="inlineStr">
        <is>
          <t>9780295952871</t>
        </is>
      </c>
      <c r="BC555" t="inlineStr">
        <is>
          <t>32285002981297</t>
        </is>
      </c>
      <c r="BD555" t="inlineStr">
        <is>
          <t>893711020</t>
        </is>
      </c>
    </row>
    <row r="556">
      <c r="A556" t="inlineStr">
        <is>
          <t>No</t>
        </is>
      </c>
      <c r="B556" t="inlineStr">
        <is>
          <t>QL569 .M313</t>
        </is>
      </c>
      <c r="C556" t="inlineStr">
        <is>
          <t>0                      QL 0569000M  313</t>
        </is>
      </c>
      <c r="D556" t="inlineStr">
        <is>
          <t>Genesis of the Hymenoptera and the phases of their evolution [by] S. I. Malyshev; translated from the Russian by the National Lending Library for Science and Technology, edited by O. W. Richards and Sir Boris Uvarov.</t>
        </is>
      </c>
      <c r="F556" t="inlineStr">
        <is>
          <t>No</t>
        </is>
      </c>
      <c r="G556" t="inlineStr">
        <is>
          <t>1</t>
        </is>
      </c>
      <c r="H556" t="inlineStr">
        <is>
          <t>No</t>
        </is>
      </c>
      <c r="I556" t="inlineStr">
        <is>
          <t>No</t>
        </is>
      </c>
      <c r="J556" t="inlineStr">
        <is>
          <t>0</t>
        </is>
      </c>
      <c r="K556" t="inlineStr">
        <is>
          <t>Malyshev, S. I. (Sergeĭ Ivanovich), 1884-1967.</t>
        </is>
      </c>
      <c r="L556" t="inlineStr">
        <is>
          <t>London, Methuen, 1968.</t>
        </is>
      </c>
      <c r="M556" t="inlineStr">
        <is>
          <t>1968</t>
        </is>
      </c>
      <c r="O556" t="inlineStr">
        <is>
          <t>eng</t>
        </is>
      </c>
      <c r="P556" t="inlineStr">
        <is>
          <t>enk</t>
        </is>
      </c>
      <c r="R556" t="inlineStr">
        <is>
          <t xml:space="preserve">QL </t>
        </is>
      </c>
      <c r="S556" t="n">
        <v>2</v>
      </c>
      <c r="T556" t="n">
        <v>2</v>
      </c>
      <c r="U556" t="inlineStr">
        <is>
          <t>1998-02-25</t>
        </is>
      </c>
      <c r="V556" t="inlineStr">
        <is>
          <t>1998-02-25</t>
        </is>
      </c>
      <c r="W556" t="inlineStr">
        <is>
          <t>1997-07-25</t>
        </is>
      </c>
      <c r="X556" t="inlineStr">
        <is>
          <t>1997-07-25</t>
        </is>
      </c>
      <c r="Y556" t="n">
        <v>317</v>
      </c>
      <c r="Z556" t="n">
        <v>213</v>
      </c>
      <c r="AA556" t="n">
        <v>223</v>
      </c>
      <c r="AB556" t="n">
        <v>3</v>
      </c>
      <c r="AC556" t="n">
        <v>3</v>
      </c>
      <c r="AD556" t="n">
        <v>6</v>
      </c>
      <c r="AE556" t="n">
        <v>7</v>
      </c>
      <c r="AF556" t="n">
        <v>1</v>
      </c>
      <c r="AG556" t="n">
        <v>2</v>
      </c>
      <c r="AH556" t="n">
        <v>1</v>
      </c>
      <c r="AI556" t="n">
        <v>1</v>
      </c>
      <c r="AJ556" t="n">
        <v>2</v>
      </c>
      <c r="AK556" t="n">
        <v>3</v>
      </c>
      <c r="AL556" t="n">
        <v>2</v>
      </c>
      <c r="AM556" t="n">
        <v>2</v>
      </c>
      <c r="AN556" t="n">
        <v>0</v>
      </c>
      <c r="AO556" t="n">
        <v>0</v>
      </c>
      <c r="AP556" t="inlineStr">
        <is>
          <t>No</t>
        </is>
      </c>
      <c r="AQ556" t="inlineStr">
        <is>
          <t>Yes</t>
        </is>
      </c>
      <c r="AR556">
        <f>HYPERLINK("http://catalog.hathitrust.org/Record/001500616","HathiTrust Record")</f>
        <v/>
      </c>
      <c r="AS556">
        <f>HYPERLINK("https://creighton-primo.hosted.exlibrisgroup.com/primo-explore/search?tab=default_tab&amp;search_scope=EVERYTHING&amp;vid=01CRU&amp;lang=en_US&amp;offset=0&amp;query=any,contains,991000018059702656","Catalog Record")</f>
        <v/>
      </c>
      <c r="AT556">
        <f>HYPERLINK("http://www.worldcat.org/oclc/17012","WorldCat Record")</f>
        <v/>
      </c>
      <c r="AU556" t="inlineStr">
        <is>
          <t>142276:eng</t>
        </is>
      </c>
      <c r="AV556" t="inlineStr">
        <is>
          <t>17012</t>
        </is>
      </c>
      <c r="AW556" t="inlineStr">
        <is>
          <t>991000018059702656</t>
        </is>
      </c>
      <c r="AX556" t="inlineStr">
        <is>
          <t>991000018059702656</t>
        </is>
      </c>
      <c r="AY556" t="inlineStr">
        <is>
          <t>2271128720002656</t>
        </is>
      </c>
      <c r="AZ556" t="inlineStr">
        <is>
          <t>BOOK</t>
        </is>
      </c>
      <c r="BB556" t="inlineStr">
        <is>
          <t>9780416449501</t>
        </is>
      </c>
      <c r="BC556" t="inlineStr">
        <is>
          <t>32285002981313</t>
        </is>
      </c>
      <c r="BD556" t="inlineStr">
        <is>
          <t>893607547</t>
        </is>
      </c>
    </row>
    <row r="557">
      <c r="A557" t="inlineStr">
        <is>
          <t>No</t>
        </is>
      </c>
      <c r="B557" t="inlineStr">
        <is>
          <t>QL573 .C76</t>
        </is>
      </c>
      <c r="C557" t="inlineStr">
        <is>
          <t>0                      QL 0573000C  76</t>
        </is>
      </c>
      <c r="D557" t="inlineStr">
        <is>
          <t>The biology of the Coleoptera / R.A. Crowson.</t>
        </is>
      </c>
      <c r="F557" t="inlineStr">
        <is>
          <t>No</t>
        </is>
      </c>
      <c r="G557" t="inlineStr">
        <is>
          <t>1</t>
        </is>
      </c>
      <c r="H557" t="inlineStr">
        <is>
          <t>No</t>
        </is>
      </c>
      <c r="I557" t="inlineStr">
        <is>
          <t>No</t>
        </is>
      </c>
      <c r="J557" t="inlineStr">
        <is>
          <t>0</t>
        </is>
      </c>
      <c r="K557" t="inlineStr">
        <is>
          <t>Crowson, R. A. (Roy Albert)</t>
        </is>
      </c>
      <c r="L557" t="inlineStr">
        <is>
          <t>London ; New York : Academic press, 1981.</t>
        </is>
      </c>
      <c r="M557" t="inlineStr">
        <is>
          <t>1981</t>
        </is>
      </c>
      <c r="O557" t="inlineStr">
        <is>
          <t>eng</t>
        </is>
      </c>
      <c r="P557" t="inlineStr">
        <is>
          <t>enk</t>
        </is>
      </c>
      <c r="R557" t="inlineStr">
        <is>
          <t xml:space="preserve">QL </t>
        </is>
      </c>
      <c r="S557" t="n">
        <v>31</v>
      </c>
      <c r="T557" t="n">
        <v>31</v>
      </c>
      <c r="U557" t="inlineStr">
        <is>
          <t>2007-02-18</t>
        </is>
      </c>
      <c r="V557" t="inlineStr">
        <is>
          <t>2007-02-18</t>
        </is>
      </c>
      <c r="W557" t="inlineStr">
        <is>
          <t>1993-04-21</t>
        </is>
      </c>
      <c r="X557" t="inlineStr">
        <is>
          <t>1993-04-21</t>
        </is>
      </c>
      <c r="Y557" t="n">
        <v>409</v>
      </c>
      <c r="Z557" t="n">
        <v>254</v>
      </c>
      <c r="AA557" t="n">
        <v>293</v>
      </c>
      <c r="AB557" t="n">
        <v>4</v>
      </c>
      <c r="AC557" t="n">
        <v>4</v>
      </c>
      <c r="AD557" t="n">
        <v>8</v>
      </c>
      <c r="AE557" t="n">
        <v>10</v>
      </c>
      <c r="AF557" t="n">
        <v>1</v>
      </c>
      <c r="AG557" t="n">
        <v>2</v>
      </c>
      <c r="AH557" t="n">
        <v>2</v>
      </c>
      <c r="AI557" t="n">
        <v>3</v>
      </c>
      <c r="AJ557" t="n">
        <v>4</v>
      </c>
      <c r="AK557" t="n">
        <v>4</v>
      </c>
      <c r="AL557" t="n">
        <v>3</v>
      </c>
      <c r="AM557" t="n">
        <v>3</v>
      </c>
      <c r="AN557" t="n">
        <v>0</v>
      </c>
      <c r="AO557" t="n">
        <v>0</v>
      </c>
      <c r="AP557" t="inlineStr">
        <is>
          <t>No</t>
        </is>
      </c>
      <c r="AQ557" t="inlineStr">
        <is>
          <t>Yes</t>
        </is>
      </c>
      <c r="AR557">
        <f>HYPERLINK("http://catalog.hathitrust.org/Record/000307352","HathiTrust Record")</f>
        <v/>
      </c>
      <c r="AS557">
        <f>HYPERLINK("https://creighton-primo.hosted.exlibrisgroup.com/primo-explore/search?tab=default_tab&amp;search_scope=EVERYTHING&amp;vid=01CRU&amp;lang=en_US&amp;offset=0&amp;query=any,contains,991005192489702656","Catalog Record")</f>
        <v/>
      </c>
      <c r="AT557">
        <f>HYPERLINK("http://www.worldcat.org/oclc/8022003","WorldCat Record")</f>
        <v/>
      </c>
      <c r="AU557" t="inlineStr">
        <is>
          <t>408807:eng</t>
        </is>
      </c>
      <c r="AV557" t="inlineStr">
        <is>
          <t>8022003</t>
        </is>
      </c>
      <c r="AW557" t="inlineStr">
        <is>
          <t>991005192489702656</t>
        </is>
      </c>
      <c r="AX557" t="inlineStr">
        <is>
          <t>991005192489702656</t>
        </is>
      </c>
      <c r="AY557" t="inlineStr">
        <is>
          <t>2269570780002656</t>
        </is>
      </c>
      <c r="AZ557" t="inlineStr">
        <is>
          <t>BOOK</t>
        </is>
      </c>
      <c r="BB557" t="inlineStr">
        <is>
          <t>9780121960506</t>
        </is>
      </c>
      <c r="BC557" t="inlineStr">
        <is>
          <t>32285001623015</t>
        </is>
      </c>
      <c r="BD557" t="inlineStr">
        <is>
          <t>893501475</t>
        </is>
      </c>
    </row>
    <row r="558">
      <c r="A558" t="inlineStr">
        <is>
          <t>No</t>
        </is>
      </c>
      <c r="B558" t="inlineStr">
        <is>
          <t>QL573 .E89 1996</t>
        </is>
      </c>
      <c r="C558" t="inlineStr">
        <is>
          <t>0                      QL 0573000E  89          1996</t>
        </is>
      </c>
      <c r="D558" t="inlineStr">
        <is>
          <t>An inordinate fondness for beetles / Arthur V. Evans, Charles L. Bellamy ; photography by Lisa Charles Watson ; illustrations, Patricia Wynne.</t>
        </is>
      </c>
      <c r="F558" t="inlineStr">
        <is>
          <t>No</t>
        </is>
      </c>
      <c r="G558" t="inlineStr">
        <is>
          <t>1</t>
        </is>
      </c>
      <c r="H558" t="inlineStr">
        <is>
          <t>No</t>
        </is>
      </c>
      <c r="I558" t="inlineStr">
        <is>
          <t>No</t>
        </is>
      </c>
      <c r="J558" t="inlineStr">
        <is>
          <t>0</t>
        </is>
      </c>
      <c r="K558" t="inlineStr">
        <is>
          <t>Evans, Arthur V.</t>
        </is>
      </c>
      <c r="L558" t="inlineStr">
        <is>
          <t>New York : Henry Holt and Company, 1996.</t>
        </is>
      </c>
      <c r="M558" t="inlineStr">
        <is>
          <t>1996</t>
        </is>
      </c>
      <c r="N558" t="inlineStr">
        <is>
          <t>1st ed.</t>
        </is>
      </c>
      <c r="O558" t="inlineStr">
        <is>
          <t>eng</t>
        </is>
      </c>
      <c r="P558" t="inlineStr">
        <is>
          <t>nyu</t>
        </is>
      </c>
      <c r="Q558" t="inlineStr">
        <is>
          <t>A Henry Holt reference book</t>
        </is>
      </c>
      <c r="R558" t="inlineStr">
        <is>
          <t xml:space="preserve">QL </t>
        </is>
      </c>
      <c r="S558" t="n">
        <v>17</v>
      </c>
      <c r="T558" t="n">
        <v>17</v>
      </c>
      <c r="U558" t="inlineStr">
        <is>
          <t>2007-02-18</t>
        </is>
      </c>
      <c r="V558" t="inlineStr">
        <is>
          <t>2007-02-18</t>
        </is>
      </c>
      <c r="W558" t="inlineStr">
        <is>
          <t>1997-04-21</t>
        </is>
      </c>
      <c r="X558" t="inlineStr">
        <is>
          <t>1997-04-21</t>
        </is>
      </c>
      <c r="Y558" t="n">
        <v>1021</v>
      </c>
      <c r="Z558" t="n">
        <v>953</v>
      </c>
      <c r="AA558" t="n">
        <v>1115</v>
      </c>
      <c r="AB558" t="n">
        <v>8</v>
      </c>
      <c r="AC558" t="n">
        <v>8</v>
      </c>
      <c r="AD558" t="n">
        <v>23</v>
      </c>
      <c r="AE558" t="n">
        <v>25</v>
      </c>
      <c r="AF558" t="n">
        <v>9</v>
      </c>
      <c r="AG558" t="n">
        <v>10</v>
      </c>
      <c r="AH558" t="n">
        <v>2</v>
      </c>
      <c r="AI558" t="n">
        <v>3</v>
      </c>
      <c r="AJ558" t="n">
        <v>9</v>
      </c>
      <c r="AK558" t="n">
        <v>9</v>
      </c>
      <c r="AL558" t="n">
        <v>6</v>
      </c>
      <c r="AM558" t="n">
        <v>6</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HYPERLINK("https://creighton-primo.hosted.exlibrisgroup.com/primo-explore/search?tab=default_tab&amp;search_scope=EVERYTHING&amp;vid=01CRU&amp;lang=en_US&amp;offset=0&amp;query=any,contains,991002615979702656","Catalog Record")</f>
        <v/>
      </c>
      <c r="AT558">
        <f>HYPERLINK("http://www.worldcat.org/oclc/34284013","WorldCat Record")</f>
        <v/>
      </c>
      <c r="AU558" t="inlineStr">
        <is>
          <t>20641201:eng</t>
        </is>
      </c>
      <c r="AV558" t="inlineStr">
        <is>
          <t>34284013</t>
        </is>
      </c>
      <c r="AW558" t="inlineStr">
        <is>
          <t>991002615979702656</t>
        </is>
      </c>
      <c r="AX558" t="inlineStr">
        <is>
          <t>991002615979702656</t>
        </is>
      </c>
      <c r="AY558" t="inlineStr">
        <is>
          <t>2258238730002656</t>
        </is>
      </c>
      <c r="AZ558" t="inlineStr">
        <is>
          <t>BOOK</t>
        </is>
      </c>
      <c r="BB558" t="inlineStr">
        <is>
          <t>9780805037517</t>
        </is>
      </c>
      <c r="BC558" t="inlineStr">
        <is>
          <t>32285002498862</t>
        </is>
      </c>
      <c r="BD558" t="inlineStr">
        <is>
          <t>893892775</t>
        </is>
      </c>
    </row>
    <row r="559">
      <c r="A559" t="inlineStr">
        <is>
          <t>No</t>
        </is>
      </c>
      <c r="B559" t="inlineStr">
        <is>
          <t>QL576 .F15</t>
        </is>
      </c>
      <c r="C559" t="inlineStr">
        <is>
          <t>0                      QL 0576000F  15</t>
        </is>
      </c>
      <c r="D559" t="inlineStr">
        <is>
          <t>The glow-worm and other beetles, by Henri Fabre; tr. by Alexander Teixeira de Mattos.</t>
        </is>
      </c>
      <c r="F559" t="inlineStr">
        <is>
          <t>No</t>
        </is>
      </c>
      <c r="G559" t="inlineStr">
        <is>
          <t>1</t>
        </is>
      </c>
      <c r="H559" t="inlineStr">
        <is>
          <t>No</t>
        </is>
      </c>
      <c r="I559" t="inlineStr">
        <is>
          <t>No</t>
        </is>
      </c>
      <c r="J559" t="inlineStr">
        <is>
          <t>0</t>
        </is>
      </c>
      <c r="K559" t="inlineStr">
        <is>
          <t>Fabre, Jean-Henri, 1823-1915.</t>
        </is>
      </c>
      <c r="L559" t="inlineStr">
        <is>
          <t>New York, Dodd, Mead and company, 1919.</t>
        </is>
      </c>
      <c r="M559" t="inlineStr">
        <is>
          <t>1919</t>
        </is>
      </c>
      <c r="O559" t="inlineStr">
        <is>
          <t>eng</t>
        </is>
      </c>
      <c r="P559" t="inlineStr">
        <is>
          <t xml:space="preserve">xx </t>
        </is>
      </c>
      <c r="R559" t="inlineStr">
        <is>
          <t xml:space="preserve">QL </t>
        </is>
      </c>
      <c r="S559" t="n">
        <v>1</v>
      </c>
      <c r="T559" t="n">
        <v>1</v>
      </c>
      <c r="U559" t="inlineStr">
        <is>
          <t>2001-03-30</t>
        </is>
      </c>
      <c r="V559" t="inlineStr">
        <is>
          <t>2001-03-30</t>
        </is>
      </c>
      <c r="W559" t="inlineStr">
        <is>
          <t>1997-07-25</t>
        </is>
      </c>
      <c r="X559" t="inlineStr">
        <is>
          <t>1997-07-25</t>
        </is>
      </c>
      <c r="Y559" t="n">
        <v>202</v>
      </c>
      <c r="Z559" t="n">
        <v>188</v>
      </c>
      <c r="AA559" t="n">
        <v>261</v>
      </c>
      <c r="AB559" t="n">
        <v>4</v>
      </c>
      <c r="AC559" t="n">
        <v>4</v>
      </c>
      <c r="AD559" t="n">
        <v>10</v>
      </c>
      <c r="AE559" t="n">
        <v>12</v>
      </c>
      <c r="AF559" t="n">
        <v>2</v>
      </c>
      <c r="AG559" t="n">
        <v>3</v>
      </c>
      <c r="AH559" t="n">
        <v>2</v>
      </c>
      <c r="AI559" t="n">
        <v>2</v>
      </c>
      <c r="AJ559" t="n">
        <v>6</v>
      </c>
      <c r="AK559" t="n">
        <v>8</v>
      </c>
      <c r="AL559" t="n">
        <v>3</v>
      </c>
      <c r="AM559" t="n">
        <v>3</v>
      </c>
      <c r="AN559" t="n">
        <v>0</v>
      </c>
      <c r="AO559" t="n">
        <v>0</v>
      </c>
      <c r="AP559" t="inlineStr">
        <is>
          <t>Yes</t>
        </is>
      </c>
      <c r="AQ559" t="inlineStr">
        <is>
          <t>No</t>
        </is>
      </c>
      <c r="AR559">
        <f>HYPERLINK("http://catalog.hathitrust.org/Record/004414034","HathiTrust Record")</f>
        <v/>
      </c>
      <c r="AS559">
        <f>HYPERLINK("https://creighton-primo.hosted.exlibrisgroup.com/primo-explore/search?tab=default_tab&amp;search_scope=EVERYTHING&amp;vid=01CRU&amp;lang=en_US&amp;offset=0&amp;query=any,contains,991003465169702656","Catalog Record")</f>
        <v/>
      </c>
      <c r="AT559">
        <f>HYPERLINK("http://www.worldcat.org/oclc/1006811","WorldCat Record")</f>
        <v/>
      </c>
      <c r="AU559" t="inlineStr">
        <is>
          <t>1924312:eng</t>
        </is>
      </c>
      <c r="AV559" t="inlineStr">
        <is>
          <t>1006811</t>
        </is>
      </c>
      <c r="AW559" t="inlineStr">
        <is>
          <t>991003465169702656</t>
        </is>
      </c>
      <c r="AX559" t="inlineStr">
        <is>
          <t>991003465169702656</t>
        </is>
      </c>
      <c r="AY559" t="inlineStr">
        <is>
          <t>2263957460002656</t>
        </is>
      </c>
      <c r="AZ559" t="inlineStr">
        <is>
          <t>BOOK</t>
        </is>
      </c>
      <c r="BC559" t="inlineStr">
        <is>
          <t>32285002981321</t>
        </is>
      </c>
      <c r="BD559" t="inlineStr">
        <is>
          <t>893774740</t>
        </is>
      </c>
    </row>
    <row r="560">
      <c r="A560" t="inlineStr">
        <is>
          <t>No</t>
        </is>
      </c>
      <c r="B560" t="inlineStr">
        <is>
          <t>QL576 .F2</t>
        </is>
      </c>
      <c r="C560" t="inlineStr">
        <is>
          <t>0                      QL 0576000F  2</t>
        </is>
      </c>
      <c r="D560" t="inlineStr">
        <is>
          <t>The sacred beetle, and others, by J. Henri Fabre; tr. by Alexander Teixeira de Mattos ... with a preface by the author.</t>
        </is>
      </c>
      <c r="F560" t="inlineStr">
        <is>
          <t>No</t>
        </is>
      </c>
      <c r="G560" t="inlineStr">
        <is>
          <t>1</t>
        </is>
      </c>
      <c r="H560" t="inlineStr">
        <is>
          <t>No</t>
        </is>
      </c>
      <c r="I560" t="inlineStr">
        <is>
          <t>No</t>
        </is>
      </c>
      <c r="J560" t="inlineStr">
        <is>
          <t>0</t>
        </is>
      </c>
      <c r="K560" t="inlineStr">
        <is>
          <t>Fabre, Jean-Henri, 1823-1915.</t>
        </is>
      </c>
      <c r="L560" t="inlineStr">
        <is>
          <t>New York, Dodd, Mead and company, 1918.</t>
        </is>
      </c>
      <c r="M560" t="inlineStr">
        <is>
          <t>1918</t>
        </is>
      </c>
      <c r="O560" t="inlineStr">
        <is>
          <t>eng</t>
        </is>
      </c>
      <c r="P560" t="inlineStr">
        <is>
          <t xml:space="preserve">xx </t>
        </is>
      </c>
      <c r="R560" t="inlineStr">
        <is>
          <t xml:space="preserve">QL </t>
        </is>
      </c>
      <c r="S560" t="n">
        <v>3</v>
      </c>
      <c r="T560" t="n">
        <v>3</v>
      </c>
      <c r="U560" t="inlineStr">
        <is>
          <t>1999-01-21</t>
        </is>
      </c>
      <c r="V560" t="inlineStr">
        <is>
          <t>1999-01-21</t>
        </is>
      </c>
      <c r="W560" t="inlineStr">
        <is>
          <t>1997-07-25</t>
        </is>
      </c>
      <c r="X560" t="inlineStr">
        <is>
          <t>1997-07-25</t>
        </is>
      </c>
      <c r="Y560" t="n">
        <v>179</v>
      </c>
      <c r="Z560" t="n">
        <v>171</v>
      </c>
      <c r="AA560" t="n">
        <v>252</v>
      </c>
      <c r="AB560" t="n">
        <v>3</v>
      </c>
      <c r="AC560" t="n">
        <v>3</v>
      </c>
      <c r="AD560" t="n">
        <v>9</v>
      </c>
      <c r="AE560" t="n">
        <v>14</v>
      </c>
      <c r="AF560" t="n">
        <v>2</v>
      </c>
      <c r="AG560" t="n">
        <v>3</v>
      </c>
      <c r="AH560" t="n">
        <v>1</v>
      </c>
      <c r="AI560" t="n">
        <v>3</v>
      </c>
      <c r="AJ560" t="n">
        <v>6</v>
      </c>
      <c r="AK560" t="n">
        <v>10</v>
      </c>
      <c r="AL560" t="n">
        <v>2</v>
      </c>
      <c r="AM560" t="n">
        <v>2</v>
      </c>
      <c r="AN560" t="n">
        <v>0</v>
      </c>
      <c r="AO560" t="n">
        <v>0</v>
      </c>
      <c r="AP560" t="inlineStr">
        <is>
          <t>Yes</t>
        </is>
      </c>
      <c r="AQ560" t="inlineStr">
        <is>
          <t>No</t>
        </is>
      </c>
      <c r="AR560">
        <f>HYPERLINK("http://catalog.hathitrust.org/Record/001500626","HathiTrust Record")</f>
        <v/>
      </c>
      <c r="AS560">
        <f>HYPERLINK("https://creighton-primo.hosted.exlibrisgroup.com/primo-explore/search?tab=default_tab&amp;search_scope=EVERYTHING&amp;vid=01CRU&amp;lang=en_US&amp;offset=0&amp;query=any,contains,991003465139702656","Catalog Record")</f>
        <v/>
      </c>
      <c r="AT560">
        <f>HYPERLINK("http://www.worldcat.org/oclc/1006779","WorldCat Record")</f>
        <v/>
      </c>
      <c r="AU560" t="inlineStr">
        <is>
          <t>10071442:eng</t>
        </is>
      </c>
      <c r="AV560" t="inlineStr">
        <is>
          <t>1006779</t>
        </is>
      </c>
      <c r="AW560" t="inlineStr">
        <is>
          <t>991003465139702656</t>
        </is>
      </c>
      <c r="AX560" t="inlineStr">
        <is>
          <t>991003465139702656</t>
        </is>
      </c>
      <c r="AY560" t="inlineStr">
        <is>
          <t>2263948230002656</t>
        </is>
      </c>
      <c r="AZ560" t="inlineStr">
        <is>
          <t>BOOK</t>
        </is>
      </c>
      <c r="BC560" t="inlineStr">
        <is>
          <t>32285002981339</t>
        </is>
      </c>
      <c r="BD560" t="inlineStr">
        <is>
          <t>893324091</t>
        </is>
      </c>
    </row>
    <row r="561">
      <c r="A561" t="inlineStr">
        <is>
          <t>No</t>
        </is>
      </c>
      <c r="B561" t="inlineStr">
        <is>
          <t>QL58 .L58 1984</t>
        </is>
      </c>
      <c r="C561" t="inlineStr">
        <is>
          <t>0                      QL 0058000L  58          1984</t>
        </is>
      </c>
      <c r="D561" t="inlineStr">
        <is>
          <t>Living fossils / edited by Niles Eldredge and Steven M. Stanley.</t>
        </is>
      </c>
      <c r="F561" t="inlineStr">
        <is>
          <t>No</t>
        </is>
      </c>
      <c r="G561" t="inlineStr">
        <is>
          <t>1</t>
        </is>
      </c>
      <c r="H561" t="inlineStr">
        <is>
          <t>No</t>
        </is>
      </c>
      <c r="I561" t="inlineStr">
        <is>
          <t>No</t>
        </is>
      </c>
      <c r="J561" t="inlineStr">
        <is>
          <t>0</t>
        </is>
      </c>
      <c r="L561" t="inlineStr">
        <is>
          <t>New York : Springer Verlag, c1984.</t>
        </is>
      </c>
      <c r="M561" t="inlineStr">
        <is>
          <t>1984</t>
        </is>
      </c>
      <c r="O561" t="inlineStr">
        <is>
          <t>eng</t>
        </is>
      </c>
      <c r="P561" t="inlineStr">
        <is>
          <t>nyu</t>
        </is>
      </c>
      <c r="Q561" t="inlineStr">
        <is>
          <t>Casebooks in earth sciences</t>
        </is>
      </c>
      <c r="R561" t="inlineStr">
        <is>
          <t xml:space="preserve">QL </t>
        </is>
      </c>
      <c r="S561" t="n">
        <v>113</v>
      </c>
      <c r="T561" t="n">
        <v>113</v>
      </c>
      <c r="U561" t="inlineStr">
        <is>
          <t>2001-07-10</t>
        </is>
      </c>
      <c r="V561" t="inlineStr">
        <is>
          <t>2001-07-10</t>
        </is>
      </c>
      <c r="W561" t="inlineStr">
        <is>
          <t>1993-05-21</t>
        </is>
      </c>
      <c r="X561" t="inlineStr">
        <is>
          <t>1993-05-21</t>
        </is>
      </c>
      <c r="Y561" t="n">
        <v>594</v>
      </c>
      <c r="Z561" t="n">
        <v>451</v>
      </c>
      <c r="AA561" t="n">
        <v>474</v>
      </c>
      <c r="AB561" t="n">
        <v>4</v>
      </c>
      <c r="AC561" t="n">
        <v>4</v>
      </c>
      <c r="AD561" t="n">
        <v>15</v>
      </c>
      <c r="AE561" t="n">
        <v>15</v>
      </c>
      <c r="AF561" t="n">
        <v>6</v>
      </c>
      <c r="AG561" t="n">
        <v>6</v>
      </c>
      <c r="AH561" t="n">
        <v>3</v>
      </c>
      <c r="AI561" t="n">
        <v>3</v>
      </c>
      <c r="AJ561" t="n">
        <v>8</v>
      </c>
      <c r="AK561" t="n">
        <v>8</v>
      </c>
      <c r="AL561" t="n">
        <v>3</v>
      </c>
      <c r="AM561" t="n">
        <v>3</v>
      </c>
      <c r="AN561" t="n">
        <v>0</v>
      </c>
      <c r="AO561" t="n">
        <v>0</v>
      </c>
      <c r="AP561" t="inlineStr">
        <is>
          <t>No</t>
        </is>
      </c>
      <c r="AQ561" t="inlineStr">
        <is>
          <t>Yes</t>
        </is>
      </c>
      <c r="AR561">
        <f>HYPERLINK("http://catalog.hathitrust.org/Record/000609142","HathiTrust Record")</f>
        <v/>
      </c>
      <c r="AS561">
        <f>HYPERLINK("https://creighton-primo.hosted.exlibrisgroup.com/primo-explore/search?tab=default_tab&amp;search_scope=EVERYTHING&amp;vid=01CRU&amp;lang=en_US&amp;offset=0&amp;query=any,contains,991000366459702656","Catalog Record")</f>
        <v/>
      </c>
      <c r="AT561">
        <f>HYPERLINK("http://www.worldcat.org/oclc/10403493","WorldCat Record")</f>
        <v/>
      </c>
      <c r="AU561" t="inlineStr">
        <is>
          <t>349741513:eng</t>
        </is>
      </c>
      <c r="AV561" t="inlineStr">
        <is>
          <t>10403493</t>
        </is>
      </c>
      <c r="AW561" t="inlineStr">
        <is>
          <t>991000366459702656</t>
        </is>
      </c>
      <c r="AX561" t="inlineStr">
        <is>
          <t>991000366459702656</t>
        </is>
      </c>
      <c r="AY561" t="inlineStr">
        <is>
          <t>2267150570002656</t>
        </is>
      </c>
      <c r="AZ561" t="inlineStr">
        <is>
          <t>BOOK</t>
        </is>
      </c>
      <c r="BB561" t="inlineStr">
        <is>
          <t>9780387909578</t>
        </is>
      </c>
      <c r="BC561" t="inlineStr">
        <is>
          <t>32285001686137</t>
        </is>
      </c>
      <c r="BD561" t="inlineStr">
        <is>
          <t>893695773</t>
        </is>
      </c>
    </row>
    <row r="562">
      <c r="A562" t="inlineStr">
        <is>
          <t>No</t>
        </is>
      </c>
      <c r="B562" t="inlineStr">
        <is>
          <t>QL581 .W47 1983</t>
        </is>
      </c>
      <c r="C562" t="inlineStr">
        <is>
          <t>0                      QL 0581000W  47          1983</t>
        </is>
      </c>
      <c r="D562" t="inlineStr">
        <is>
          <t>A field guide to the beetles of North America : text and illustrations / by Richard E. White.</t>
        </is>
      </c>
      <c r="F562" t="inlineStr">
        <is>
          <t>No</t>
        </is>
      </c>
      <c r="G562" t="inlineStr">
        <is>
          <t>1</t>
        </is>
      </c>
      <c r="H562" t="inlineStr">
        <is>
          <t>No</t>
        </is>
      </c>
      <c r="I562" t="inlineStr">
        <is>
          <t>No</t>
        </is>
      </c>
      <c r="J562" t="inlineStr">
        <is>
          <t>0</t>
        </is>
      </c>
      <c r="K562" t="inlineStr">
        <is>
          <t>White, Richard E.</t>
        </is>
      </c>
      <c r="L562" t="inlineStr">
        <is>
          <t>Boston : Houghton Mifflin, 1983.</t>
        </is>
      </c>
      <c r="M562" t="inlineStr">
        <is>
          <t>1983</t>
        </is>
      </c>
      <c r="O562" t="inlineStr">
        <is>
          <t>eng</t>
        </is>
      </c>
      <c r="P562" t="inlineStr">
        <is>
          <t>mau</t>
        </is>
      </c>
      <c r="Q562" t="inlineStr">
        <is>
          <t>The Peterson field guide series ; 29</t>
        </is>
      </c>
      <c r="R562" t="inlineStr">
        <is>
          <t xml:space="preserve">QL </t>
        </is>
      </c>
      <c r="S562" t="n">
        <v>26</v>
      </c>
      <c r="T562" t="n">
        <v>26</v>
      </c>
      <c r="U562" t="inlineStr">
        <is>
          <t>2010-01-22</t>
        </is>
      </c>
      <c r="V562" t="inlineStr">
        <is>
          <t>2010-01-22</t>
        </is>
      </c>
      <c r="W562" t="inlineStr">
        <is>
          <t>1993-04-21</t>
        </is>
      </c>
      <c r="X562" t="inlineStr">
        <is>
          <t>1993-04-21</t>
        </is>
      </c>
      <c r="Y562" t="n">
        <v>1186</v>
      </c>
      <c r="Z562" t="n">
        <v>1109</v>
      </c>
      <c r="AA562" t="n">
        <v>1118</v>
      </c>
      <c r="AB562" t="n">
        <v>9</v>
      </c>
      <c r="AC562" t="n">
        <v>9</v>
      </c>
      <c r="AD562" t="n">
        <v>18</v>
      </c>
      <c r="AE562" t="n">
        <v>18</v>
      </c>
      <c r="AF562" t="n">
        <v>8</v>
      </c>
      <c r="AG562" t="n">
        <v>8</v>
      </c>
      <c r="AH562" t="n">
        <v>1</v>
      </c>
      <c r="AI562" t="n">
        <v>1</v>
      </c>
      <c r="AJ562" t="n">
        <v>8</v>
      </c>
      <c r="AK562" t="n">
        <v>8</v>
      </c>
      <c r="AL562" t="n">
        <v>4</v>
      </c>
      <c r="AM562" t="n">
        <v>4</v>
      </c>
      <c r="AN562" t="n">
        <v>0</v>
      </c>
      <c r="AO562" t="n">
        <v>0</v>
      </c>
      <c r="AP562" t="inlineStr">
        <is>
          <t>No</t>
        </is>
      </c>
      <c r="AQ562" t="inlineStr">
        <is>
          <t>Yes</t>
        </is>
      </c>
      <c r="AR562">
        <f>HYPERLINK("http://catalog.hathitrust.org/Record/000780227","HathiTrust Record")</f>
        <v/>
      </c>
      <c r="AS562">
        <f>HYPERLINK("https://creighton-primo.hosted.exlibrisgroup.com/primo-explore/search?tab=default_tab&amp;search_scope=EVERYTHING&amp;vid=01CRU&amp;lang=en_US&amp;offset=0&amp;query=any,contains,991000146289702656","Catalog Record")</f>
        <v/>
      </c>
      <c r="AT562">
        <f>HYPERLINK("http://www.worldcat.org/oclc/9195548","WorldCat Record")</f>
        <v/>
      </c>
      <c r="AU562" t="inlineStr">
        <is>
          <t>909711825:eng</t>
        </is>
      </c>
      <c r="AV562" t="inlineStr">
        <is>
          <t>9195548</t>
        </is>
      </c>
      <c r="AW562" t="inlineStr">
        <is>
          <t>991000146289702656</t>
        </is>
      </c>
      <c r="AX562" t="inlineStr">
        <is>
          <t>991000146289702656</t>
        </is>
      </c>
      <c r="AY562" t="inlineStr">
        <is>
          <t>2266629390002656</t>
        </is>
      </c>
      <c r="AZ562" t="inlineStr">
        <is>
          <t>BOOK</t>
        </is>
      </c>
      <c r="BB562" t="inlineStr">
        <is>
          <t>9780395339534</t>
        </is>
      </c>
      <c r="BC562" t="inlineStr">
        <is>
          <t>32285001623007</t>
        </is>
      </c>
      <c r="BD562" t="inlineStr">
        <is>
          <t>893495962</t>
        </is>
      </c>
    </row>
    <row r="563">
      <c r="A563" t="inlineStr">
        <is>
          <t>No</t>
        </is>
      </c>
      <c r="B563" t="inlineStr">
        <is>
          <t>QL583 .H4 1977</t>
        </is>
      </c>
      <c r="C563" t="inlineStr">
        <is>
          <t>0                      QL 0583000H  4           1977</t>
        </is>
      </c>
      <c r="D563" t="inlineStr">
        <is>
          <t>The beetles of America / Richard Headstrom.</t>
        </is>
      </c>
      <c r="F563" t="inlineStr">
        <is>
          <t>No</t>
        </is>
      </c>
      <c r="G563" t="inlineStr">
        <is>
          <t>1</t>
        </is>
      </c>
      <c r="H563" t="inlineStr">
        <is>
          <t>No</t>
        </is>
      </c>
      <c r="I563" t="inlineStr">
        <is>
          <t>No</t>
        </is>
      </c>
      <c r="J563" t="inlineStr">
        <is>
          <t>0</t>
        </is>
      </c>
      <c r="K563" t="inlineStr">
        <is>
          <t>Headstrom, Richard, 1902-1985.</t>
        </is>
      </c>
      <c r="L563" t="inlineStr">
        <is>
          <t>South Brunswick [N.J.] : A. S. Barnes, c1977.</t>
        </is>
      </c>
      <c r="M563" t="inlineStr">
        <is>
          <t>1977</t>
        </is>
      </c>
      <c r="O563" t="inlineStr">
        <is>
          <t>eng</t>
        </is>
      </c>
      <c r="P563" t="inlineStr">
        <is>
          <t>nju</t>
        </is>
      </c>
      <c r="R563" t="inlineStr">
        <is>
          <t xml:space="preserve">QL </t>
        </is>
      </c>
      <c r="S563" t="n">
        <v>11</v>
      </c>
      <c r="T563" t="n">
        <v>11</v>
      </c>
      <c r="U563" t="inlineStr">
        <is>
          <t>2005-03-30</t>
        </is>
      </c>
      <c r="V563" t="inlineStr">
        <is>
          <t>2005-03-30</t>
        </is>
      </c>
      <c r="W563" t="inlineStr">
        <is>
          <t>1997-07-25</t>
        </is>
      </c>
      <c r="X563" t="inlineStr">
        <is>
          <t>1997-07-25</t>
        </is>
      </c>
      <c r="Y563" t="n">
        <v>517</v>
      </c>
      <c r="Z563" t="n">
        <v>486</v>
      </c>
      <c r="AA563" t="n">
        <v>494</v>
      </c>
      <c r="AB563" t="n">
        <v>5</v>
      </c>
      <c r="AC563" t="n">
        <v>5</v>
      </c>
      <c r="AD563" t="n">
        <v>10</v>
      </c>
      <c r="AE563" t="n">
        <v>10</v>
      </c>
      <c r="AF563" t="n">
        <v>5</v>
      </c>
      <c r="AG563" t="n">
        <v>5</v>
      </c>
      <c r="AH563" t="n">
        <v>2</v>
      </c>
      <c r="AI563" t="n">
        <v>2</v>
      </c>
      <c r="AJ563" t="n">
        <v>2</v>
      </c>
      <c r="AK563" t="n">
        <v>2</v>
      </c>
      <c r="AL563" t="n">
        <v>3</v>
      </c>
      <c r="AM563" t="n">
        <v>3</v>
      </c>
      <c r="AN563" t="n">
        <v>0</v>
      </c>
      <c r="AO563" t="n">
        <v>0</v>
      </c>
      <c r="AP563" t="inlineStr">
        <is>
          <t>No</t>
        </is>
      </c>
      <c r="AQ563" t="inlineStr">
        <is>
          <t>Yes</t>
        </is>
      </c>
      <c r="AR563">
        <f>HYPERLINK("http://catalog.hathitrust.org/Record/000019974","HathiTrust Record")</f>
        <v/>
      </c>
      <c r="AS563">
        <f>HYPERLINK("https://creighton-primo.hosted.exlibrisgroup.com/primo-explore/search?tab=default_tab&amp;search_scope=EVERYTHING&amp;vid=01CRU&amp;lang=en_US&amp;offset=0&amp;query=any,contains,991003626249702656","Catalog Record")</f>
        <v/>
      </c>
      <c r="AT563">
        <f>HYPERLINK("http://www.worldcat.org/oclc/1217314","WorldCat Record")</f>
        <v/>
      </c>
      <c r="AU563" t="inlineStr">
        <is>
          <t>159813799:eng</t>
        </is>
      </c>
      <c r="AV563" t="inlineStr">
        <is>
          <t>1217314</t>
        </is>
      </c>
      <c r="AW563" t="inlineStr">
        <is>
          <t>991003626249702656</t>
        </is>
      </c>
      <c r="AX563" t="inlineStr">
        <is>
          <t>991003626249702656</t>
        </is>
      </c>
      <c r="AY563" t="inlineStr">
        <is>
          <t>2272234890002656</t>
        </is>
      </c>
      <c r="AZ563" t="inlineStr">
        <is>
          <t>BOOK</t>
        </is>
      </c>
      <c r="BB563" t="inlineStr">
        <is>
          <t>9780498014697</t>
        </is>
      </c>
      <c r="BC563" t="inlineStr">
        <is>
          <t>32285002981347</t>
        </is>
      </c>
      <c r="BD563" t="inlineStr">
        <is>
          <t>893893923</t>
        </is>
      </c>
    </row>
    <row r="564">
      <c r="A564" t="inlineStr">
        <is>
          <t>No</t>
        </is>
      </c>
      <c r="B564" t="inlineStr">
        <is>
          <t>QL583 .J3</t>
        </is>
      </c>
      <c r="C564" t="inlineStr">
        <is>
          <t>0                      QL 0583000J  3</t>
        </is>
      </c>
      <c r="D564" t="inlineStr">
        <is>
          <t>How to know the beetles; pictured-keys for identifying many of the beetles which are most frequently seen, with aids for their study and with other helpful features.</t>
        </is>
      </c>
      <c r="F564" t="inlineStr">
        <is>
          <t>No</t>
        </is>
      </c>
      <c r="G564" t="inlineStr">
        <is>
          <t>1</t>
        </is>
      </c>
      <c r="H564" t="inlineStr">
        <is>
          <t>No</t>
        </is>
      </c>
      <c r="I564" t="inlineStr">
        <is>
          <t>No</t>
        </is>
      </c>
      <c r="J564" t="inlineStr">
        <is>
          <t>0</t>
        </is>
      </c>
      <c r="K564" t="inlineStr">
        <is>
          <t>Jaques, H. E. (Harry Edwin), 1880-1963.</t>
        </is>
      </c>
      <c r="L564" t="inlineStr">
        <is>
          <t>Dubuque, W. C. Brown Co. [1951]</t>
        </is>
      </c>
      <c r="M564" t="inlineStr">
        <is>
          <t>1951</t>
        </is>
      </c>
      <c r="N564" t="inlineStr">
        <is>
          <t>1st ed.</t>
        </is>
      </c>
      <c r="O564" t="inlineStr">
        <is>
          <t>eng</t>
        </is>
      </c>
      <c r="P564" t="inlineStr">
        <is>
          <t>iau</t>
        </is>
      </c>
      <c r="Q564" t="inlineStr">
        <is>
          <t>Pictured key nature series</t>
        </is>
      </c>
      <c r="R564" t="inlineStr">
        <is>
          <t xml:space="preserve">QL </t>
        </is>
      </c>
      <c r="S564" t="n">
        <v>10</v>
      </c>
      <c r="T564" t="n">
        <v>10</v>
      </c>
      <c r="U564" t="inlineStr">
        <is>
          <t>2005-02-22</t>
        </is>
      </c>
      <c r="V564" t="inlineStr">
        <is>
          <t>2005-02-22</t>
        </is>
      </c>
      <c r="W564" t="inlineStr">
        <is>
          <t>1997-07-25</t>
        </is>
      </c>
      <c r="X564" t="inlineStr">
        <is>
          <t>1997-07-25</t>
        </is>
      </c>
      <c r="Y564" t="n">
        <v>912</v>
      </c>
      <c r="Z564" t="n">
        <v>857</v>
      </c>
      <c r="AA564" t="n">
        <v>873</v>
      </c>
      <c r="AB564" t="n">
        <v>11</v>
      </c>
      <c r="AC564" t="n">
        <v>11</v>
      </c>
      <c r="AD564" t="n">
        <v>27</v>
      </c>
      <c r="AE564" t="n">
        <v>27</v>
      </c>
      <c r="AF564" t="n">
        <v>6</v>
      </c>
      <c r="AG564" t="n">
        <v>6</v>
      </c>
      <c r="AH564" t="n">
        <v>5</v>
      </c>
      <c r="AI564" t="n">
        <v>5</v>
      </c>
      <c r="AJ564" t="n">
        <v>11</v>
      </c>
      <c r="AK564" t="n">
        <v>11</v>
      </c>
      <c r="AL564" t="n">
        <v>9</v>
      </c>
      <c r="AM564" t="n">
        <v>9</v>
      </c>
      <c r="AN564" t="n">
        <v>0</v>
      </c>
      <c r="AO564" t="n">
        <v>0</v>
      </c>
      <c r="AP564" t="inlineStr">
        <is>
          <t>No</t>
        </is>
      </c>
      <c r="AQ564" t="inlineStr">
        <is>
          <t>Yes</t>
        </is>
      </c>
      <c r="AR564">
        <f>HYPERLINK("http://catalog.hathitrust.org/Record/001500622","HathiTrust Record")</f>
        <v/>
      </c>
      <c r="AS564">
        <f>HYPERLINK("https://creighton-primo.hosted.exlibrisgroup.com/primo-explore/search?tab=default_tab&amp;search_scope=EVERYTHING&amp;vid=01CRU&amp;lang=en_US&amp;offset=0&amp;query=any,contains,991001214639702656","Catalog Record")</f>
        <v/>
      </c>
      <c r="AT564">
        <f>HYPERLINK("http://www.worldcat.org/oclc/193604","WorldCat Record")</f>
        <v/>
      </c>
      <c r="AU564" t="inlineStr">
        <is>
          <t>477184694:eng</t>
        </is>
      </c>
      <c r="AV564" t="inlineStr">
        <is>
          <t>193604</t>
        </is>
      </c>
      <c r="AW564" t="inlineStr">
        <is>
          <t>991001214639702656</t>
        </is>
      </c>
      <c r="AX564" t="inlineStr">
        <is>
          <t>991001214639702656</t>
        </is>
      </c>
      <c r="AY564" t="inlineStr">
        <is>
          <t>2268848140002656</t>
        </is>
      </c>
      <c r="AZ564" t="inlineStr">
        <is>
          <t>BOOK</t>
        </is>
      </c>
      <c r="BC564" t="inlineStr">
        <is>
          <t>32285002981354</t>
        </is>
      </c>
      <c r="BD564" t="inlineStr">
        <is>
          <t>893407951</t>
        </is>
      </c>
    </row>
    <row r="565">
      <c r="A565" t="inlineStr">
        <is>
          <t>No</t>
        </is>
      </c>
      <c r="B565" t="inlineStr">
        <is>
          <t>QL596.C56 A36 2001</t>
        </is>
      </c>
      <c r="C565" t="inlineStr">
        <is>
          <t>0                      QL 0596000C  56                 A  36          2001</t>
        </is>
      </c>
      <c r="D565" t="inlineStr">
        <is>
          <t>Tiger beetles of Alberta : killers on the clay, stalkers on the sand / John Acorn.</t>
        </is>
      </c>
      <c r="F565" t="inlineStr">
        <is>
          <t>No</t>
        </is>
      </c>
      <c r="G565" t="inlineStr">
        <is>
          <t>1</t>
        </is>
      </c>
      <c r="H565" t="inlineStr">
        <is>
          <t>No</t>
        </is>
      </c>
      <c r="I565" t="inlineStr">
        <is>
          <t>No</t>
        </is>
      </c>
      <c r="J565" t="inlineStr">
        <is>
          <t>0</t>
        </is>
      </c>
      <c r="K565" t="inlineStr">
        <is>
          <t>Acorn, John (John Harrison), 1958-</t>
        </is>
      </c>
      <c r="L565" t="inlineStr">
        <is>
          <t>Edmonton : University of Alberta Press, c2001.</t>
        </is>
      </c>
      <c r="M565" t="inlineStr">
        <is>
          <t>2001</t>
        </is>
      </c>
      <c r="O565" t="inlineStr">
        <is>
          <t>eng</t>
        </is>
      </c>
      <c r="P565" t="inlineStr">
        <is>
          <t>abc</t>
        </is>
      </c>
      <c r="Q565" t="inlineStr">
        <is>
          <t>Alberta insects series</t>
        </is>
      </c>
      <c r="R565" t="inlineStr">
        <is>
          <t xml:space="preserve">QL </t>
        </is>
      </c>
      <c r="S565" t="n">
        <v>3</v>
      </c>
      <c r="T565" t="n">
        <v>3</v>
      </c>
      <c r="U565" t="inlineStr">
        <is>
          <t>2005-02-25</t>
        </is>
      </c>
      <c r="V565" t="inlineStr">
        <is>
          <t>2005-02-25</t>
        </is>
      </c>
      <c r="W565" t="inlineStr">
        <is>
          <t>2001-12-20</t>
        </is>
      </c>
      <c r="X565" t="inlineStr">
        <is>
          <t>2001-12-20</t>
        </is>
      </c>
      <c r="Y565" t="n">
        <v>147</v>
      </c>
      <c r="Z565" t="n">
        <v>93</v>
      </c>
      <c r="AA565" t="n">
        <v>99</v>
      </c>
      <c r="AB565" t="n">
        <v>2</v>
      </c>
      <c r="AC565" t="n">
        <v>2</v>
      </c>
      <c r="AD565" t="n">
        <v>4</v>
      </c>
      <c r="AE565" t="n">
        <v>4</v>
      </c>
      <c r="AF565" t="n">
        <v>0</v>
      </c>
      <c r="AG565" t="n">
        <v>0</v>
      </c>
      <c r="AH565" t="n">
        <v>1</v>
      </c>
      <c r="AI565" t="n">
        <v>1</v>
      </c>
      <c r="AJ565" t="n">
        <v>3</v>
      </c>
      <c r="AK565" t="n">
        <v>3</v>
      </c>
      <c r="AL565" t="n">
        <v>1</v>
      </c>
      <c r="AM565" t="n">
        <v>1</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HYPERLINK("https://creighton-primo.hosted.exlibrisgroup.com/primo-explore/search?tab=default_tab&amp;search_scope=EVERYTHING&amp;vid=01CRU&amp;lang=en_US&amp;offset=0&amp;query=any,contains,991003664339702656","Catalog Record")</f>
        <v/>
      </c>
      <c r="AT565">
        <f>HYPERLINK("http://www.worldcat.org/oclc/43633663","WorldCat Record")</f>
        <v/>
      </c>
      <c r="AU565" t="inlineStr">
        <is>
          <t>196565514:eng</t>
        </is>
      </c>
      <c r="AV565" t="inlineStr">
        <is>
          <t>43633663</t>
        </is>
      </c>
      <c r="AW565" t="inlineStr">
        <is>
          <t>991003664339702656</t>
        </is>
      </c>
      <c r="AX565" t="inlineStr">
        <is>
          <t>991003664339702656</t>
        </is>
      </c>
      <c r="AY565" t="inlineStr">
        <is>
          <t>2267792340002656</t>
        </is>
      </c>
      <c r="AZ565" t="inlineStr">
        <is>
          <t>BOOK</t>
        </is>
      </c>
      <c r="BB565" t="inlineStr">
        <is>
          <t>9780888643452</t>
        </is>
      </c>
      <c r="BC565" t="inlineStr">
        <is>
          <t>32285004445317</t>
        </is>
      </c>
      <c r="BD565" t="inlineStr">
        <is>
          <t>893793882</t>
        </is>
      </c>
    </row>
    <row r="566">
      <c r="A566" t="inlineStr">
        <is>
          <t>No</t>
        </is>
      </c>
      <c r="B566" t="inlineStr">
        <is>
          <t>QL596.C56 L46 1999</t>
        </is>
      </c>
      <c r="C566" t="inlineStr">
        <is>
          <t>0                      QL 0596000C  56                 L  46          1999</t>
        </is>
      </c>
      <c r="D566" t="inlineStr">
        <is>
          <t>Northeastern tiger beetles : a field guide to tiger beetles of New England and eastern Canada / Jonathan G. Leonard, Ross T. Bell.</t>
        </is>
      </c>
      <c r="F566" t="inlineStr">
        <is>
          <t>No</t>
        </is>
      </c>
      <c r="G566" t="inlineStr">
        <is>
          <t>1</t>
        </is>
      </c>
      <c r="H566" t="inlineStr">
        <is>
          <t>No</t>
        </is>
      </c>
      <c r="I566" t="inlineStr">
        <is>
          <t>No</t>
        </is>
      </c>
      <c r="J566" t="inlineStr">
        <is>
          <t>0</t>
        </is>
      </c>
      <c r="K566" t="inlineStr">
        <is>
          <t>Leonard, Jonathan G.</t>
        </is>
      </c>
      <c r="L566" t="inlineStr">
        <is>
          <t>Boca Raton, FL : CRC Press, c1999.</t>
        </is>
      </c>
      <c r="M566" t="inlineStr">
        <is>
          <t>1999</t>
        </is>
      </c>
      <c r="O566" t="inlineStr">
        <is>
          <t>eng</t>
        </is>
      </c>
      <c r="P566" t="inlineStr">
        <is>
          <t>flu</t>
        </is>
      </c>
      <c r="R566" t="inlineStr">
        <is>
          <t xml:space="preserve">QL </t>
        </is>
      </c>
      <c r="S566" t="n">
        <v>2</v>
      </c>
      <c r="T566" t="n">
        <v>2</v>
      </c>
      <c r="U566" t="inlineStr">
        <is>
          <t>2005-02-25</t>
        </is>
      </c>
      <c r="V566" t="inlineStr">
        <is>
          <t>2005-02-25</t>
        </is>
      </c>
      <c r="W566" t="inlineStr">
        <is>
          <t>2001-12-20</t>
        </is>
      </c>
      <c r="X566" t="inlineStr">
        <is>
          <t>2001-12-20</t>
        </is>
      </c>
      <c r="Y566" t="n">
        <v>163</v>
      </c>
      <c r="Z566" t="n">
        <v>142</v>
      </c>
      <c r="AA566" t="n">
        <v>142</v>
      </c>
      <c r="AB566" t="n">
        <v>2</v>
      </c>
      <c r="AC566" t="n">
        <v>2</v>
      </c>
      <c r="AD566" t="n">
        <v>6</v>
      </c>
      <c r="AE566" t="n">
        <v>6</v>
      </c>
      <c r="AF566" t="n">
        <v>3</v>
      </c>
      <c r="AG566" t="n">
        <v>3</v>
      </c>
      <c r="AH566" t="n">
        <v>0</v>
      </c>
      <c r="AI566" t="n">
        <v>0</v>
      </c>
      <c r="AJ566" t="n">
        <v>3</v>
      </c>
      <c r="AK566" t="n">
        <v>3</v>
      </c>
      <c r="AL566" t="n">
        <v>1</v>
      </c>
      <c r="AM566" t="n">
        <v>1</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HYPERLINK("https://creighton-primo.hosted.exlibrisgroup.com/primo-explore/search?tab=default_tab&amp;search_scope=EVERYTHING&amp;vid=01CRU&amp;lang=en_US&amp;offset=0&amp;query=any,contains,991003668179702656","Catalog Record")</f>
        <v/>
      </c>
      <c r="AT566">
        <f>HYPERLINK("http://www.worldcat.org/oclc/39887073","WorldCat Record")</f>
        <v/>
      </c>
      <c r="AU566" t="inlineStr">
        <is>
          <t>42418301:eng</t>
        </is>
      </c>
      <c r="AV566" t="inlineStr">
        <is>
          <t>39887073</t>
        </is>
      </c>
      <c r="AW566" t="inlineStr">
        <is>
          <t>991003668179702656</t>
        </is>
      </c>
      <c r="AX566" t="inlineStr">
        <is>
          <t>991003668179702656</t>
        </is>
      </c>
      <c r="AY566" t="inlineStr">
        <is>
          <t>2265531600002656</t>
        </is>
      </c>
      <c r="AZ566" t="inlineStr">
        <is>
          <t>BOOK</t>
        </is>
      </c>
      <c r="BB566" t="inlineStr">
        <is>
          <t>9780849319150</t>
        </is>
      </c>
      <c r="BC566" t="inlineStr">
        <is>
          <t>32285004445341</t>
        </is>
      </c>
      <c r="BD566" t="inlineStr">
        <is>
          <t>893711637</t>
        </is>
      </c>
    </row>
    <row r="567">
      <c r="A567" t="inlineStr">
        <is>
          <t>No</t>
        </is>
      </c>
      <c r="B567" t="inlineStr">
        <is>
          <t>QL596.C56 P429 2006</t>
        </is>
      </c>
      <c r="C567" t="inlineStr">
        <is>
          <t>0                      QL 0596000C  56                 P  429         2006</t>
        </is>
      </c>
      <c r="D567" t="inlineStr">
        <is>
          <t>A field guide to the tiger beetles of the United States and Canada : identification, natural history, and distribution of the Cicindelidae / David L. Pearson, C. Barry Knisley, Charles J. Kazilek.</t>
        </is>
      </c>
      <c r="F567" t="inlineStr">
        <is>
          <t>No</t>
        </is>
      </c>
      <c r="G567" t="inlineStr">
        <is>
          <t>1</t>
        </is>
      </c>
      <c r="H567" t="inlineStr">
        <is>
          <t>No</t>
        </is>
      </c>
      <c r="I567" t="inlineStr">
        <is>
          <t>No</t>
        </is>
      </c>
      <c r="J567" t="inlineStr">
        <is>
          <t>0</t>
        </is>
      </c>
      <c r="K567" t="inlineStr">
        <is>
          <t>Pearson, David L., 1943-</t>
        </is>
      </c>
      <c r="L567" t="inlineStr">
        <is>
          <t>Oxford ; New York : Oxford University Press, 2006.</t>
        </is>
      </c>
      <c r="M567" t="inlineStr">
        <is>
          <t>2006</t>
        </is>
      </c>
      <c r="O567" t="inlineStr">
        <is>
          <t>eng</t>
        </is>
      </c>
      <c r="P567" t="inlineStr">
        <is>
          <t>enk</t>
        </is>
      </c>
      <c r="R567" t="inlineStr">
        <is>
          <t xml:space="preserve">QL </t>
        </is>
      </c>
      <c r="S567" t="n">
        <v>1</v>
      </c>
      <c r="T567" t="n">
        <v>1</v>
      </c>
      <c r="U567" t="inlineStr">
        <is>
          <t>2008-04-24</t>
        </is>
      </c>
      <c r="V567" t="inlineStr">
        <is>
          <t>2008-04-24</t>
        </is>
      </c>
      <c r="W567" t="inlineStr">
        <is>
          <t>2005-11-29</t>
        </is>
      </c>
      <c r="X567" t="inlineStr">
        <is>
          <t>2005-11-29</t>
        </is>
      </c>
      <c r="Y567" t="n">
        <v>204</v>
      </c>
      <c r="Z567" t="n">
        <v>171</v>
      </c>
      <c r="AA567" t="n">
        <v>970</v>
      </c>
      <c r="AB567" t="n">
        <v>2</v>
      </c>
      <c r="AC567" t="n">
        <v>19</v>
      </c>
      <c r="AD567" t="n">
        <v>3</v>
      </c>
      <c r="AE567" t="n">
        <v>35</v>
      </c>
      <c r="AF567" t="n">
        <v>1</v>
      </c>
      <c r="AG567" t="n">
        <v>13</v>
      </c>
      <c r="AH567" t="n">
        <v>0</v>
      </c>
      <c r="AI567" t="n">
        <v>6</v>
      </c>
      <c r="AJ567" t="n">
        <v>1</v>
      </c>
      <c r="AK567" t="n">
        <v>9</v>
      </c>
      <c r="AL567" t="n">
        <v>1</v>
      </c>
      <c r="AM567" t="n">
        <v>11</v>
      </c>
      <c r="AN567" t="n">
        <v>0</v>
      </c>
      <c r="AO567" t="n">
        <v>1</v>
      </c>
      <c r="AP567" t="inlineStr">
        <is>
          <t>No</t>
        </is>
      </c>
      <c r="AQ567" t="inlineStr">
        <is>
          <t>No</t>
        </is>
      </c>
      <c r="AS567">
        <f>HYPERLINK("https://creighton-primo.hosted.exlibrisgroup.com/primo-explore/search?tab=default_tab&amp;search_scope=EVERYTHING&amp;vid=01CRU&amp;lang=en_US&amp;offset=0&amp;query=any,contains,991004630389702656","Catalog Record")</f>
        <v/>
      </c>
      <c r="AT567">
        <f>HYPERLINK("http://www.worldcat.org/oclc/56371459","WorldCat Record")</f>
        <v/>
      </c>
      <c r="AU567" t="inlineStr">
        <is>
          <t>802138654:eng</t>
        </is>
      </c>
      <c r="AV567" t="inlineStr">
        <is>
          <t>56371459</t>
        </is>
      </c>
      <c r="AW567" t="inlineStr">
        <is>
          <t>991004630389702656</t>
        </is>
      </c>
      <c r="AX567" t="inlineStr">
        <is>
          <t>991004630389702656</t>
        </is>
      </c>
      <c r="AY567" t="inlineStr">
        <is>
          <t>2265608510002656</t>
        </is>
      </c>
      <c r="AZ567" t="inlineStr">
        <is>
          <t>BOOK</t>
        </is>
      </c>
      <c r="BB567" t="inlineStr">
        <is>
          <t>9780195181555</t>
        </is>
      </c>
      <c r="BC567" t="inlineStr">
        <is>
          <t>32285005148654</t>
        </is>
      </c>
      <c r="BD567" t="inlineStr">
        <is>
          <t>893876340</t>
        </is>
      </c>
    </row>
    <row r="568">
      <c r="A568" t="inlineStr">
        <is>
          <t>No</t>
        </is>
      </c>
      <c r="B568" t="inlineStr">
        <is>
          <t>QL596.C56 P43 2001</t>
        </is>
      </c>
      <c r="C568" t="inlineStr">
        <is>
          <t>0                      QL 0596000C  56                 P  43          2001</t>
        </is>
      </c>
      <c r="D568" t="inlineStr">
        <is>
          <t>Tiger beetles : the evolution, ecology, and diversity of the cicindelids / David L. Pearson and Alfried P. Vogler.</t>
        </is>
      </c>
      <c r="F568" t="inlineStr">
        <is>
          <t>No</t>
        </is>
      </c>
      <c r="G568" t="inlineStr">
        <is>
          <t>1</t>
        </is>
      </c>
      <c r="H568" t="inlineStr">
        <is>
          <t>No</t>
        </is>
      </c>
      <c r="I568" t="inlineStr">
        <is>
          <t>No</t>
        </is>
      </c>
      <c r="J568" t="inlineStr">
        <is>
          <t>0</t>
        </is>
      </c>
      <c r="K568" t="inlineStr">
        <is>
          <t>Pearson, David L., 1943-</t>
        </is>
      </c>
      <c r="L568" t="inlineStr">
        <is>
          <t>Ithaca : Comstock Pub. Associates, 2001.</t>
        </is>
      </c>
      <c r="M568" t="inlineStr">
        <is>
          <t>2001</t>
        </is>
      </c>
      <c r="O568" t="inlineStr">
        <is>
          <t>eng</t>
        </is>
      </c>
      <c r="P568" t="inlineStr">
        <is>
          <t>nyu</t>
        </is>
      </c>
      <c r="Q568" t="inlineStr">
        <is>
          <t>Cornell series in arthropod biology</t>
        </is>
      </c>
      <c r="R568" t="inlineStr">
        <is>
          <t xml:space="preserve">QL </t>
        </is>
      </c>
      <c r="S568" t="n">
        <v>5</v>
      </c>
      <c r="T568" t="n">
        <v>5</v>
      </c>
      <c r="U568" t="inlineStr">
        <is>
          <t>2008-03-06</t>
        </is>
      </c>
      <c r="V568" t="inlineStr">
        <is>
          <t>2008-03-06</t>
        </is>
      </c>
      <c r="W568" t="inlineStr">
        <is>
          <t>2005-03-21</t>
        </is>
      </c>
      <c r="X568" t="inlineStr">
        <is>
          <t>2005-03-21</t>
        </is>
      </c>
      <c r="Y568" t="n">
        <v>246</v>
      </c>
      <c r="Z568" t="n">
        <v>206</v>
      </c>
      <c r="AA568" t="n">
        <v>208</v>
      </c>
      <c r="AB568" t="n">
        <v>3</v>
      </c>
      <c r="AC568" t="n">
        <v>3</v>
      </c>
      <c r="AD568" t="n">
        <v>7</v>
      </c>
      <c r="AE568" t="n">
        <v>7</v>
      </c>
      <c r="AF568" t="n">
        <v>1</v>
      </c>
      <c r="AG568" t="n">
        <v>1</v>
      </c>
      <c r="AH568" t="n">
        <v>2</v>
      </c>
      <c r="AI568" t="n">
        <v>2</v>
      </c>
      <c r="AJ568" t="n">
        <v>4</v>
      </c>
      <c r="AK568" t="n">
        <v>4</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HYPERLINK("https://creighton-primo.hosted.exlibrisgroup.com/primo-explore/search?tab=default_tab&amp;search_scope=EVERYTHING&amp;vid=01CRU&amp;lang=en_US&amp;offset=0&amp;query=any,contains,991004488529702656","Catalog Record")</f>
        <v/>
      </c>
      <c r="AT568">
        <f>HYPERLINK("http://www.worldcat.org/oclc/46462645","WorldCat Record")</f>
        <v/>
      </c>
      <c r="AU568" t="inlineStr">
        <is>
          <t>837058297:eng</t>
        </is>
      </c>
      <c r="AV568" t="inlineStr">
        <is>
          <t>46462645</t>
        </is>
      </c>
      <c r="AW568" t="inlineStr">
        <is>
          <t>991004488529702656</t>
        </is>
      </c>
      <c r="AX568" t="inlineStr">
        <is>
          <t>991004488529702656</t>
        </is>
      </c>
      <c r="AY568" t="inlineStr">
        <is>
          <t>2268703110002656</t>
        </is>
      </c>
      <c r="AZ568" t="inlineStr">
        <is>
          <t>BOOK</t>
        </is>
      </c>
      <c r="BB568" t="inlineStr">
        <is>
          <t>9780801438820</t>
        </is>
      </c>
      <c r="BC568" t="inlineStr">
        <is>
          <t>32285005043707</t>
        </is>
      </c>
      <c r="BD568" t="inlineStr">
        <is>
          <t>893869771</t>
        </is>
      </c>
    </row>
    <row r="569">
      <c r="A569" t="inlineStr">
        <is>
          <t>No</t>
        </is>
      </c>
      <c r="B569" t="inlineStr">
        <is>
          <t>QL596.M38 P56</t>
        </is>
      </c>
      <c r="C569" t="inlineStr">
        <is>
          <t>0                      QL 0596000M  38                 P  56</t>
        </is>
      </c>
      <c r="D569" t="inlineStr">
        <is>
          <t>Behavior and taxonomy of the Epicauta maculata group (Coleoptera, Meloidae) / by J. D. Pinto.</t>
        </is>
      </c>
      <c r="F569" t="inlineStr">
        <is>
          <t>No</t>
        </is>
      </c>
      <c r="G569" t="inlineStr">
        <is>
          <t>1</t>
        </is>
      </c>
      <c r="H569" t="inlineStr">
        <is>
          <t>No</t>
        </is>
      </c>
      <c r="I569" t="inlineStr">
        <is>
          <t>No</t>
        </is>
      </c>
      <c r="J569" t="inlineStr">
        <is>
          <t>0</t>
        </is>
      </c>
      <c r="K569" t="inlineStr">
        <is>
          <t>Pinto, John D.</t>
        </is>
      </c>
      <c r="L569" t="inlineStr">
        <is>
          <t>Berkeley : University of California Press, c1980.</t>
        </is>
      </c>
      <c r="M569" t="inlineStr">
        <is>
          <t>1980</t>
        </is>
      </c>
      <c r="O569" t="inlineStr">
        <is>
          <t>eng</t>
        </is>
      </c>
      <c r="P569" t="inlineStr">
        <is>
          <t>cau</t>
        </is>
      </c>
      <c r="Q569" t="inlineStr">
        <is>
          <t>University of California publications in entomology ; v. 89</t>
        </is>
      </c>
      <c r="R569" t="inlineStr">
        <is>
          <t xml:space="preserve">QL </t>
        </is>
      </c>
      <c r="S569" t="n">
        <v>3</v>
      </c>
      <c r="T569" t="n">
        <v>3</v>
      </c>
      <c r="U569" t="inlineStr">
        <is>
          <t>1999-11-21</t>
        </is>
      </c>
      <c r="V569" t="inlineStr">
        <is>
          <t>1999-11-21</t>
        </is>
      </c>
      <c r="W569" t="inlineStr">
        <is>
          <t>1993-05-28</t>
        </is>
      </c>
      <c r="X569" t="inlineStr">
        <is>
          <t>1993-05-28</t>
        </is>
      </c>
      <c r="Y569" t="n">
        <v>147</v>
      </c>
      <c r="Z569" t="n">
        <v>114</v>
      </c>
      <c r="AA569" t="n">
        <v>114</v>
      </c>
      <c r="AB569" t="n">
        <v>2</v>
      </c>
      <c r="AC569" t="n">
        <v>2</v>
      </c>
      <c r="AD569" t="n">
        <v>1</v>
      </c>
      <c r="AE569" t="n">
        <v>1</v>
      </c>
      <c r="AF569" t="n">
        <v>0</v>
      </c>
      <c r="AG569" t="n">
        <v>0</v>
      </c>
      <c r="AH569" t="n">
        <v>0</v>
      </c>
      <c r="AI569" t="n">
        <v>0</v>
      </c>
      <c r="AJ569" t="n">
        <v>0</v>
      </c>
      <c r="AK569" t="n">
        <v>0</v>
      </c>
      <c r="AL569" t="n">
        <v>1</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HYPERLINK("https://creighton-primo.hosted.exlibrisgroup.com/primo-explore/search?tab=default_tab&amp;search_scope=EVERYTHING&amp;vid=01CRU&amp;lang=en_US&amp;offset=0&amp;query=any,contains,991004895789702656","Catalog Record")</f>
        <v/>
      </c>
      <c r="AT569">
        <f>HYPERLINK("http://www.worldcat.org/oclc/5893739","WorldCat Record")</f>
        <v/>
      </c>
      <c r="AU569" t="inlineStr">
        <is>
          <t>20349579:eng</t>
        </is>
      </c>
      <c r="AV569" t="inlineStr">
        <is>
          <t>5893739</t>
        </is>
      </c>
      <c r="AW569" t="inlineStr">
        <is>
          <t>991004895789702656</t>
        </is>
      </c>
      <c r="AX569" t="inlineStr">
        <is>
          <t>991004895789702656</t>
        </is>
      </c>
      <c r="AY569" t="inlineStr">
        <is>
          <t>2265038760002656</t>
        </is>
      </c>
      <c r="AZ569" t="inlineStr">
        <is>
          <t>BOOK</t>
        </is>
      </c>
      <c r="BB569" t="inlineStr">
        <is>
          <t>9780520096165</t>
        </is>
      </c>
      <c r="BC569" t="inlineStr">
        <is>
          <t>32285001687721</t>
        </is>
      </c>
      <c r="BD569" t="inlineStr">
        <is>
          <t>893350473</t>
        </is>
      </c>
    </row>
    <row r="570">
      <c r="A570" t="inlineStr">
        <is>
          <t>No</t>
        </is>
      </c>
      <c r="B570" t="inlineStr">
        <is>
          <t>QL597 .B68 1953</t>
        </is>
      </c>
      <c r="C570" t="inlineStr">
        <is>
          <t>0                      QL 0597000B  68          1953</t>
        </is>
      </c>
      <c r="D570" t="inlineStr">
        <is>
          <t>An illustrated synopsis of the principal larval forms of the order Coleoptera, by Adam G. Böving ... and F.C. Craighead ...</t>
        </is>
      </c>
      <c r="F570" t="inlineStr">
        <is>
          <t>No</t>
        </is>
      </c>
      <c r="G570" t="inlineStr">
        <is>
          <t>1</t>
        </is>
      </c>
      <c r="H570" t="inlineStr">
        <is>
          <t>No</t>
        </is>
      </c>
      <c r="I570" t="inlineStr">
        <is>
          <t>No</t>
        </is>
      </c>
      <c r="J570" t="inlineStr">
        <is>
          <t>0</t>
        </is>
      </c>
      <c r="K570" t="inlineStr">
        <is>
          <t>Böving, Adam Giede, 1869-</t>
        </is>
      </c>
      <c r="L570" t="inlineStr">
        <is>
          <t>Brooklyn, N.Y., The Brooklyn Entomological Society, 1931.</t>
        </is>
      </c>
      <c r="M570" t="inlineStr">
        <is>
          <t>1931</t>
        </is>
      </c>
      <c r="O570" t="inlineStr">
        <is>
          <t>eng</t>
        </is>
      </c>
      <c r="P570" t="inlineStr">
        <is>
          <t>nyu</t>
        </is>
      </c>
      <c r="R570" t="inlineStr">
        <is>
          <t xml:space="preserve">QL </t>
        </is>
      </c>
      <c r="S570" t="n">
        <v>3</v>
      </c>
      <c r="T570" t="n">
        <v>3</v>
      </c>
      <c r="U570" t="inlineStr">
        <is>
          <t>2005-02-22</t>
        </is>
      </c>
      <c r="V570" t="inlineStr">
        <is>
          <t>2005-02-22</t>
        </is>
      </c>
      <c r="W570" t="inlineStr">
        <is>
          <t>1997-07-25</t>
        </is>
      </c>
      <c r="X570" t="inlineStr">
        <is>
          <t>1997-07-25</t>
        </is>
      </c>
      <c r="Y570" t="n">
        <v>141</v>
      </c>
      <c r="Z570" t="n">
        <v>107</v>
      </c>
      <c r="AA570" t="n">
        <v>189</v>
      </c>
      <c r="AB570" t="n">
        <v>1</v>
      </c>
      <c r="AC570" t="n">
        <v>2</v>
      </c>
      <c r="AD570" t="n">
        <v>3</v>
      </c>
      <c r="AE570" t="n">
        <v>5</v>
      </c>
      <c r="AF570" t="n">
        <v>2</v>
      </c>
      <c r="AG570" t="n">
        <v>3</v>
      </c>
      <c r="AH570" t="n">
        <v>1</v>
      </c>
      <c r="AI570" t="n">
        <v>1</v>
      </c>
      <c r="AJ570" t="n">
        <v>0</v>
      </c>
      <c r="AK570" t="n">
        <v>0</v>
      </c>
      <c r="AL570" t="n">
        <v>0</v>
      </c>
      <c r="AM570" t="n">
        <v>1</v>
      </c>
      <c r="AN570" t="n">
        <v>0</v>
      </c>
      <c r="AO570" t="n">
        <v>0</v>
      </c>
      <c r="AP570" t="inlineStr">
        <is>
          <t>Yes</t>
        </is>
      </c>
      <c r="AQ570" t="inlineStr">
        <is>
          <t>No</t>
        </is>
      </c>
      <c r="AR570">
        <f>HYPERLINK("http://catalog.hathitrust.org/Record/001507892","HathiTrust Record")</f>
        <v/>
      </c>
      <c r="AS570">
        <f>HYPERLINK("https://creighton-primo.hosted.exlibrisgroup.com/primo-explore/search?tab=default_tab&amp;search_scope=EVERYTHING&amp;vid=01CRU&amp;lang=en_US&amp;offset=0&amp;query=any,contains,991003561919702656","Catalog Record")</f>
        <v/>
      </c>
      <c r="AT570">
        <f>HYPERLINK("http://www.worldcat.org/oclc/1132952","WorldCat Record")</f>
        <v/>
      </c>
      <c r="AU570" t="inlineStr">
        <is>
          <t>1312913:eng</t>
        </is>
      </c>
      <c r="AV570" t="inlineStr">
        <is>
          <t>1132952</t>
        </is>
      </c>
      <c r="AW570" t="inlineStr">
        <is>
          <t>991003561919702656</t>
        </is>
      </c>
      <c r="AX570" t="inlineStr">
        <is>
          <t>991003561919702656</t>
        </is>
      </c>
      <c r="AY570" t="inlineStr">
        <is>
          <t>2264451920002656</t>
        </is>
      </c>
      <c r="AZ570" t="inlineStr">
        <is>
          <t>BOOK</t>
        </is>
      </c>
      <c r="BC570" t="inlineStr">
        <is>
          <t>32285002981370</t>
        </is>
      </c>
      <c r="BD570" t="inlineStr">
        <is>
          <t>893531303</t>
        </is>
      </c>
    </row>
    <row r="571">
      <c r="A571" t="inlineStr">
        <is>
          <t>No</t>
        </is>
      </c>
      <c r="B571" t="inlineStr">
        <is>
          <t>QL60.4 .W45 1990</t>
        </is>
      </c>
      <c r="C571" t="inlineStr">
        <is>
          <t>0                      QL 0060400W  45          1990</t>
        </is>
      </c>
      <c r="D571" t="inlineStr">
        <is>
          <t>Analysis of wildlife radio-tracking data / Gary C. White, Robert A. Garrott.</t>
        </is>
      </c>
      <c r="F571" t="inlineStr">
        <is>
          <t>No</t>
        </is>
      </c>
      <c r="G571" t="inlineStr">
        <is>
          <t>1</t>
        </is>
      </c>
      <c r="H571" t="inlineStr">
        <is>
          <t>No</t>
        </is>
      </c>
      <c r="I571" t="inlineStr">
        <is>
          <t>No</t>
        </is>
      </c>
      <c r="J571" t="inlineStr">
        <is>
          <t>0</t>
        </is>
      </c>
      <c r="K571" t="inlineStr">
        <is>
          <t>White, Gary C.</t>
        </is>
      </c>
      <c r="L571" t="inlineStr">
        <is>
          <t>San Diego : Academic Press, c1990.</t>
        </is>
      </c>
      <c r="M571" t="inlineStr">
        <is>
          <t>1990</t>
        </is>
      </c>
      <c r="O571" t="inlineStr">
        <is>
          <t>eng</t>
        </is>
      </c>
      <c r="P571" t="inlineStr">
        <is>
          <t>cau</t>
        </is>
      </c>
      <c r="R571" t="inlineStr">
        <is>
          <t xml:space="preserve">QL </t>
        </is>
      </c>
      <c r="S571" t="n">
        <v>3</v>
      </c>
      <c r="T571" t="n">
        <v>3</v>
      </c>
      <c r="U571" t="inlineStr">
        <is>
          <t>1999-04-28</t>
        </is>
      </c>
      <c r="V571" t="inlineStr">
        <is>
          <t>1999-04-28</t>
        </is>
      </c>
      <c r="W571" t="inlineStr">
        <is>
          <t>1991-03-28</t>
        </is>
      </c>
      <c r="X571" t="inlineStr">
        <is>
          <t>1991-03-28</t>
        </is>
      </c>
      <c r="Y571" t="n">
        <v>363</v>
      </c>
      <c r="Z571" t="n">
        <v>233</v>
      </c>
      <c r="AA571" t="n">
        <v>274</v>
      </c>
      <c r="AB571" t="n">
        <v>3</v>
      </c>
      <c r="AC571" t="n">
        <v>4</v>
      </c>
      <c r="AD571" t="n">
        <v>4</v>
      </c>
      <c r="AE571" t="n">
        <v>8</v>
      </c>
      <c r="AF571" t="n">
        <v>0</v>
      </c>
      <c r="AG571" t="n">
        <v>2</v>
      </c>
      <c r="AH571" t="n">
        <v>1</v>
      </c>
      <c r="AI571" t="n">
        <v>3</v>
      </c>
      <c r="AJ571" t="n">
        <v>1</v>
      </c>
      <c r="AK571" t="n">
        <v>1</v>
      </c>
      <c r="AL571" t="n">
        <v>2</v>
      </c>
      <c r="AM571" t="n">
        <v>3</v>
      </c>
      <c r="AN571" t="n">
        <v>0</v>
      </c>
      <c r="AO571" t="n">
        <v>0</v>
      </c>
      <c r="AP571" t="inlineStr">
        <is>
          <t>No</t>
        </is>
      </c>
      <c r="AQ571" t="inlineStr">
        <is>
          <t>Yes</t>
        </is>
      </c>
      <c r="AR571">
        <f>HYPERLINK("http://catalog.hathitrust.org/Record/001956385","HathiTrust Record")</f>
        <v/>
      </c>
      <c r="AS571">
        <f>HYPERLINK("https://creighton-primo.hosted.exlibrisgroup.com/primo-explore/search?tab=default_tab&amp;search_scope=EVERYTHING&amp;vid=01CRU&amp;lang=en_US&amp;offset=0&amp;query=any,contains,991001565239702656","Catalog Record")</f>
        <v/>
      </c>
      <c r="AT571">
        <f>HYPERLINK("http://www.worldcat.org/oclc/20320266","WorldCat Record")</f>
        <v/>
      </c>
      <c r="AU571" t="inlineStr">
        <is>
          <t>22272521:eng</t>
        </is>
      </c>
      <c r="AV571" t="inlineStr">
        <is>
          <t>20320266</t>
        </is>
      </c>
      <c r="AW571" t="inlineStr">
        <is>
          <t>991001565239702656</t>
        </is>
      </c>
      <c r="AX571" t="inlineStr">
        <is>
          <t>991001565239702656</t>
        </is>
      </c>
      <c r="AY571" t="inlineStr">
        <is>
          <t>2261931670002656</t>
        </is>
      </c>
      <c r="AZ571" t="inlineStr">
        <is>
          <t>BOOK</t>
        </is>
      </c>
      <c r="BB571" t="inlineStr">
        <is>
          <t>9780127467252</t>
        </is>
      </c>
      <c r="BC571" t="inlineStr">
        <is>
          <t>32285000514124</t>
        </is>
      </c>
      <c r="BD571" t="inlineStr">
        <is>
          <t>893256313</t>
        </is>
      </c>
    </row>
    <row r="572">
      <c r="A572" t="inlineStr">
        <is>
          <t>No</t>
        </is>
      </c>
      <c r="B572" t="inlineStr">
        <is>
          <t>QL60.5 .A54 1978</t>
        </is>
      </c>
      <c r="C572" t="inlineStr">
        <is>
          <t>0                      QL 0060500A  54          1978</t>
        </is>
      </c>
      <c r="D572" t="inlineStr">
        <is>
          <t>Animal marking : recognition marking of animals in research / edited by Bernard Stonehouse.</t>
        </is>
      </c>
      <c r="F572" t="inlineStr">
        <is>
          <t>No</t>
        </is>
      </c>
      <c r="G572" t="inlineStr">
        <is>
          <t>1</t>
        </is>
      </c>
      <c r="H572" t="inlineStr">
        <is>
          <t>No</t>
        </is>
      </c>
      <c r="I572" t="inlineStr">
        <is>
          <t>No</t>
        </is>
      </c>
      <c r="J572" t="inlineStr">
        <is>
          <t>0</t>
        </is>
      </c>
      <c r="L572" t="inlineStr">
        <is>
          <t>Baltimore : University Park Press, c1978.</t>
        </is>
      </c>
      <c r="M572" t="inlineStr">
        <is>
          <t>1978</t>
        </is>
      </c>
      <c r="O572" t="inlineStr">
        <is>
          <t>eng</t>
        </is>
      </c>
      <c r="P572" t="inlineStr">
        <is>
          <t>mdu</t>
        </is>
      </c>
      <c r="R572" t="inlineStr">
        <is>
          <t xml:space="preserve">QL </t>
        </is>
      </c>
      <c r="S572" t="n">
        <v>3</v>
      </c>
      <c r="T572" t="n">
        <v>3</v>
      </c>
      <c r="U572" t="inlineStr">
        <is>
          <t>1997-04-03</t>
        </is>
      </c>
      <c r="V572" t="inlineStr">
        <is>
          <t>1997-04-03</t>
        </is>
      </c>
      <c r="W572" t="inlineStr">
        <is>
          <t>1993-05-21</t>
        </is>
      </c>
      <c r="X572" t="inlineStr">
        <is>
          <t>1993-05-21</t>
        </is>
      </c>
      <c r="Y572" t="n">
        <v>304</v>
      </c>
      <c r="Z572" t="n">
        <v>278</v>
      </c>
      <c r="AA572" t="n">
        <v>341</v>
      </c>
      <c r="AB572" t="n">
        <v>3</v>
      </c>
      <c r="AC572" t="n">
        <v>3</v>
      </c>
      <c r="AD572" t="n">
        <v>7</v>
      </c>
      <c r="AE572" t="n">
        <v>9</v>
      </c>
      <c r="AF572" t="n">
        <v>2</v>
      </c>
      <c r="AG572" t="n">
        <v>2</v>
      </c>
      <c r="AH572" t="n">
        <v>1</v>
      </c>
      <c r="AI572" t="n">
        <v>3</v>
      </c>
      <c r="AJ572" t="n">
        <v>2</v>
      </c>
      <c r="AK572" t="n">
        <v>3</v>
      </c>
      <c r="AL572" t="n">
        <v>2</v>
      </c>
      <c r="AM572" t="n">
        <v>2</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HYPERLINK("https://creighton-primo.hosted.exlibrisgroup.com/primo-explore/search?tab=default_tab&amp;search_scope=EVERYTHING&amp;vid=01CRU&amp;lang=en_US&amp;offset=0&amp;query=any,contains,991004503509702656","Catalog Record")</f>
        <v/>
      </c>
      <c r="AT572">
        <f>HYPERLINK("http://www.worldcat.org/oclc/3729957","WorldCat Record")</f>
        <v/>
      </c>
      <c r="AU572" t="inlineStr">
        <is>
          <t>795623713:eng</t>
        </is>
      </c>
      <c r="AV572" t="inlineStr">
        <is>
          <t>3729957</t>
        </is>
      </c>
      <c r="AW572" t="inlineStr">
        <is>
          <t>991004503509702656</t>
        </is>
      </c>
      <c r="AX572" t="inlineStr">
        <is>
          <t>991004503509702656</t>
        </is>
      </c>
      <c r="AY572" t="inlineStr">
        <is>
          <t>2264412380002656</t>
        </is>
      </c>
      <c r="AZ572" t="inlineStr">
        <is>
          <t>BOOK</t>
        </is>
      </c>
      <c r="BB572" t="inlineStr">
        <is>
          <t>9780839112747</t>
        </is>
      </c>
      <c r="BC572" t="inlineStr">
        <is>
          <t>32285001686152</t>
        </is>
      </c>
      <c r="BD572" t="inlineStr">
        <is>
          <t>893423895</t>
        </is>
      </c>
    </row>
    <row r="573">
      <c r="A573" t="inlineStr">
        <is>
          <t>No</t>
        </is>
      </c>
      <c r="B573" t="inlineStr">
        <is>
          <t>QL605 .A384</t>
        </is>
      </c>
      <c r="C573" t="inlineStr">
        <is>
          <t>0                      QL 0605000A  384</t>
        </is>
      </c>
      <c r="D573" t="inlineStr">
        <is>
          <t>The chordates / R. McNeill Alexander.</t>
        </is>
      </c>
      <c r="F573" t="inlineStr">
        <is>
          <t>No</t>
        </is>
      </c>
      <c r="G573" t="inlineStr">
        <is>
          <t>1</t>
        </is>
      </c>
      <c r="H573" t="inlineStr">
        <is>
          <t>No</t>
        </is>
      </c>
      <c r="I573" t="inlineStr">
        <is>
          <t>Yes</t>
        </is>
      </c>
      <c r="J573" t="inlineStr">
        <is>
          <t>0</t>
        </is>
      </c>
      <c r="K573" t="inlineStr">
        <is>
          <t>Alexander, R. McNeill.</t>
        </is>
      </c>
      <c r="L573" t="inlineStr">
        <is>
          <t>London ; New York : Cambridge University Press, 1975.</t>
        </is>
      </c>
      <c r="M573" t="inlineStr">
        <is>
          <t>1975</t>
        </is>
      </c>
      <c r="O573" t="inlineStr">
        <is>
          <t>eng</t>
        </is>
      </c>
      <c r="P573" t="inlineStr">
        <is>
          <t>enk</t>
        </is>
      </c>
      <c r="R573" t="inlineStr">
        <is>
          <t xml:space="preserve">QL </t>
        </is>
      </c>
      <c r="S573" t="n">
        <v>1</v>
      </c>
      <c r="T573" t="n">
        <v>1</v>
      </c>
      <c r="U573" t="inlineStr">
        <is>
          <t>1995-02-03</t>
        </is>
      </c>
      <c r="V573" t="inlineStr">
        <is>
          <t>1995-02-03</t>
        </is>
      </c>
      <c r="W573" t="inlineStr">
        <is>
          <t>1993-05-14</t>
        </is>
      </c>
      <c r="X573" t="inlineStr">
        <is>
          <t>1993-05-14</t>
        </is>
      </c>
      <c r="Y573" t="n">
        <v>615</v>
      </c>
      <c r="Z573" t="n">
        <v>437</v>
      </c>
      <c r="AA573" t="n">
        <v>553</v>
      </c>
      <c r="AB573" t="n">
        <v>3</v>
      </c>
      <c r="AC573" t="n">
        <v>3</v>
      </c>
      <c r="AD573" t="n">
        <v>20</v>
      </c>
      <c r="AE573" t="n">
        <v>23</v>
      </c>
      <c r="AF573" t="n">
        <v>4</v>
      </c>
      <c r="AG573" t="n">
        <v>7</v>
      </c>
      <c r="AH573" t="n">
        <v>6</v>
      </c>
      <c r="AI573" t="n">
        <v>6</v>
      </c>
      <c r="AJ573" t="n">
        <v>14</v>
      </c>
      <c r="AK573" t="n">
        <v>15</v>
      </c>
      <c r="AL573" t="n">
        <v>2</v>
      </c>
      <c r="AM573" t="n">
        <v>2</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HYPERLINK("https://creighton-primo.hosted.exlibrisgroup.com/primo-explore/search?tab=default_tab&amp;search_scope=EVERYTHING&amp;vid=01CRU&amp;lang=en_US&amp;offset=0&amp;query=any,contains,991003661949702656","Catalog Record")</f>
        <v/>
      </c>
      <c r="AT573">
        <f>HYPERLINK("http://www.worldcat.org/oclc/1272601","WorldCat Record")</f>
        <v/>
      </c>
      <c r="AU573" t="inlineStr">
        <is>
          <t>2198753:eng</t>
        </is>
      </c>
      <c r="AV573" t="inlineStr">
        <is>
          <t>1272601</t>
        </is>
      </c>
      <c r="AW573" t="inlineStr">
        <is>
          <t>991003661949702656</t>
        </is>
      </c>
      <c r="AX573" t="inlineStr">
        <is>
          <t>991003661949702656</t>
        </is>
      </c>
      <c r="AY573" t="inlineStr">
        <is>
          <t>2266505160002656</t>
        </is>
      </c>
      <c r="AZ573" t="inlineStr">
        <is>
          <t>BOOK</t>
        </is>
      </c>
      <c r="BB573" t="inlineStr">
        <is>
          <t>9780521204729</t>
        </is>
      </c>
      <c r="BC573" t="inlineStr">
        <is>
          <t>32285001656247</t>
        </is>
      </c>
      <c r="BD573" t="inlineStr">
        <is>
          <t>893598814</t>
        </is>
      </c>
    </row>
    <row r="574">
      <c r="A574" t="inlineStr">
        <is>
          <t>No</t>
        </is>
      </c>
      <c r="B574" t="inlineStr">
        <is>
          <t>QL605 .A384 1981</t>
        </is>
      </c>
      <c r="C574" t="inlineStr">
        <is>
          <t>0                      QL 0605000A  384         1981</t>
        </is>
      </c>
      <c r="D574" t="inlineStr">
        <is>
          <t>The chordates / R. McNeill Alexander.</t>
        </is>
      </c>
      <c r="F574" t="inlineStr">
        <is>
          <t>No</t>
        </is>
      </c>
      <c r="G574" t="inlineStr">
        <is>
          <t>1</t>
        </is>
      </c>
      <c r="H574" t="inlineStr">
        <is>
          <t>No</t>
        </is>
      </c>
      <c r="I574" t="inlineStr">
        <is>
          <t>Yes</t>
        </is>
      </c>
      <c r="J574" t="inlineStr">
        <is>
          <t>0</t>
        </is>
      </c>
      <c r="K574" t="inlineStr">
        <is>
          <t>Alexander, R. McNeill.</t>
        </is>
      </c>
      <c r="L574" t="inlineStr">
        <is>
          <t>Cambridge [Eng.] ; New York : Cambridge University Press, 1981.</t>
        </is>
      </c>
      <c r="M574" t="inlineStr">
        <is>
          <t>1980</t>
        </is>
      </c>
      <c r="N574" t="inlineStr">
        <is>
          <t>2d ed.</t>
        </is>
      </c>
      <c r="O574" t="inlineStr">
        <is>
          <t>eng</t>
        </is>
      </c>
      <c r="P574" t="inlineStr">
        <is>
          <t>enk</t>
        </is>
      </c>
      <c r="R574" t="inlineStr">
        <is>
          <t xml:space="preserve">QL </t>
        </is>
      </c>
      <c r="S574" t="n">
        <v>7</v>
      </c>
      <c r="T574" t="n">
        <v>7</v>
      </c>
      <c r="U574" t="inlineStr">
        <is>
          <t>2005-02-27</t>
        </is>
      </c>
      <c r="V574" t="inlineStr">
        <is>
          <t>2005-02-27</t>
        </is>
      </c>
      <c r="W574" t="inlineStr">
        <is>
          <t>1993-05-28</t>
        </is>
      </c>
      <c r="X574" t="inlineStr">
        <is>
          <t>1993-05-28</t>
        </is>
      </c>
      <c r="Y574" t="n">
        <v>296</v>
      </c>
      <c r="Z574" t="n">
        <v>202</v>
      </c>
      <c r="AA574" t="n">
        <v>553</v>
      </c>
      <c r="AB574" t="n">
        <v>2</v>
      </c>
      <c r="AC574" t="n">
        <v>3</v>
      </c>
      <c r="AD574" t="n">
        <v>6</v>
      </c>
      <c r="AE574" t="n">
        <v>23</v>
      </c>
      <c r="AF574" t="n">
        <v>3</v>
      </c>
      <c r="AG574" t="n">
        <v>7</v>
      </c>
      <c r="AH574" t="n">
        <v>1</v>
      </c>
      <c r="AI574" t="n">
        <v>6</v>
      </c>
      <c r="AJ574" t="n">
        <v>2</v>
      </c>
      <c r="AK574" t="n">
        <v>15</v>
      </c>
      <c r="AL574" t="n">
        <v>1</v>
      </c>
      <c r="AM574" t="n">
        <v>2</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HYPERLINK("https://creighton-primo.hosted.exlibrisgroup.com/primo-explore/search?tab=default_tab&amp;search_scope=EVERYTHING&amp;vid=01CRU&amp;lang=en_US&amp;offset=0&amp;query=any,contains,991005081819702656","Catalog Record")</f>
        <v/>
      </c>
      <c r="AT574">
        <f>HYPERLINK("http://www.worldcat.org/oclc/7173091","WorldCat Record")</f>
        <v/>
      </c>
      <c r="AU574" t="inlineStr">
        <is>
          <t>2198753:eng</t>
        </is>
      </c>
      <c r="AV574" t="inlineStr">
        <is>
          <t>7173091</t>
        </is>
      </c>
      <c r="AW574" t="inlineStr">
        <is>
          <t>991005081819702656</t>
        </is>
      </c>
      <c r="AX574" t="inlineStr">
        <is>
          <t>991005081819702656</t>
        </is>
      </c>
      <c r="AY574" t="inlineStr">
        <is>
          <t>2256881270002656</t>
        </is>
      </c>
      <c r="AZ574" t="inlineStr">
        <is>
          <t>BOOK</t>
        </is>
      </c>
      <c r="BB574" t="inlineStr">
        <is>
          <t>9780521236584</t>
        </is>
      </c>
      <c r="BC574" t="inlineStr">
        <is>
          <t>32285001687754</t>
        </is>
      </c>
      <c r="BD574" t="inlineStr">
        <is>
          <t>893876909</t>
        </is>
      </c>
    </row>
    <row r="575">
      <c r="A575" t="inlineStr">
        <is>
          <t>No</t>
        </is>
      </c>
      <c r="B575" t="inlineStr">
        <is>
          <t>QL605 .H34 1994</t>
        </is>
      </c>
      <c r="C575" t="inlineStr">
        <is>
          <t>0                      QL 0605000H  34          1994</t>
        </is>
      </c>
      <c r="D575" t="inlineStr">
        <is>
          <t>Vertebrate zoology : an experimental field approach / Nelson G. Hairston, Sr.</t>
        </is>
      </c>
      <c r="F575" t="inlineStr">
        <is>
          <t>No</t>
        </is>
      </c>
      <c r="G575" t="inlineStr">
        <is>
          <t>1</t>
        </is>
      </c>
      <c r="H575" t="inlineStr">
        <is>
          <t>No</t>
        </is>
      </c>
      <c r="I575" t="inlineStr">
        <is>
          <t>No</t>
        </is>
      </c>
      <c r="J575" t="inlineStr">
        <is>
          <t>0</t>
        </is>
      </c>
      <c r="K575" t="inlineStr">
        <is>
          <t>Hairston, Nelson G.</t>
        </is>
      </c>
      <c r="L575" t="inlineStr">
        <is>
          <t>Cambridge ; New York : Cambridge University Press, 1994.</t>
        </is>
      </c>
      <c r="M575" t="inlineStr">
        <is>
          <t>1994</t>
        </is>
      </c>
      <c r="O575" t="inlineStr">
        <is>
          <t>eng</t>
        </is>
      </c>
      <c r="P575" t="inlineStr">
        <is>
          <t>enk</t>
        </is>
      </c>
      <c r="R575" t="inlineStr">
        <is>
          <t xml:space="preserve">QL </t>
        </is>
      </c>
      <c r="S575" t="n">
        <v>4</v>
      </c>
      <c r="T575" t="n">
        <v>4</v>
      </c>
      <c r="U575" t="inlineStr">
        <is>
          <t>2001-02-21</t>
        </is>
      </c>
      <c r="V575" t="inlineStr">
        <is>
          <t>2001-02-21</t>
        </is>
      </c>
      <c r="W575" t="inlineStr">
        <is>
          <t>1996-08-06</t>
        </is>
      </c>
      <c r="X575" t="inlineStr">
        <is>
          <t>1996-08-06</t>
        </is>
      </c>
      <c r="Y575" t="n">
        <v>389</v>
      </c>
      <c r="Z575" t="n">
        <v>271</v>
      </c>
      <c r="AA575" t="n">
        <v>271</v>
      </c>
      <c r="AB575" t="n">
        <v>4</v>
      </c>
      <c r="AC575" t="n">
        <v>4</v>
      </c>
      <c r="AD575" t="n">
        <v>15</v>
      </c>
      <c r="AE575" t="n">
        <v>15</v>
      </c>
      <c r="AF575" t="n">
        <v>7</v>
      </c>
      <c r="AG575" t="n">
        <v>7</v>
      </c>
      <c r="AH575" t="n">
        <v>2</v>
      </c>
      <c r="AI575" t="n">
        <v>2</v>
      </c>
      <c r="AJ575" t="n">
        <v>5</v>
      </c>
      <c r="AK575" t="n">
        <v>5</v>
      </c>
      <c r="AL575" t="n">
        <v>3</v>
      </c>
      <c r="AM575" t="n">
        <v>3</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HYPERLINK("https://creighton-primo.hosted.exlibrisgroup.com/primo-explore/search?tab=default_tab&amp;search_scope=EVERYTHING&amp;vid=01CRU&amp;lang=en_US&amp;offset=0&amp;query=any,contains,991002211049702656","Catalog Record")</f>
        <v/>
      </c>
      <c r="AT575">
        <f>HYPERLINK("http://www.worldcat.org/oclc/28423789","WorldCat Record")</f>
        <v/>
      </c>
      <c r="AU575" t="inlineStr">
        <is>
          <t>30876531:eng</t>
        </is>
      </c>
      <c r="AV575" t="inlineStr">
        <is>
          <t>28423789</t>
        </is>
      </c>
      <c r="AW575" t="inlineStr">
        <is>
          <t>991002211049702656</t>
        </is>
      </c>
      <c r="AX575" t="inlineStr">
        <is>
          <t>991002211049702656</t>
        </is>
      </c>
      <c r="AY575" t="inlineStr">
        <is>
          <t>2265426700002656</t>
        </is>
      </c>
      <c r="AZ575" t="inlineStr">
        <is>
          <t>BOOK</t>
        </is>
      </c>
      <c r="BB575" t="inlineStr">
        <is>
          <t>9780521417037</t>
        </is>
      </c>
      <c r="BC575" t="inlineStr">
        <is>
          <t>32285002270923</t>
        </is>
      </c>
      <c r="BD575" t="inlineStr">
        <is>
          <t>893785856</t>
        </is>
      </c>
    </row>
    <row r="576">
      <c r="A576" t="inlineStr">
        <is>
          <t>No</t>
        </is>
      </c>
      <c r="B576" t="inlineStr">
        <is>
          <t>QL605 .J33</t>
        </is>
      </c>
      <c r="C576" t="inlineStr">
        <is>
          <t>0                      QL 0605000J  33</t>
        </is>
      </c>
      <c r="D576" t="inlineStr">
        <is>
          <t>Patterns of vertebrate biology / E.W. Jameson, Jr.</t>
        </is>
      </c>
      <c r="F576" t="inlineStr">
        <is>
          <t>No</t>
        </is>
      </c>
      <c r="G576" t="inlineStr">
        <is>
          <t>1</t>
        </is>
      </c>
      <c r="H576" t="inlineStr">
        <is>
          <t>No</t>
        </is>
      </c>
      <c r="I576" t="inlineStr">
        <is>
          <t>No</t>
        </is>
      </c>
      <c r="J576" t="inlineStr">
        <is>
          <t>0</t>
        </is>
      </c>
      <c r="K576" t="inlineStr">
        <is>
          <t>Jameson, E. W. (Everett Williams), 1921-</t>
        </is>
      </c>
      <c r="L576" t="inlineStr">
        <is>
          <t>New York : Springer-Verlag, 1981.</t>
        </is>
      </c>
      <c r="M576" t="inlineStr">
        <is>
          <t>1981</t>
        </is>
      </c>
      <c r="O576" t="inlineStr">
        <is>
          <t>eng</t>
        </is>
      </c>
      <c r="P576" t="inlineStr">
        <is>
          <t>nyu</t>
        </is>
      </c>
      <c r="R576" t="inlineStr">
        <is>
          <t xml:space="preserve">QL </t>
        </is>
      </c>
      <c r="S576" t="n">
        <v>3</v>
      </c>
      <c r="T576" t="n">
        <v>3</v>
      </c>
      <c r="U576" t="inlineStr">
        <is>
          <t>1996-03-17</t>
        </is>
      </c>
      <c r="V576" t="inlineStr">
        <is>
          <t>1996-03-17</t>
        </is>
      </c>
      <c r="W576" t="inlineStr">
        <is>
          <t>1993-05-28</t>
        </is>
      </c>
      <c r="X576" t="inlineStr">
        <is>
          <t>1993-05-28</t>
        </is>
      </c>
      <c r="Y576" t="n">
        <v>447</v>
      </c>
      <c r="Z576" t="n">
        <v>336</v>
      </c>
      <c r="AA576" t="n">
        <v>353</v>
      </c>
      <c r="AB576" t="n">
        <v>3</v>
      </c>
      <c r="AC576" t="n">
        <v>3</v>
      </c>
      <c r="AD576" t="n">
        <v>13</v>
      </c>
      <c r="AE576" t="n">
        <v>14</v>
      </c>
      <c r="AF576" t="n">
        <v>7</v>
      </c>
      <c r="AG576" t="n">
        <v>8</v>
      </c>
      <c r="AH576" t="n">
        <v>4</v>
      </c>
      <c r="AI576" t="n">
        <v>4</v>
      </c>
      <c r="AJ576" t="n">
        <v>4</v>
      </c>
      <c r="AK576" t="n">
        <v>5</v>
      </c>
      <c r="AL576" t="n">
        <v>2</v>
      </c>
      <c r="AM576" t="n">
        <v>2</v>
      </c>
      <c r="AN576" t="n">
        <v>0</v>
      </c>
      <c r="AO576" t="n">
        <v>0</v>
      </c>
      <c r="AP576" t="inlineStr">
        <is>
          <t>No</t>
        </is>
      </c>
      <c r="AQ576" t="inlineStr">
        <is>
          <t>Yes</t>
        </is>
      </c>
      <c r="AR576">
        <f>HYPERLINK("http://catalog.hathitrust.org/Record/000101942","HathiTrust Record")</f>
        <v/>
      </c>
      <c r="AS576">
        <f>HYPERLINK("https://creighton-primo.hosted.exlibrisgroup.com/primo-explore/search?tab=default_tab&amp;search_scope=EVERYTHING&amp;vid=01CRU&amp;lang=en_US&amp;offset=0&amp;query=any,contains,991005099779702656","Catalog Record")</f>
        <v/>
      </c>
      <c r="AT576">
        <f>HYPERLINK("http://www.worldcat.org/oclc/7282051","WorldCat Record")</f>
        <v/>
      </c>
      <c r="AU576" t="inlineStr">
        <is>
          <t>458272:eng</t>
        </is>
      </c>
      <c r="AV576" t="inlineStr">
        <is>
          <t>7282051</t>
        </is>
      </c>
      <c r="AW576" t="inlineStr">
        <is>
          <t>991005099779702656</t>
        </is>
      </c>
      <c r="AX576" t="inlineStr">
        <is>
          <t>991005099779702656</t>
        </is>
      </c>
      <c r="AY576" t="inlineStr">
        <is>
          <t>2257981220002656</t>
        </is>
      </c>
      <c r="AZ576" t="inlineStr">
        <is>
          <t>BOOK</t>
        </is>
      </c>
      <c r="BB576" t="inlineStr">
        <is>
          <t>9780387905204</t>
        </is>
      </c>
      <c r="BC576" t="inlineStr">
        <is>
          <t>32285001687770</t>
        </is>
      </c>
      <c r="BD576" t="inlineStr">
        <is>
          <t>893430840</t>
        </is>
      </c>
    </row>
    <row r="577">
      <c r="A577" t="inlineStr">
        <is>
          <t>No</t>
        </is>
      </c>
      <c r="B577" t="inlineStr">
        <is>
          <t>QL605 .O7 1966</t>
        </is>
      </c>
      <c r="C577" t="inlineStr">
        <is>
          <t>0                      QL 0605000O  7           1966</t>
        </is>
      </c>
      <c r="D577" t="inlineStr">
        <is>
          <t>Vertebrate biology / [by] Robert T. Orr.</t>
        </is>
      </c>
      <c r="F577" t="inlineStr">
        <is>
          <t>No</t>
        </is>
      </c>
      <c r="G577" t="inlineStr">
        <is>
          <t>1</t>
        </is>
      </c>
      <c r="H577" t="inlineStr">
        <is>
          <t>No</t>
        </is>
      </c>
      <c r="I577" t="inlineStr">
        <is>
          <t>No</t>
        </is>
      </c>
      <c r="J577" t="inlineStr">
        <is>
          <t>0</t>
        </is>
      </c>
      <c r="K577" t="inlineStr">
        <is>
          <t>Orr, Robert T. (Robert Thomas), 1908-1994.</t>
        </is>
      </c>
      <c r="L577" t="inlineStr">
        <is>
          <t>Philadelphia : Saunders, 1966.</t>
        </is>
      </c>
      <c r="M577" t="inlineStr">
        <is>
          <t>1966</t>
        </is>
      </c>
      <c r="N577" t="inlineStr">
        <is>
          <t>2d ed.</t>
        </is>
      </c>
      <c r="O577" t="inlineStr">
        <is>
          <t>eng</t>
        </is>
      </c>
      <c r="P577" t="inlineStr">
        <is>
          <t>pau</t>
        </is>
      </c>
      <c r="R577" t="inlineStr">
        <is>
          <t xml:space="preserve">QL </t>
        </is>
      </c>
      <c r="S577" t="n">
        <v>5</v>
      </c>
      <c r="T577" t="n">
        <v>5</v>
      </c>
      <c r="U577" t="inlineStr">
        <is>
          <t>1996-02-24</t>
        </is>
      </c>
      <c r="V577" t="inlineStr">
        <is>
          <t>1996-02-24</t>
        </is>
      </c>
      <c r="W577" t="inlineStr">
        <is>
          <t>1993-04-12</t>
        </is>
      </c>
      <c r="X577" t="inlineStr">
        <is>
          <t>1993-04-12</t>
        </is>
      </c>
      <c r="Y577" t="n">
        <v>293</v>
      </c>
      <c r="Z577" t="n">
        <v>254</v>
      </c>
      <c r="AA577" t="n">
        <v>882</v>
      </c>
      <c r="AB577" t="n">
        <v>3</v>
      </c>
      <c r="AC577" t="n">
        <v>9</v>
      </c>
      <c r="AD577" t="n">
        <v>6</v>
      </c>
      <c r="AE577" t="n">
        <v>30</v>
      </c>
      <c r="AF577" t="n">
        <v>1</v>
      </c>
      <c r="AG577" t="n">
        <v>10</v>
      </c>
      <c r="AH577" t="n">
        <v>0</v>
      </c>
      <c r="AI577" t="n">
        <v>4</v>
      </c>
      <c r="AJ577" t="n">
        <v>3</v>
      </c>
      <c r="AK577" t="n">
        <v>14</v>
      </c>
      <c r="AL577" t="n">
        <v>2</v>
      </c>
      <c r="AM577" t="n">
        <v>7</v>
      </c>
      <c r="AN577" t="n">
        <v>0</v>
      </c>
      <c r="AO577" t="n">
        <v>0</v>
      </c>
      <c r="AP577" t="inlineStr">
        <is>
          <t>No</t>
        </is>
      </c>
      <c r="AQ577" t="inlineStr">
        <is>
          <t>Yes</t>
        </is>
      </c>
      <c r="AR577">
        <f>HYPERLINK("http://catalog.hathitrust.org/Record/001500700","HathiTrust Record")</f>
        <v/>
      </c>
      <c r="AS577">
        <f>HYPERLINK("https://creighton-primo.hosted.exlibrisgroup.com/primo-explore/search?tab=default_tab&amp;search_scope=EVERYTHING&amp;vid=01CRU&amp;lang=en_US&amp;offset=0&amp;query=any,contains,991003567489702656","Catalog Record")</f>
        <v/>
      </c>
      <c r="AT577">
        <f>HYPERLINK("http://www.worldcat.org/oclc/1141157","WorldCat Record")</f>
        <v/>
      </c>
      <c r="AU577" t="inlineStr">
        <is>
          <t>610342606:eng</t>
        </is>
      </c>
      <c r="AV577" t="inlineStr">
        <is>
          <t>1141157</t>
        </is>
      </c>
      <c r="AW577" t="inlineStr">
        <is>
          <t>991003567489702656</t>
        </is>
      </c>
      <c r="AX577" t="inlineStr">
        <is>
          <t>991003567489702656</t>
        </is>
      </c>
      <c r="AY577" t="inlineStr">
        <is>
          <t>2264965210002656</t>
        </is>
      </c>
      <c r="AZ577" t="inlineStr">
        <is>
          <t>BOOK</t>
        </is>
      </c>
      <c r="BC577" t="inlineStr">
        <is>
          <t>32285001615672</t>
        </is>
      </c>
      <c r="BD577" t="inlineStr">
        <is>
          <t>893524960</t>
        </is>
      </c>
    </row>
    <row r="578">
      <c r="A578" t="inlineStr">
        <is>
          <t>No</t>
        </is>
      </c>
      <c r="B578" t="inlineStr">
        <is>
          <t>QL605 .S513</t>
        </is>
      </c>
      <c r="C578" t="inlineStr">
        <is>
          <t>0                      QL 0605000S  513</t>
        </is>
      </c>
      <c r="D578" t="inlineStr">
        <is>
          <t>The origin of terrestrial vertebrates / [by] I. I. Schmalhausen. Translated from the Russian by Leon Kelso. Edited by Keith Stewart Thomson, with a pref. to the English ed. by Carl Gans.</t>
        </is>
      </c>
      <c r="F578" t="inlineStr">
        <is>
          <t>No</t>
        </is>
      </c>
      <c r="G578" t="inlineStr">
        <is>
          <t>1</t>
        </is>
      </c>
      <c r="H578" t="inlineStr">
        <is>
          <t>No</t>
        </is>
      </c>
      <c r="I578" t="inlineStr">
        <is>
          <t>No</t>
        </is>
      </c>
      <c r="J578" t="inlineStr">
        <is>
          <t>0</t>
        </is>
      </c>
      <c r="K578" t="inlineStr">
        <is>
          <t>Shmalʹgauzen, I. I. (Ivan Ivanovich), 1884-1963.</t>
        </is>
      </c>
      <c r="L578" t="inlineStr">
        <is>
          <t>New York : Academic Press, 1968.</t>
        </is>
      </c>
      <c r="M578" t="inlineStr">
        <is>
          <t>1968</t>
        </is>
      </c>
      <c r="O578" t="inlineStr">
        <is>
          <t>eng</t>
        </is>
      </c>
      <c r="P578" t="inlineStr">
        <is>
          <t>nyu</t>
        </is>
      </c>
      <c r="R578" t="inlineStr">
        <is>
          <t xml:space="preserve">QL </t>
        </is>
      </c>
      <c r="S578" t="n">
        <v>1</v>
      </c>
      <c r="T578" t="n">
        <v>1</v>
      </c>
      <c r="U578" t="inlineStr">
        <is>
          <t>1995-01-24</t>
        </is>
      </c>
      <c r="V578" t="inlineStr">
        <is>
          <t>1995-01-24</t>
        </is>
      </c>
      <c r="W578" t="inlineStr">
        <is>
          <t>1994-02-28</t>
        </is>
      </c>
      <c r="X578" t="inlineStr">
        <is>
          <t>1994-02-28</t>
        </is>
      </c>
      <c r="Y578" t="n">
        <v>633</v>
      </c>
      <c r="Z578" t="n">
        <v>508</v>
      </c>
      <c r="AA578" t="n">
        <v>516</v>
      </c>
      <c r="AB578" t="n">
        <v>3</v>
      </c>
      <c r="AC578" t="n">
        <v>3</v>
      </c>
      <c r="AD578" t="n">
        <v>24</v>
      </c>
      <c r="AE578" t="n">
        <v>24</v>
      </c>
      <c r="AF578" t="n">
        <v>10</v>
      </c>
      <c r="AG578" t="n">
        <v>10</v>
      </c>
      <c r="AH578" t="n">
        <v>2</v>
      </c>
      <c r="AI578" t="n">
        <v>2</v>
      </c>
      <c r="AJ578" t="n">
        <v>14</v>
      </c>
      <c r="AK578" t="n">
        <v>14</v>
      </c>
      <c r="AL578" t="n">
        <v>2</v>
      </c>
      <c r="AM578" t="n">
        <v>2</v>
      </c>
      <c r="AN578" t="n">
        <v>0</v>
      </c>
      <c r="AO578" t="n">
        <v>0</v>
      </c>
      <c r="AP578" t="inlineStr">
        <is>
          <t>No</t>
        </is>
      </c>
      <c r="AQ578" t="inlineStr">
        <is>
          <t>Yes</t>
        </is>
      </c>
      <c r="AR578">
        <f>HYPERLINK("http://catalog.hathitrust.org/Record/000230496","HathiTrust Record")</f>
        <v/>
      </c>
      <c r="AS578">
        <f>HYPERLINK("https://creighton-primo.hosted.exlibrisgroup.com/primo-explore/search?tab=default_tab&amp;search_scope=EVERYTHING&amp;vid=01CRU&amp;lang=en_US&amp;offset=0&amp;query=any,contains,991003186059702656","Catalog Record")</f>
        <v/>
      </c>
      <c r="AT578">
        <f>HYPERLINK("http://www.worldcat.org/oclc/712681","WorldCat Record")</f>
        <v/>
      </c>
      <c r="AU578" t="inlineStr">
        <is>
          <t>1666968:eng</t>
        </is>
      </c>
      <c r="AV578" t="inlineStr">
        <is>
          <t>712681</t>
        </is>
      </c>
      <c r="AW578" t="inlineStr">
        <is>
          <t>991003186059702656</t>
        </is>
      </c>
      <c r="AX578" t="inlineStr">
        <is>
          <t>991003186059702656</t>
        </is>
      </c>
      <c r="AY578" t="inlineStr">
        <is>
          <t>2256649580002656</t>
        </is>
      </c>
      <c r="AZ578" t="inlineStr">
        <is>
          <t>BOOK</t>
        </is>
      </c>
      <c r="BC578" t="inlineStr">
        <is>
          <t>32285001850428</t>
        </is>
      </c>
      <c r="BD578" t="inlineStr">
        <is>
          <t>893323845</t>
        </is>
      </c>
    </row>
    <row r="579">
      <c r="A579" t="inlineStr">
        <is>
          <t>No</t>
        </is>
      </c>
      <c r="B579" t="inlineStr">
        <is>
          <t>QL605 .W4 1958</t>
        </is>
      </c>
      <c r="C579" t="inlineStr">
        <is>
          <t>0                      QL 0605000W  4           1958</t>
        </is>
      </c>
      <c r="D579" t="inlineStr">
        <is>
          <t>Anatomy of the chordates.</t>
        </is>
      </c>
      <c r="F579" t="inlineStr">
        <is>
          <t>No</t>
        </is>
      </c>
      <c r="G579" t="inlineStr">
        <is>
          <t>1</t>
        </is>
      </c>
      <c r="H579" t="inlineStr">
        <is>
          <t>No</t>
        </is>
      </c>
      <c r="I579" t="inlineStr">
        <is>
          <t>No</t>
        </is>
      </c>
      <c r="J579" t="inlineStr">
        <is>
          <t>0</t>
        </is>
      </c>
      <c r="K579" t="inlineStr">
        <is>
          <t>Weichert, Charles K. (Charles Kipp), 1902-1970.</t>
        </is>
      </c>
      <c r="L579" t="inlineStr">
        <is>
          <t>New York, McGraw-Hill, 1958.</t>
        </is>
      </c>
      <c r="M579" t="inlineStr">
        <is>
          <t>1958</t>
        </is>
      </c>
      <c r="N579" t="inlineStr">
        <is>
          <t>2d ed.</t>
        </is>
      </c>
      <c r="O579" t="inlineStr">
        <is>
          <t>eng</t>
        </is>
      </c>
      <c r="P579" t="inlineStr">
        <is>
          <t>nyu</t>
        </is>
      </c>
      <c r="Q579" t="inlineStr">
        <is>
          <t>McGraw-Hill publications in the zoological sciences</t>
        </is>
      </c>
      <c r="R579" t="inlineStr">
        <is>
          <t xml:space="preserve">QL </t>
        </is>
      </c>
      <c r="S579" t="n">
        <v>2</v>
      </c>
      <c r="T579" t="n">
        <v>2</v>
      </c>
      <c r="U579" t="inlineStr">
        <is>
          <t>2005-02-27</t>
        </is>
      </c>
      <c r="V579" t="inlineStr">
        <is>
          <t>2005-02-27</t>
        </is>
      </c>
      <c r="W579" t="inlineStr">
        <is>
          <t>1997-07-25</t>
        </is>
      </c>
      <c r="X579" t="inlineStr">
        <is>
          <t>1997-07-25</t>
        </is>
      </c>
      <c r="Y579" t="n">
        <v>200</v>
      </c>
      <c r="Z579" t="n">
        <v>155</v>
      </c>
      <c r="AA579" t="n">
        <v>700</v>
      </c>
      <c r="AB579" t="n">
        <v>1</v>
      </c>
      <c r="AC579" t="n">
        <v>8</v>
      </c>
      <c r="AD579" t="n">
        <v>6</v>
      </c>
      <c r="AE579" t="n">
        <v>30</v>
      </c>
      <c r="AF579" t="n">
        <v>3</v>
      </c>
      <c r="AG579" t="n">
        <v>11</v>
      </c>
      <c r="AH579" t="n">
        <v>1</v>
      </c>
      <c r="AI579" t="n">
        <v>5</v>
      </c>
      <c r="AJ579" t="n">
        <v>3</v>
      </c>
      <c r="AK579" t="n">
        <v>14</v>
      </c>
      <c r="AL579" t="n">
        <v>0</v>
      </c>
      <c r="AM579" t="n">
        <v>7</v>
      </c>
      <c r="AN579" t="n">
        <v>0</v>
      </c>
      <c r="AO579" t="n">
        <v>0</v>
      </c>
      <c r="AP579" t="inlineStr">
        <is>
          <t>No</t>
        </is>
      </c>
      <c r="AQ579" t="inlineStr">
        <is>
          <t>Yes</t>
        </is>
      </c>
      <c r="AR579">
        <f>HYPERLINK("http://catalog.hathitrust.org/Record/001692974","HathiTrust Record")</f>
        <v/>
      </c>
      <c r="AS579">
        <f>HYPERLINK("https://creighton-primo.hosted.exlibrisgroup.com/primo-explore/search?tab=default_tab&amp;search_scope=EVERYTHING&amp;vid=01CRU&amp;lang=en_US&amp;offset=0&amp;query=any,contains,991004192779702656","Catalog Record")</f>
        <v/>
      </c>
      <c r="AT579">
        <f>HYPERLINK("http://www.worldcat.org/oclc/2634973","WorldCat Record")</f>
        <v/>
      </c>
      <c r="AU579" t="inlineStr">
        <is>
          <t>406733:eng</t>
        </is>
      </c>
      <c r="AV579" t="inlineStr">
        <is>
          <t>2634973</t>
        </is>
      </c>
      <c r="AW579" t="inlineStr">
        <is>
          <t>991004192779702656</t>
        </is>
      </c>
      <c r="AX579" t="inlineStr">
        <is>
          <t>991004192779702656</t>
        </is>
      </c>
      <c r="AY579" t="inlineStr">
        <is>
          <t>2272009590002656</t>
        </is>
      </c>
      <c r="AZ579" t="inlineStr">
        <is>
          <t>BOOK</t>
        </is>
      </c>
      <c r="BC579" t="inlineStr">
        <is>
          <t>32285002981487</t>
        </is>
      </c>
      <c r="BD579" t="inlineStr">
        <is>
          <t>893500250</t>
        </is>
      </c>
    </row>
    <row r="580">
      <c r="A580" t="inlineStr">
        <is>
          <t>No</t>
        </is>
      </c>
      <c r="B580" t="inlineStr">
        <is>
          <t>QL605 .Y68 1981</t>
        </is>
      </c>
      <c r="C580" t="inlineStr">
        <is>
          <t>0                      QL 0605000Y  68          1981</t>
        </is>
      </c>
      <c r="D580" t="inlineStr">
        <is>
          <t>The life of vertebrates / J. Z. Young</t>
        </is>
      </c>
      <c r="F580" t="inlineStr">
        <is>
          <t>No</t>
        </is>
      </c>
      <c r="G580" t="inlineStr">
        <is>
          <t>1</t>
        </is>
      </c>
      <c r="H580" t="inlineStr">
        <is>
          <t>No</t>
        </is>
      </c>
      <c r="I580" t="inlineStr">
        <is>
          <t>No</t>
        </is>
      </c>
      <c r="J580" t="inlineStr">
        <is>
          <t>0</t>
        </is>
      </c>
      <c r="K580" t="inlineStr">
        <is>
          <t>Young, J. Z. (John Zachary), 1907-1997.</t>
        </is>
      </c>
      <c r="L580" t="inlineStr">
        <is>
          <t>Oxford : Clarendon Press, c1981.</t>
        </is>
      </c>
      <c r="M580" t="inlineStr">
        <is>
          <t>1981</t>
        </is>
      </c>
      <c r="N580" t="inlineStr">
        <is>
          <t>3d ed.</t>
        </is>
      </c>
      <c r="O580" t="inlineStr">
        <is>
          <t>eng</t>
        </is>
      </c>
      <c r="P580" t="inlineStr">
        <is>
          <t>enk</t>
        </is>
      </c>
      <c r="R580" t="inlineStr">
        <is>
          <t xml:space="preserve">QL </t>
        </is>
      </c>
      <c r="S580" t="n">
        <v>12</v>
      </c>
      <c r="T580" t="n">
        <v>12</v>
      </c>
      <c r="U580" t="inlineStr">
        <is>
          <t>2000-02-24</t>
        </is>
      </c>
      <c r="V580" t="inlineStr">
        <is>
          <t>2000-02-24</t>
        </is>
      </c>
      <c r="W580" t="inlineStr">
        <is>
          <t>1993-01-21</t>
        </is>
      </c>
      <c r="X580" t="inlineStr">
        <is>
          <t>1993-01-21</t>
        </is>
      </c>
      <c r="Y580" t="n">
        <v>690</v>
      </c>
      <c r="Z580" t="n">
        <v>464</v>
      </c>
      <c r="AA580" t="n">
        <v>1332</v>
      </c>
      <c r="AB580" t="n">
        <v>3</v>
      </c>
      <c r="AC580" t="n">
        <v>12</v>
      </c>
      <c r="AD580" t="n">
        <v>21</v>
      </c>
      <c r="AE580" t="n">
        <v>46</v>
      </c>
      <c r="AF580" t="n">
        <v>7</v>
      </c>
      <c r="AG580" t="n">
        <v>16</v>
      </c>
      <c r="AH580" t="n">
        <v>2</v>
      </c>
      <c r="AI580" t="n">
        <v>7</v>
      </c>
      <c r="AJ580" t="n">
        <v>14</v>
      </c>
      <c r="AK580" t="n">
        <v>22</v>
      </c>
      <c r="AL580" t="n">
        <v>2</v>
      </c>
      <c r="AM580" t="n">
        <v>11</v>
      </c>
      <c r="AN580" t="n">
        <v>0</v>
      </c>
      <c r="AO580" t="n">
        <v>0</v>
      </c>
      <c r="AP580" t="inlineStr">
        <is>
          <t>No</t>
        </is>
      </c>
      <c r="AQ580" t="inlineStr">
        <is>
          <t>Yes</t>
        </is>
      </c>
      <c r="AR580">
        <f>HYPERLINK("http://catalog.hathitrust.org/Record/000188036","HathiTrust Record")</f>
        <v/>
      </c>
      <c r="AS580">
        <f>HYPERLINK("https://creighton-primo.hosted.exlibrisgroup.com/primo-explore/search?tab=default_tab&amp;search_scope=EVERYTHING&amp;vid=01CRU&amp;lang=en_US&amp;offset=0&amp;query=any,contains,991005174909702656","Catalog Record")</f>
        <v/>
      </c>
      <c r="AT580">
        <f>HYPERLINK("http://www.worldcat.org/oclc/7905274","WorldCat Record")</f>
        <v/>
      </c>
      <c r="AU580" t="inlineStr">
        <is>
          <t>119476018:eng</t>
        </is>
      </c>
      <c r="AV580" t="inlineStr">
        <is>
          <t>7905274</t>
        </is>
      </c>
      <c r="AW580" t="inlineStr">
        <is>
          <t>991005174909702656</t>
        </is>
      </c>
      <c r="AX580" t="inlineStr">
        <is>
          <t>991005174909702656</t>
        </is>
      </c>
      <c r="AY580" t="inlineStr">
        <is>
          <t>2266540510002656</t>
        </is>
      </c>
      <c r="AZ580" t="inlineStr">
        <is>
          <t>BOOK</t>
        </is>
      </c>
      <c r="BC580" t="inlineStr">
        <is>
          <t>32285001476745</t>
        </is>
      </c>
      <c r="BD580" t="inlineStr">
        <is>
          <t>893701137</t>
        </is>
      </c>
    </row>
    <row r="581">
      <c r="A581" t="inlineStr">
        <is>
          <t>No</t>
        </is>
      </c>
      <c r="B581" t="inlineStr">
        <is>
          <t>QL605.4 .M34 1999</t>
        </is>
      </c>
      <c r="C581" t="inlineStr">
        <is>
          <t>0                      QL 0605400M  34          1999</t>
        </is>
      </c>
      <c r="D581" t="inlineStr">
        <is>
          <t>A Macmillan illustrated encyclopedia. Animals / edited by Philip Whitfield.</t>
        </is>
      </c>
      <c r="E581" t="inlineStr">
        <is>
          <t>V.1</t>
        </is>
      </c>
      <c r="F581" t="inlineStr">
        <is>
          <t>Yes</t>
        </is>
      </c>
      <c r="G581" t="inlineStr">
        <is>
          <t>1</t>
        </is>
      </c>
      <c r="H581" t="inlineStr">
        <is>
          <t>No</t>
        </is>
      </c>
      <c r="I581" t="inlineStr">
        <is>
          <t>No</t>
        </is>
      </c>
      <c r="J581" t="inlineStr">
        <is>
          <t>0</t>
        </is>
      </c>
      <c r="L581" t="inlineStr">
        <is>
          <t>New York : Macmillan Library Reference, c1999.</t>
        </is>
      </c>
      <c r="M581" t="inlineStr">
        <is>
          <t>1999</t>
        </is>
      </c>
      <c r="O581" t="inlineStr">
        <is>
          <t>eng</t>
        </is>
      </c>
      <c r="P581" t="inlineStr">
        <is>
          <t>nyu</t>
        </is>
      </c>
      <c r="R581" t="inlineStr">
        <is>
          <t xml:space="preserve">QL </t>
        </is>
      </c>
      <c r="S581" t="n">
        <v>9</v>
      </c>
      <c r="T581" t="n">
        <v>26</v>
      </c>
      <c r="U581" t="inlineStr">
        <is>
          <t>2001-05-11</t>
        </is>
      </c>
      <c r="V581" t="inlineStr">
        <is>
          <t>2001-05-11</t>
        </is>
      </c>
      <c r="W581" t="inlineStr">
        <is>
          <t>2001-05-09</t>
        </is>
      </c>
      <c r="X581" t="inlineStr">
        <is>
          <t>2001-05-09</t>
        </is>
      </c>
      <c r="Y581" t="n">
        <v>489</v>
      </c>
      <c r="Z581" t="n">
        <v>469</v>
      </c>
      <c r="AA581" t="n">
        <v>474</v>
      </c>
      <c r="AB581" t="n">
        <v>6</v>
      </c>
      <c r="AC581" t="n">
        <v>6</v>
      </c>
      <c r="AD581" t="n">
        <v>4</v>
      </c>
      <c r="AE581" t="n">
        <v>4</v>
      </c>
      <c r="AF581" t="n">
        <v>3</v>
      </c>
      <c r="AG581" t="n">
        <v>3</v>
      </c>
      <c r="AH581" t="n">
        <v>1</v>
      </c>
      <c r="AI581" t="n">
        <v>1</v>
      </c>
      <c r="AJ581" t="n">
        <v>0</v>
      </c>
      <c r="AK581" t="n">
        <v>0</v>
      </c>
      <c r="AL581" t="n">
        <v>1</v>
      </c>
      <c r="AM581" t="n">
        <v>1</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HYPERLINK("https://creighton-primo.hosted.exlibrisgroup.com/primo-explore/search?tab=default_tab&amp;search_scope=EVERYTHING&amp;vid=01CRU&amp;lang=en_US&amp;offset=0&amp;query=any,contains,991003504889702656","Catalog Record")</f>
        <v/>
      </c>
      <c r="AT581">
        <f>HYPERLINK("http://www.worldcat.org/oclc/42072117","WorldCat Record")</f>
        <v/>
      </c>
      <c r="AU581" t="inlineStr">
        <is>
          <t>56454782:eng</t>
        </is>
      </c>
      <c r="AV581" t="inlineStr">
        <is>
          <t>42072117</t>
        </is>
      </c>
      <c r="AW581" t="inlineStr">
        <is>
          <t>991003504889702656</t>
        </is>
      </c>
      <c r="AX581" t="inlineStr">
        <is>
          <t>991003504889702656</t>
        </is>
      </c>
      <c r="AY581" t="inlineStr">
        <is>
          <t>2264980840002656</t>
        </is>
      </c>
      <c r="AZ581" t="inlineStr">
        <is>
          <t>BOOK</t>
        </is>
      </c>
      <c r="BB581" t="inlineStr">
        <is>
          <t>9780028654171</t>
        </is>
      </c>
      <c r="BC581" t="inlineStr">
        <is>
          <t>32285004316526</t>
        </is>
      </c>
      <c r="BD581" t="inlineStr">
        <is>
          <t>893805840</t>
        </is>
      </c>
    </row>
    <row r="582">
      <c r="A582" t="inlineStr">
        <is>
          <t>No</t>
        </is>
      </c>
      <c r="B582" t="inlineStr">
        <is>
          <t>QL605.4 .M34 1999</t>
        </is>
      </c>
      <c r="C582" t="inlineStr">
        <is>
          <t>0                      QL 0605400M  34          1999</t>
        </is>
      </c>
      <c r="D582" t="inlineStr">
        <is>
          <t>A Macmillan illustrated encyclopedia. Animals / edited by Philip Whitfield.</t>
        </is>
      </c>
      <c r="E582" t="inlineStr">
        <is>
          <t>V.3</t>
        </is>
      </c>
      <c r="F582" t="inlineStr">
        <is>
          <t>Yes</t>
        </is>
      </c>
      <c r="G582" t="inlineStr">
        <is>
          <t>1</t>
        </is>
      </c>
      <c r="H582" t="inlineStr">
        <is>
          <t>No</t>
        </is>
      </c>
      <c r="I582" t="inlineStr">
        <is>
          <t>No</t>
        </is>
      </c>
      <c r="J582" t="inlineStr">
        <is>
          <t>0</t>
        </is>
      </c>
      <c r="L582" t="inlineStr">
        <is>
          <t>New York : Macmillan Library Reference, c1999.</t>
        </is>
      </c>
      <c r="M582" t="inlineStr">
        <is>
          <t>1999</t>
        </is>
      </c>
      <c r="O582" t="inlineStr">
        <is>
          <t>eng</t>
        </is>
      </c>
      <c r="P582" t="inlineStr">
        <is>
          <t>nyu</t>
        </is>
      </c>
      <c r="R582" t="inlineStr">
        <is>
          <t xml:space="preserve">QL </t>
        </is>
      </c>
      <c r="S582" t="n">
        <v>13</v>
      </c>
      <c r="T582" t="n">
        <v>26</v>
      </c>
      <c r="U582" t="inlineStr">
        <is>
          <t>2001-05-11</t>
        </is>
      </c>
      <c r="V582" t="inlineStr">
        <is>
          <t>2001-05-11</t>
        </is>
      </c>
      <c r="W582" t="inlineStr">
        <is>
          <t>2001-05-09</t>
        </is>
      </c>
      <c r="X582" t="inlineStr">
        <is>
          <t>2001-05-09</t>
        </is>
      </c>
      <c r="Y582" t="n">
        <v>489</v>
      </c>
      <c r="Z582" t="n">
        <v>469</v>
      </c>
      <c r="AA582" t="n">
        <v>474</v>
      </c>
      <c r="AB582" t="n">
        <v>6</v>
      </c>
      <c r="AC582" t="n">
        <v>6</v>
      </c>
      <c r="AD582" t="n">
        <v>4</v>
      </c>
      <c r="AE582" t="n">
        <v>4</v>
      </c>
      <c r="AF582" t="n">
        <v>3</v>
      </c>
      <c r="AG582" t="n">
        <v>3</v>
      </c>
      <c r="AH582" t="n">
        <v>1</v>
      </c>
      <c r="AI582" t="n">
        <v>1</v>
      </c>
      <c r="AJ582" t="n">
        <v>0</v>
      </c>
      <c r="AK582" t="n">
        <v>0</v>
      </c>
      <c r="AL582" t="n">
        <v>1</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HYPERLINK("https://creighton-primo.hosted.exlibrisgroup.com/primo-explore/search?tab=default_tab&amp;search_scope=EVERYTHING&amp;vid=01CRU&amp;lang=en_US&amp;offset=0&amp;query=any,contains,991003504889702656","Catalog Record")</f>
        <v/>
      </c>
      <c r="AT582">
        <f>HYPERLINK("http://www.worldcat.org/oclc/42072117","WorldCat Record")</f>
        <v/>
      </c>
      <c r="AU582" t="inlineStr">
        <is>
          <t>56454782:eng</t>
        </is>
      </c>
      <c r="AV582" t="inlineStr">
        <is>
          <t>42072117</t>
        </is>
      </c>
      <c r="AW582" t="inlineStr">
        <is>
          <t>991003504889702656</t>
        </is>
      </c>
      <c r="AX582" t="inlineStr">
        <is>
          <t>991003504889702656</t>
        </is>
      </c>
      <c r="AY582" t="inlineStr">
        <is>
          <t>2264980840002656</t>
        </is>
      </c>
      <c r="AZ582" t="inlineStr">
        <is>
          <t>BOOK</t>
        </is>
      </c>
      <c r="BB582" t="inlineStr">
        <is>
          <t>9780028654171</t>
        </is>
      </c>
      <c r="BC582" t="inlineStr">
        <is>
          <t>32285004316542</t>
        </is>
      </c>
      <c r="BD582" t="inlineStr">
        <is>
          <t>893810013</t>
        </is>
      </c>
    </row>
    <row r="583">
      <c r="A583" t="inlineStr">
        <is>
          <t>No</t>
        </is>
      </c>
      <c r="B583" t="inlineStr">
        <is>
          <t>QL605.4 .M34 1999</t>
        </is>
      </c>
      <c r="C583" t="inlineStr">
        <is>
          <t>0                      QL 0605400M  34          1999</t>
        </is>
      </c>
      <c r="D583" t="inlineStr">
        <is>
          <t>A Macmillan illustrated encyclopedia. Animals / edited by Philip Whitfield.</t>
        </is>
      </c>
      <c r="E583" t="inlineStr">
        <is>
          <t>V.2</t>
        </is>
      </c>
      <c r="F583" t="inlineStr">
        <is>
          <t>Yes</t>
        </is>
      </c>
      <c r="G583" t="inlineStr">
        <is>
          <t>1</t>
        </is>
      </c>
      <c r="H583" t="inlineStr">
        <is>
          <t>No</t>
        </is>
      </c>
      <c r="I583" t="inlineStr">
        <is>
          <t>No</t>
        </is>
      </c>
      <c r="J583" t="inlineStr">
        <is>
          <t>0</t>
        </is>
      </c>
      <c r="L583" t="inlineStr">
        <is>
          <t>New York : Macmillan Library Reference, c1999.</t>
        </is>
      </c>
      <c r="M583" t="inlineStr">
        <is>
          <t>1999</t>
        </is>
      </c>
      <c r="O583" t="inlineStr">
        <is>
          <t>eng</t>
        </is>
      </c>
      <c r="P583" t="inlineStr">
        <is>
          <t>nyu</t>
        </is>
      </c>
      <c r="R583" t="inlineStr">
        <is>
          <t xml:space="preserve">QL </t>
        </is>
      </c>
      <c r="S583" t="n">
        <v>4</v>
      </c>
      <c r="T583" t="n">
        <v>26</v>
      </c>
      <c r="U583" t="inlineStr">
        <is>
          <t>2001-05-11</t>
        </is>
      </c>
      <c r="V583" t="inlineStr">
        <is>
          <t>2001-05-11</t>
        </is>
      </c>
      <c r="W583" t="inlineStr">
        <is>
          <t>2001-05-09</t>
        </is>
      </c>
      <c r="X583" t="inlineStr">
        <is>
          <t>2001-05-09</t>
        </is>
      </c>
      <c r="Y583" t="n">
        <v>489</v>
      </c>
      <c r="Z583" t="n">
        <v>469</v>
      </c>
      <c r="AA583" t="n">
        <v>474</v>
      </c>
      <c r="AB583" t="n">
        <v>6</v>
      </c>
      <c r="AC583" t="n">
        <v>6</v>
      </c>
      <c r="AD583" t="n">
        <v>4</v>
      </c>
      <c r="AE583" t="n">
        <v>4</v>
      </c>
      <c r="AF583" t="n">
        <v>3</v>
      </c>
      <c r="AG583" t="n">
        <v>3</v>
      </c>
      <c r="AH583" t="n">
        <v>1</v>
      </c>
      <c r="AI583" t="n">
        <v>1</v>
      </c>
      <c r="AJ583" t="n">
        <v>0</v>
      </c>
      <c r="AK583" t="n">
        <v>0</v>
      </c>
      <c r="AL583" t="n">
        <v>1</v>
      </c>
      <c r="AM583" t="n">
        <v>1</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HYPERLINK("https://creighton-primo.hosted.exlibrisgroup.com/primo-explore/search?tab=default_tab&amp;search_scope=EVERYTHING&amp;vid=01CRU&amp;lang=en_US&amp;offset=0&amp;query=any,contains,991003504889702656","Catalog Record")</f>
        <v/>
      </c>
      <c r="AT583">
        <f>HYPERLINK("http://www.worldcat.org/oclc/42072117","WorldCat Record")</f>
        <v/>
      </c>
      <c r="AU583" t="inlineStr">
        <is>
          <t>56454782:eng</t>
        </is>
      </c>
      <c r="AV583" t="inlineStr">
        <is>
          <t>42072117</t>
        </is>
      </c>
      <c r="AW583" t="inlineStr">
        <is>
          <t>991003504889702656</t>
        </is>
      </c>
      <c r="AX583" t="inlineStr">
        <is>
          <t>991003504889702656</t>
        </is>
      </c>
      <c r="AY583" t="inlineStr">
        <is>
          <t>2264980840002656</t>
        </is>
      </c>
      <c r="AZ583" t="inlineStr">
        <is>
          <t>BOOK</t>
        </is>
      </c>
      <c r="BB583" t="inlineStr">
        <is>
          <t>9780028654171</t>
        </is>
      </c>
      <c r="BC583" t="inlineStr">
        <is>
          <t>32285004316534</t>
        </is>
      </c>
      <c r="BD583" t="inlineStr">
        <is>
          <t>893805841</t>
        </is>
      </c>
    </row>
    <row r="584">
      <c r="A584" t="inlineStr">
        <is>
          <t>No</t>
        </is>
      </c>
      <c r="B584" t="inlineStr">
        <is>
          <t>QL606.52.G74 E36 1997</t>
        </is>
      </c>
      <c r="C584" t="inlineStr">
        <is>
          <t>0                      QL 0606520G  74                 E  36          1997</t>
        </is>
      </c>
      <c r="D584" t="inlineStr">
        <is>
          <t>Ecology and conservation of Great Plains vertebrates / Fritz L. Knopf, Fred B. Samson, editors.</t>
        </is>
      </c>
      <c r="F584" t="inlineStr">
        <is>
          <t>No</t>
        </is>
      </c>
      <c r="G584" t="inlineStr">
        <is>
          <t>1</t>
        </is>
      </c>
      <c r="H584" t="inlineStr">
        <is>
          <t>No</t>
        </is>
      </c>
      <c r="I584" t="inlineStr">
        <is>
          <t>No</t>
        </is>
      </c>
      <c r="J584" t="inlineStr">
        <is>
          <t>0</t>
        </is>
      </c>
      <c r="L584" t="inlineStr">
        <is>
          <t>New York : Springer, c1997.</t>
        </is>
      </c>
      <c r="M584" t="inlineStr">
        <is>
          <t>1997</t>
        </is>
      </c>
      <c r="O584" t="inlineStr">
        <is>
          <t>eng</t>
        </is>
      </c>
      <c r="P584" t="inlineStr">
        <is>
          <t>nyu</t>
        </is>
      </c>
      <c r="Q584" t="inlineStr">
        <is>
          <t>Ecological studies ; vol. 125</t>
        </is>
      </c>
      <c r="R584" t="inlineStr">
        <is>
          <t xml:space="preserve">QL </t>
        </is>
      </c>
      <c r="S584" t="n">
        <v>3</v>
      </c>
      <c r="T584" t="n">
        <v>3</v>
      </c>
      <c r="U584" t="inlineStr">
        <is>
          <t>2006-05-04</t>
        </is>
      </c>
      <c r="V584" t="inlineStr">
        <is>
          <t>2006-05-04</t>
        </is>
      </c>
      <c r="W584" t="inlineStr">
        <is>
          <t>1998-09-15</t>
        </is>
      </c>
      <c r="X584" t="inlineStr">
        <is>
          <t>1998-09-15</t>
        </is>
      </c>
      <c r="Y584" t="n">
        <v>263</v>
      </c>
      <c r="Z584" t="n">
        <v>192</v>
      </c>
      <c r="AA584" t="n">
        <v>194</v>
      </c>
      <c r="AB584" t="n">
        <v>5</v>
      </c>
      <c r="AC584" t="n">
        <v>6</v>
      </c>
      <c r="AD584" t="n">
        <v>9</v>
      </c>
      <c r="AE584" t="n">
        <v>10</v>
      </c>
      <c r="AF584" t="n">
        <v>3</v>
      </c>
      <c r="AG584" t="n">
        <v>3</v>
      </c>
      <c r="AH584" t="n">
        <v>1</v>
      </c>
      <c r="AI584" t="n">
        <v>1</v>
      </c>
      <c r="AJ584" t="n">
        <v>2</v>
      </c>
      <c r="AK584" t="n">
        <v>2</v>
      </c>
      <c r="AL584" t="n">
        <v>4</v>
      </c>
      <c r="AM584" t="n">
        <v>5</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HYPERLINK("https://creighton-primo.hosted.exlibrisgroup.com/primo-explore/search?tab=default_tab&amp;search_scope=EVERYTHING&amp;vid=01CRU&amp;lang=en_US&amp;offset=0&amp;query=any,contains,991002645019702656","Catalog Record")</f>
        <v/>
      </c>
      <c r="AT584">
        <f>HYPERLINK("http://www.worldcat.org/oclc/34617754","WorldCat Record")</f>
        <v/>
      </c>
      <c r="AU584" t="inlineStr">
        <is>
          <t>350564443:eng</t>
        </is>
      </c>
      <c r="AV584" t="inlineStr">
        <is>
          <t>34617754</t>
        </is>
      </c>
      <c r="AW584" t="inlineStr">
        <is>
          <t>991002645019702656</t>
        </is>
      </c>
      <c r="AX584" t="inlineStr">
        <is>
          <t>991002645019702656</t>
        </is>
      </c>
      <c r="AY584" t="inlineStr">
        <is>
          <t>2269774240002656</t>
        </is>
      </c>
      <c r="AZ584" t="inlineStr">
        <is>
          <t>BOOK</t>
        </is>
      </c>
      <c r="BB584" t="inlineStr">
        <is>
          <t>9780387948027</t>
        </is>
      </c>
      <c r="BC584" t="inlineStr">
        <is>
          <t>32285003468187</t>
        </is>
      </c>
      <c r="BD584" t="inlineStr">
        <is>
          <t>893445282</t>
        </is>
      </c>
    </row>
    <row r="585">
      <c r="A585" t="inlineStr">
        <is>
          <t>No</t>
        </is>
      </c>
      <c r="B585" t="inlineStr">
        <is>
          <t>QL607 .B4</t>
        </is>
      </c>
      <c r="C585" t="inlineStr">
        <is>
          <t>0                      QL 0607000B  4</t>
        </is>
      </c>
      <c r="D585" t="inlineStr">
        <is>
          <t>Keys to the vertebrates of the Northeastern States : (excluding birds) / by Allen H. Benton and Margaret M. Stewart.</t>
        </is>
      </c>
      <c r="F585" t="inlineStr">
        <is>
          <t>No</t>
        </is>
      </c>
      <c r="G585" t="inlineStr">
        <is>
          <t>1</t>
        </is>
      </c>
      <c r="H585" t="inlineStr">
        <is>
          <t>No</t>
        </is>
      </c>
      <c r="I585" t="inlineStr">
        <is>
          <t>No</t>
        </is>
      </c>
      <c r="J585" t="inlineStr">
        <is>
          <t>0</t>
        </is>
      </c>
      <c r="K585" t="inlineStr">
        <is>
          <t>Benton, Allen H.</t>
        </is>
      </c>
      <c r="L585" t="inlineStr">
        <is>
          <t>Minneapolis : Burgess Pub. Co., [1964]</t>
        </is>
      </c>
      <c r="M585" t="inlineStr">
        <is>
          <t>1964</t>
        </is>
      </c>
      <c r="O585" t="inlineStr">
        <is>
          <t>eng</t>
        </is>
      </c>
      <c r="P585" t="inlineStr">
        <is>
          <t>mnu</t>
        </is>
      </c>
      <c r="R585" t="inlineStr">
        <is>
          <t xml:space="preserve">QL </t>
        </is>
      </c>
      <c r="S585" t="n">
        <v>4</v>
      </c>
      <c r="T585" t="n">
        <v>4</v>
      </c>
      <c r="U585" t="inlineStr">
        <is>
          <t>1994-02-09</t>
        </is>
      </c>
      <c r="V585" t="inlineStr">
        <is>
          <t>1994-02-09</t>
        </is>
      </c>
      <c r="W585" t="inlineStr">
        <is>
          <t>1994-01-14</t>
        </is>
      </c>
      <c r="X585" t="inlineStr">
        <is>
          <t>1994-01-14</t>
        </is>
      </c>
      <c r="Y585" t="n">
        <v>129</v>
      </c>
      <c r="Z585" t="n">
        <v>120</v>
      </c>
      <c r="AA585" t="n">
        <v>138</v>
      </c>
      <c r="AB585" t="n">
        <v>2</v>
      </c>
      <c r="AC585" t="n">
        <v>2</v>
      </c>
      <c r="AD585" t="n">
        <v>1</v>
      </c>
      <c r="AE585" t="n">
        <v>1</v>
      </c>
      <c r="AF585" t="n">
        <v>0</v>
      </c>
      <c r="AG585" t="n">
        <v>0</v>
      </c>
      <c r="AH585" t="n">
        <v>0</v>
      </c>
      <c r="AI585" t="n">
        <v>0</v>
      </c>
      <c r="AJ585" t="n">
        <v>0</v>
      </c>
      <c r="AK585" t="n">
        <v>0</v>
      </c>
      <c r="AL585" t="n">
        <v>1</v>
      </c>
      <c r="AM585" t="n">
        <v>1</v>
      </c>
      <c r="AN585" t="n">
        <v>0</v>
      </c>
      <c r="AO585" t="n">
        <v>0</v>
      </c>
      <c r="AP585" t="inlineStr">
        <is>
          <t>No</t>
        </is>
      </c>
      <c r="AQ585" t="inlineStr">
        <is>
          <t>Yes</t>
        </is>
      </c>
      <c r="AR585">
        <f>HYPERLINK("http://catalog.hathitrust.org/Record/001507982","HathiTrust Record")</f>
        <v/>
      </c>
      <c r="AS585">
        <f>HYPERLINK("https://creighton-primo.hosted.exlibrisgroup.com/primo-explore/search?tab=default_tab&amp;search_scope=EVERYTHING&amp;vid=01CRU&amp;lang=en_US&amp;offset=0&amp;query=any,contains,991003517939702656","Catalog Record")</f>
        <v/>
      </c>
      <c r="AT585">
        <f>HYPERLINK("http://www.worldcat.org/oclc/1076306","WorldCat Record")</f>
        <v/>
      </c>
      <c r="AU585" t="inlineStr">
        <is>
          <t>8060370:eng</t>
        </is>
      </c>
      <c r="AV585" t="inlineStr">
        <is>
          <t>1076306</t>
        </is>
      </c>
      <c r="AW585" t="inlineStr">
        <is>
          <t>991003517939702656</t>
        </is>
      </c>
      <c r="AX585" t="inlineStr">
        <is>
          <t>991003517939702656</t>
        </is>
      </c>
      <c r="AY585" t="inlineStr">
        <is>
          <t>2257473970002656</t>
        </is>
      </c>
      <c r="AZ585" t="inlineStr">
        <is>
          <t>BOOK</t>
        </is>
      </c>
      <c r="BC585" t="inlineStr">
        <is>
          <t>32285001829851</t>
        </is>
      </c>
      <c r="BD585" t="inlineStr">
        <is>
          <t>893422654</t>
        </is>
      </c>
    </row>
    <row r="586">
      <c r="A586" t="inlineStr">
        <is>
          <t>No</t>
        </is>
      </c>
      <c r="B586" t="inlineStr">
        <is>
          <t>QL607.5 .G44 1996</t>
        </is>
      </c>
      <c r="C586" t="inlineStr">
        <is>
          <t>0                      QL 0607500G  44          1996</t>
        </is>
      </c>
      <c r="D586" t="inlineStr">
        <is>
          <t>Before the backbone : views on the origin of the vertebrates / Henry Gee.</t>
        </is>
      </c>
      <c r="F586" t="inlineStr">
        <is>
          <t>No</t>
        </is>
      </c>
      <c r="G586" t="inlineStr">
        <is>
          <t>1</t>
        </is>
      </c>
      <c r="H586" t="inlineStr">
        <is>
          <t>No</t>
        </is>
      </c>
      <c r="I586" t="inlineStr">
        <is>
          <t>No</t>
        </is>
      </c>
      <c r="J586" t="inlineStr">
        <is>
          <t>0</t>
        </is>
      </c>
      <c r="K586" t="inlineStr">
        <is>
          <t>Gee, Henry.</t>
        </is>
      </c>
      <c r="L586" t="inlineStr">
        <is>
          <t>London ; New York : Chapman &amp; Hall, 1996.</t>
        </is>
      </c>
      <c r="M586" t="inlineStr">
        <is>
          <t>1996</t>
        </is>
      </c>
      <c r="N586" t="inlineStr">
        <is>
          <t>1st ed.</t>
        </is>
      </c>
      <c r="O586" t="inlineStr">
        <is>
          <t>eng</t>
        </is>
      </c>
      <c r="P586" t="inlineStr">
        <is>
          <t>enk</t>
        </is>
      </c>
      <c r="R586" t="inlineStr">
        <is>
          <t xml:space="preserve">QL </t>
        </is>
      </c>
      <c r="S586" t="n">
        <v>4</v>
      </c>
      <c r="T586" t="n">
        <v>4</v>
      </c>
      <c r="U586" t="inlineStr">
        <is>
          <t>2006-08-22</t>
        </is>
      </c>
      <c r="V586" t="inlineStr">
        <is>
          <t>2006-08-22</t>
        </is>
      </c>
      <c r="W586" t="inlineStr">
        <is>
          <t>1997-03-31</t>
        </is>
      </c>
      <c r="X586" t="inlineStr">
        <is>
          <t>1997-03-31</t>
        </is>
      </c>
      <c r="Y586" t="n">
        <v>531</v>
      </c>
      <c r="Z586" t="n">
        <v>432</v>
      </c>
      <c r="AA586" t="n">
        <v>931</v>
      </c>
      <c r="AB586" t="n">
        <v>3</v>
      </c>
      <c r="AC586" t="n">
        <v>5</v>
      </c>
      <c r="AD586" t="n">
        <v>19</v>
      </c>
      <c r="AE586" t="n">
        <v>29</v>
      </c>
      <c r="AF586" t="n">
        <v>6</v>
      </c>
      <c r="AG586" t="n">
        <v>14</v>
      </c>
      <c r="AH586" t="n">
        <v>4</v>
      </c>
      <c r="AI586" t="n">
        <v>5</v>
      </c>
      <c r="AJ586" t="n">
        <v>12</v>
      </c>
      <c r="AK586" t="n">
        <v>16</v>
      </c>
      <c r="AL586" t="n">
        <v>2</v>
      </c>
      <c r="AM586" t="n">
        <v>3</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HYPERLINK("https://creighton-primo.hosted.exlibrisgroup.com/primo-explore/search?tab=default_tab&amp;search_scope=EVERYTHING&amp;vid=01CRU&amp;lang=en_US&amp;offset=0&amp;query=any,contains,991002720559702656","Catalog Record")</f>
        <v/>
      </c>
      <c r="AT586">
        <f>HYPERLINK("http://www.worldcat.org/oclc/35669474","WorldCat Record")</f>
        <v/>
      </c>
      <c r="AU586" t="inlineStr">
        <is>
          <t>799758865:eng</t>
        </is>
      </c>
      <c r="AV586" t="inlineStr">
        <is>
          <t>35669474</t>
        </is>
      </c>
      <c r="AW586" t="inlineStr">
        <is>
          <t>991002720559702656</t>
        </is>
      </c>
      <c r="AX586" t="inlineStr">
        <is>
          <t>991002720559702656</t>
        </is>
      </c>
      <c r="AY586" t="inlineStr">
        <is>
          <t>2260168470002656</t>
        </is>
      </c>
      <c r="AZ586" t="inlineStr">
        <is>
          <t>BOOK</t>
        </is>
      </c>
      <c r="BB586" t="inlineStr">
        <is>
          <t>9780412483004</t>
        </is>
      </c>
      <c r="BC586" t="inlineStr">
        <is>
          <t>32285002477122</t>
        </is>
      </c>
      <c r="BD586" t="inlineStr">
        <is>
          <t>893323287</t>
        </is>
      </c>
    </row>
    <row r="587">
      <c r="A587" t="inlineStr">
        <is>
          <t>No</t>
        </is>
      </c>
      <c r="B587" t="inlineStr">
        <is>
          <t>QL607.5 .J44 1986</t>
        </is>
      </c>
      <c r="C587" t="inlineStr">
        <is>
          <t>0                      QL 0607500J  44          1986</t>
        </is>
      </c>
      <c r="D587" t="inlineStr">
        <is>
          <t>The ancestry of the vertebrates / R.P.S. Jefferies.</t>
        </is>
      </c>
      <c r="F587" t="inlineStr">
        <is>
          <t>No</t>
        </is>
      </c>
      <c r="G587" t="inlineStr">
        <is>
          <t>1</t>
        </is>
      </c>
      <c r="H587" t="inlineStr">
        <is>
          <t>No</t>
        </is>
      </c>
      <c r="I587" t="inlineStr">
        <is>
          <t>No</t>
        </is>
      </c>
      <c r="J587" t="inlineStr">
        <is>
          <t>0</t>
        </is>
      </c>
      <c r="K587" t="inlineStr">
        <is>
          <t>Jefferies, R. P. S. (Richard Peter Spencer), 1932-</t>
        </is>
      </c>
      <c r="L587" t="inlineStr">
        <is>
          <t>Cambridge ; New York : Cambridge University Press, 1986.</t>
        </is>
      </c>
      <c r="M587" t="inlineStr">
        <is>
          <t>1986</t>
        </is>
      </c>
      <c r="O587" t="inlineStr">
        <is>
          <t>eng</t>
        </is>
      </c>
      <c r="P587" t="inlineStr">
        <is>
          <t>enk</t>
        </is>
      </c>
      <c r="R587" t="inlineStr">
        <is>
          <t xml:space="preserve">QL </t>
        </is>
      </c>
      <c r="S587" t="n">
        <v>6</v>
      </c>
      <c r="T587" t="n">
        <v>6</v>
      </c>
      <c r="U587" t="inlineStr">
        <is>
          <t>1995-11-28</t>
        </is>
      </c>
      <c r="V587" t="inlineStr">
        <is>
          <t>1995-11-28</t>
        </is>
      </c>
      <c r="W587" t="inlineStr">
        <is>
          <t>1992-05-07</t>
        </is>
      </c>
      <c r="X587" t="inlineStr">
        <is>
          <t>1992-05-07</t>
        </is>
      </c>
      <c r="Y587" t="n">
        <v>221</v>
      </c>
      <c r="Z587" t="n">
        <v>186</v>
      </c>
      <c r="AA587" t="n">
        <v>265</v>
      </c>
      <c r="AB587" t="n">
        <v>2</v>
      </c>
      <c r="AC587" t="n">
        <v>3</v>
      </c>
      <c r="AD587" t="n">
        <v>7</v>
      </c>
      <c r="AE587" t="n">
        <v>8</v>
      </c>
      <c r="AF587" t="n">
        <v>2</v>
      </c>
      <c r="AG587" t="n">
        <v>2</v>
      </c>
      <c r="AH587" t="n">
        <v>2</v>
      </c>
      <c r="AI587" t="n">
        <v>2</v>
      </c>
      <c r="AJ587" t="n">
        <v>4</v>
      </c>
      <c r="AK587" t="n">
        <v>4</v>
      </c>
      <c r="AL587" t="n">
        <v>1</v>
      </c>
      <c r="AM587" t="n">
        <v>2</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HYPERLINK("https://creighton-primo.hosted.exlibrisgroup.com/primo-explore/search?tab=default_tab&amp;search_scope=EVERYTHING&amp;vid=01CRU&amp;lang=en_US&amp;offset=0&amp;query=any,contains,991001090819702656","Catalog Record")</f>
        <v/>
      </c>
      <c r="AT587">
        <f>HYPERLINK("http://www.worldcat.org/oclc/17550530","WorldCat Record")</f>
        <v/>
      </c>
      <c r="AU587" t="inlineStr">
        <is>
          <t>8381190:eng</t>
        </is>
      </c>
      <c r="AV587" t="inlineStr">
        <is>
          <t>17550530</t>
        </is>
      </c>
      <c r="AW587" t="inlineStr">
        <is>
          <t>991001090819702656</t>
        </is>
      </c>
      <c r="AX587" t="inlineStr">
        <is>
          <t>991001090819702656</t>
        </is>
      </c>
      <c r="AY587" t="inlineStr">
        <is>
          <t>2268031600002656</t>
        </is>
      </c>
      <c r="AZ587" t="inlineStr">
        <is>
          <t>BOOK</t>
        </is>
      </c>
      <c r="BB587" t="inlineStr">
        <is>
          <t>9780565008871</t>
        </is>
      </c>
      <c r="BC587" t="inlineStr">
        <is>
          <t>32285001105682</t>
        </is>
      </c>
      <c r="BD587" t="inlineStr">
        <is>
          <t>893702718</t>
        </is>
      </c>
    </row>
    <row r="588">
      <c r="A588" t="inlineStr">
        <is>
          <t>No</t>
        </is>
      </c>
      <c r="B588" t="inlineStr">
        <is>
          <t>QL607.5 .L63</t>
        </is>
      </c>
      <c r="C588" t="inlineStr">
        <is>
          <t>0                      QL 0607500L  63</t>
        </is>
      </c>
      <c r="D588" t="inlineStr">
        <is>
          <t>The phylogeny of vertebrata / Søren Løvtrup.</t>
        </is>
      </c>
      <c r="F588" t="inlineStr">
        <is>
          <t>No</t>
        </is>
      </c>
      <c r="G588" t="inlineStr">
        <is>
          <t>1</t>
        </is>
      </c>
      <c r="H588" t="inlineStr">
        <is>
          <t>No</t>
        </is>
      </c>
      <c r="I588" t="inlineStr">
        <is>
          <t>No</t>
        </is>
      </c>
      <c r="J588" t="inlineStr">
        <is>
          <t>0</t>
        </is>
      </c>
      <c r="K588" t="inlineStr">
        <is>
          <t>Løvtrup, Søren.</t>
        </is>
      </c>
      <c r="L588" t="inlineStr">
        <is>
          <t>London ; New York : Wiley, c1977.</t>
        </is>
      </c>
      <c r="M588" t="inlineStr">
        <is>
          <t>1977</t>
        </is>
      </c>
      <c r="O588" t="inlineStr">
        <is>
          <t>eng</t>
        </is>
      </c>
      <c r="P588" t="inlineStr">
        <is>
          <t>enk</t>
        </is>
      </c>
      <c r="R588" t="inlineStr">
        <is>
          <t xml:space="preserve">QL </t>
        </is>
      </c>
      <c r="S588" t="n">
        <v>9</v>
      </c>
      <c r="T588" t="n">
        <v>9</v>
      </c>
      <c r="U588" t="inlineStr">
        <is>
          <t>1997-03-27</t>
        </is>
      </c>
      <c r="V588" t="inlineStr">
        <is>
          <t>1997-03-27</t>
        </is>
      </c>
      <c r="W588" t="inlineStr">
        <is>
          <t>1990-12-13</t>
        </is>
      </c>
      <c r="X588" t="inlineStr">
        <is>
          <t>1990-12-13</t>
        </is>
      </c>
      <c r="Y588" t="n">
        <v>361</v>
      </c>
      <c r="Z588" t="n">
        <v>231</v>
      </c>
      <c r="AA588" t="n">
        <v>232</v>
      </c>
      <c r="AB588" t="n">
        <v>1</v>
      </c>
      <c r="AC588" t="n">
        <v>1</v>
      </c>
      <c r="AD588" t="n">
        <v>7</v>
      </c>
      <c r="AE588" t="n">
        <v>7</v>
      </c>
      <c r="AF588" t="n">
        <v>2</v>
      </c>
      <c r="AG588" t="n">
        <v>2</v>
      </c>
      <c r="AH588" t="n">
        <v>3</v>
      </c>
      <c r="AI588" t="n">
        <v>3</v>
      </c>
      <c r="AJ588" t="n">
        <v>4</v>
      </c>
      <c r="AK588" t="n">
        <v>4</v>
      </c>
      <c r="AL588" t="n">
        <v>0</v>
      </c>
      <c r="AM588" t="n">
        <v>0</v>
      </c>
      <c r="AN588" t="n">
        <v>0</v>
      </c>
      <c r="AO588" t="n">
        <v>0</v>
      </c>
      <c r="AP588" t="inlineStr">
        <is>
          <t>No</t>
        </is>
      </c>
      <c r="AQ588" t="inlineStr">
        <is>
          <t>Yes</t>
        </is>
      </c>
      <c r="AR588">
        <f>HYPERLINK("http://catalog.hathitrust.org/Record/000729469","HathiTrust Record")</f>
        <v/>
      </c>
      <c r="AS588">
        <f>HYPERLINK("https://creighton-primo.hosted.exlibrisgroup.com/primo-explore/search?tab=default_tab&amp;search_scope=EVERYTHING&amp;vid=01CRU&amp;lang=en_US&amp;offset=0&amp;query=any,contains,991004075949702656","Catalog Record")</f>
        <v/>
      </c>
      <c r="AT588">
        <f>HYPERLINK("http://www.worldcat.org/oclc/2318084","WorldCat Record")</f>
        <v/>
      </c>
      <c r="AU588" t="inlineStr">
        <is>
          <t>4648621:eng</t>
        </is>
      </c>
      <c r="AV588" t="inlineStr">
        <is>
          <t>2318084</t>
        </is>
      </c>
      <c r="AW588" t="inlineStr">
        <is>
          <t>991004075949702656</t>
        </is>
      </c>
      <c r="AX588" t="inlineStr">
        <is>
          <t>991004075949702656</t>
        </is>
      </c>
      <c r="AY588" t="inlineStr">
        <is>
          <t>2263956420002656</t>
        </is>
      </c>
      <c r="AZ588" t="inlineStr">
        <is>
          <t>BOOK</t>
        </is>
      </c>
      <c r="BB588" t="inlineStr">
        <is>
          <t>9780471994121</t>
        </is>
      </c>
      <c r="BC588" t="inlineStr">
        <is>
          <t>32285000425123</t>
        </is>
      </c>
      <c r="BD588" t="inlineStr">
        <is>
          <t>893331181</t>
        </is>
      </c>
    </row>
    <row r="589">
      <c r="A589" t="inlineStr">
        <is>
          <t>No</t>
        </is>
      </c>
      <c r="B589" t="inlineStr">
        <is>
          <t>QL607.5 .M36 2004</t>
        </is>
      </c>
      <c r="C589" t="inlineStr">
        <is>
          <t>0                      QL 0607500M  36          2004</t>
        </is>
      </c>
      <c r="D589" t="inlineStr">
        <is>
          <t>Missing links : evolutionary concepts &amp; transitions through time / Robert A. Martin.</t>
        </is>
      </c>
      <c r="F589" t="inlineStr">
        <is>
          <t>No</t>
        </is>
      </c>
      <c r="G589" t="inlineStr">
        <is>
          <t>1</t>
        </is>
      </c>
      <c r="H589" t="inlineStr">
        <is>
          <t>No</t>
        </is>
      </c>
      <c r="I589" t="inlineStr">
        <is>
          <t>No</t>
        </is>
      </c>
      <c r="J589" t="inlineStr">
        <is>
          <t>0</t>
        </is>
      </c>
      <c r="K589" t="inlineStr">
        <is>
          <t>Martin, Robert A. (Robert Allen)</t>
        </is>
      </c>
      <c r="L589" t="inlineStr">
        <is>
          <t>Sudbury, Mass. : Jones and Bartlett Publishers, c2004.</t>
        </is>
      </c>
      <c r="M589" t="inlineStr">
        <is>
          <t>2004</t>
        </is>
      </c>
      <c r="O589" t="inlineStr">
        <is>
          <t>eng</t>
        </is>
      </c>
      <c r="P589" t="inlineStr">
        <is>
          <t>mau</t>
        </is>
      </c>
      <c r="R589" t="inlineStr">
        <is>
          <t xml:space="preserve">QL </t>
        </is>
      </c>
      <c r="S589" t="n">
        <v>6</v>
      </c>
      <c r="T589" t="n">
        <v>6</v>
      </c>
      <c r="U589" t="inlineStr">
        <is>
          <t>2004-11-17</t>
        </is>
      </c>
      <c r="V589" t="inlineStr">
        <is>
          <t>2004-11-17</t>
        </is>
      </c>
      <c r="W589" t="inlineStr">
        <is>
          <t>2004-04-21</t>
        </is>
      </c>
      <c r="X589" t="inlineStr">
        <is>
          <t>2004-04-21</t>
        </is>
      </c>
      <c r="Y589" t="n">
        <v>288</v>
      </c>
      <c r="Z589" t="n">
        <v>256</v>
      </c>
      <c r="AA589" t="n">
        <v>266</v>
      </c>
      <c r="AB589" t="n">
        <v>2</v>
      </c>
      <c r="AC589" t="n">
        <v>3</v>
      </c>
      <c r="AD589" t="n">
        <v>10</v>
      </c>
      <c r="AE589" t="n">
        <v>11</v>
      </c>
      <c r="AF589" t="n">
        <v>5</v>
      </c>
      <c r="AG589" t="n">
        <v>5</v>
      </c>
      <c r="AH589" t="n">
        <v>1</v>
      </c>
      <c r="AI589" t="n">
        <v>1</v>
      </c>
      <c r="AJ589" t="n">
        <v>4</v>
      </c>
      <c r="AK589" t="n">
        <v>4</v>
      </c>
      <c r="AL589" t="n">
        <v>1</v>
      </c>
      <c r="AM589" t="n">
        <v>2</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HYPERLINK("https://creighton-primo.hosted.exlibrisgroup.com/primo-explore/search?tab=default_tab&amp;search_scope=EVERYTHING&amp;vid=01CRU&amp;lang=en_US&amp;offset=0&amp;query=any,contains,991004275839702656","Catalog Record")</f>
        <v/>
      </c>
      <c r="AT589">
        <f>HYPERLINK("http://www.worldcat.org/oclc/51022873","WorldCat Record")</f>
        <v/>
      </c>
      <c r="AU589" t="inlineStr">
        <is>
          <t>198984811:eng</t>
        </is>
      </c>
      <c r="AV589" t="inlineStr">
        <is>
          <t>51022873</t>
        </is>
      </c>
      <c r="AW589" t="inlineStr">
        <is>
          <t>991004275839702656</t>
        </is>
      </c>
      <c r="AX589" t="inlineStr">
        <is>
          <t>991004275839702656</t>
        </is>
      </c>
      <c r="AY589" t="inlineStr">
        <is>
          <t>2266398300002656</t>
        </is>
      </c>
      <c r="AZ589" t="inlineStr">
        <is>
          <t>BOOK</t>
        </is>
      </c>
      <c r="BB589" t="inlineStr">
        <is>
          <t>9780763721961</t>
        </is>
      </c>
      <c r="BC589" t="inlineStr">
        <is>
          <t>32285004901269</t>
        </is>
      </c>
      <c r="BD589" t="inlineStr">
        <is>
          <t>893532210</t>
        </is>
      </c>
    </row>
    <row r="590">
      <c r="A590" t="inlineStr">
        <is>
          <t>No</t>
        </is>
      </c>
      <c r="B590" t="inlineStr">
        <is>
          <t>QL607.5 .N37 1976</t>
        </is>
      </c>
      <c r="C590" t="inlineStr">
        <is>
          <t>0                      QL 0607500N  37          1976</t>
        </is>
      </c>
      <c r="D590" t="inlineStr">
        <is>
          <t>Patterns in vertebrate evolution : [lectures] / edited by Max K. Hecht, Peter C. Goody, and Bessie M. Hecht.</t>
        </is>
      </c>
      <c r="F590" t="inlineStr">
        <is>
          <t>No</t>
        </is>
      </c>
      <c r="G590" t="inlineStr">
        <is>
          <t>1</t>
        </is>
      </c>
      <c r="H590" t="inlineStr">
        <is>
          <t>No</t>
        </is>
      </c>
      <c r="I590" t="inlineStr">
        <is>
          <t>No</t>
        </is>
      </c>
      <c r="J590" t="inlineStr">
        <is>
          <t>0</t>
        </is>
      </c>
      <c r="K590" t="inlineStr">
        <is>
          <t>NATO Advanced Study Institute on Major Patterns in Vertebrate Evolution (1976 : Royal Holloway College)</t>
        </is>
      </c>
      <c r="L590" t="inlineStr">
        <is>
          <t>New York : Plenum Press, c1977.</t>
        </is>
      </c>
      <c r="M590" t="inlineStr">
        <is>
          <t>1977</t>
        </is>
      </c>
      <c r="O590" t="inlineStr">
        <is>
          <t>eng</t>
        </is>
      </c>
      <c r="P590" t="inlineStr">
        <is>
          <t>nyu</t>
        </is>
      </c>
      <c r="Q590" t="inlineStr">
        <is>
          <t>NATO advanced study institutes series. Series A, Life sciences ; v. 14</t>
        </is>
      </c>
      <c r="R590" t="inlineStr">
        <is>
          <t xml:space="preserve">QL </t>
        </is>
      </c>
      <c r="S590" t="n">
        <v>4</v>
      </c>
      <c r="T590" t="n">
        <v>4</v>
      </c>
      <c r="U590" t="inlineStr">
        <is>
          <t>1995-02-19</t>
        </is>
      </c>
      <c r="V590" t="inlineStr">
        <is>
          <t>1995-02-19</t>
        </is>
      </c>
      <c r="W590" t="inlineStr">
        <is>
          <t>1992-02-26</t>
        </is>
      </c>
      <c r="X590" t="inlineStr">
        <is>
          <t>1992-02-26</t>
        </is>
      </c>
      <c r="Y590" t="n">
        <v>371</v>
      </c>
      <c r="Z590" t="n">
        <v>273</v>
      </c>
      <c r="AA590" t="n">
        <v>285</v>
      </c>
      <c r="AB590" t="n">
        <v>3</v>
      </c>
      <c r="AC590" t="n">
        <v>3</v>
      </c>
      <c r="AD590" t="n">
        <v>5</v>
      </c>
      <c r="AE590" t="n">
        <v>5</v>
      </c>
      <c r="AF590" t="n">
        <v>0</v>
      </c>
      <c r="AG590" t="n">
        <v>0</v>
      </c>
      <c r="AH590" t="n">
        <v>2</v>
      </c>
      <c r="AI590" t="n">
        <v>2</v>
      </c>
      <c r="AJ590" t="n">
        <v>1</v>
      </c>
      <c r="AK590" t="n">
        <v>1</v>
      </c>
      <c r="AL590" t="n">
        <v>2</v>
      </c>
      <c r="AM590" t="n">
        <v>2</v>
      </c>
      <c r="AN590" t="n">
        <v>0</v>
      </c>
      <c r="AO590" t="n">
        <v>0</v>
      </c>
      <c r="AP590" t="inlineStr">
        <is>
          <t>No</t>
        </is>
      </c>
      <c r="AQ590" t="inlineStr">
        <is>
          <t>Yes</t>
        </is>
      </c>
      <c r="AR590">
        <f>HYPERLINK("http://catalog.hathitrust.org/Record/000213784","HathiTrust Record")</f>
        <v/>
      </c>
      <c r="AS590">
        <f>HYPERLINK("https://creighton-primo.hosted.exlibrisgroup.com/primo-explore/search?tab=default_tab&amp;search_scope=EVERYTHING&amp;vid=01CRU&amp;lang=en_US&amp;offset=0&amp;query=any,contains,991004297429702656","Catalog Record")</f>
        <v/>
      </c>
      <c r="AT590">
        <f>HYPERLINK("http://www.worldcat.org/oclc/2966045","WorldCat Record")</f>
        <v/>
      </c>
      <c r="AU590" t="inlineStr">
        <is>
          <t>355972231:eng</t>
        </is>
      </c>
      <c r="AV590" t="inlineStr">
        <is>
          <t>2966045</t>
        </is>
      </c>
      <c r="AW590" t="inlineStr">
        <is>
          <t>991004297429702656</t>
        </is>
      </c>
      <c r="AX590" t="inlineStr">
        <is>
          <t>991004297429702656</t>
        </is>
      </c>
      <c r="AY590" t="inlineStr">
        <is>
          <t>2269993230002656</t>
        </is>
      </c>
      <c r="AZ590" t="inlineStr">
        <is>
          <t>BOOK</t>
        </is>
      </c>
      <c r="BB590" t="inlineStr">
        <is>
          <t>9780306356148</t>
        </is>
      </c>
      <c r="BC590" t="inlineStr">
        <is>
          <t>32285000976364</t>
        </is>
      </c>
      <c r="BD590" t="inlineStr">
        <is>
          <t>893247407</t>
        </is>
      </c>
    </row>
    <row r="591">
      <c r="A591" t="inlineStr">
        <is>
          <t>No</t>
        </is>
      </c>
      <c r="B591" t="inlineStr">
        <is>
          <t>QL607.5 .P49 1988</t>
        </is>
      </c>
      <c r="C591" t="inlineStr">
        <is>
          <t>0                      QL 0607500P  49          1988</t>
        </is>
      </c>
      <c r="D591" t="inlineStr">
        <is>
          <t>The Phylogeny and classification of the tetrapods / edited by M.J. Benton.</t>
        </is>
      </c>
      <c r="E591" t="inlineStr">
        <is>
          <t>V.2</t>
        </is>
      </c>
      <c r="F591" t="inlineStr">
        <is>
          <t>Yes</t>
        </is>
      </c>
      <c r="G591" t="inlineStr">
        <is>
          <t>1</t>
        </is>
      </c>
      <c r="H591" t="inlineStr">
        <is>
          <t>No</t>
        </is>
      </c>
      <c r="I591" t="inlineStr">
        <is>
          <t>No</t>
        </is>
      </c>
      <c r="J591" t="inlineStr">
        <is>
          <t>0</t>
        </is>
      </c>
      <c r="L591" t="inlineStr">
        <is>
          <t>Oxford [Oxfordshire] : Published for the Systematics Association by the Clarendon Press ; New York : Oxford University Press, 1988.</t>
        </is>
      </c>
      <c r="M591" t="inlineStr">
        <is>
          <t>1988</t>
        </is>
      </c>
      <c r="O591" t="inlineStr">
        <is>
          <t>eng</t>
        </is>
      </c>
      <c r="P591" t="inlineStr">
        <is>
          <t>enk</t>
        </is>
      </c>
      <c r="R591" t="inlineStr">
        <is>
          <t xml:space="preserve">QL </t>
        </is>
      </c>
      <c r="S591" t="n">
        <v>2</v>
      </c>
      <c r="T591" t="n">
        <v>4</v>
      </c>
      <c r="U591" t="inlineStr">
        <is>
          <t>1997-03-27</t>
        </is>
      </c>
      <c r="V591" t="inlineStr">
        <is>
          <t>1997-03-27</t>
        </is>
      </c>
      <c r="W591" t="inlineStr">
        <is>
          <t>1992-05-07</t>
        </is>
      </c>
      <c r="X591" t="inlineStr">
        <is>
          <t>1992-05-07</t>
        </is>
      </c>
      <c r="Y591" t="n">
        <v>299</v>
      </c>
      <c r="Z591" t="n">
        <v>216</v>
      </c>
      <c r="AA591" t="n">
        <v>217</v>
      </c>
      <c r="AB591" t="n">
        <v>3</v>
      </c>
      <c r="AC591" t="n">
        <v>3</v>
      </c>
      <c r="AD591" t="n">
        <v>6</v>
      </c>
      <c r="AE591" t="n">
        <v>6</v>
      </c>
      <c r="AF591" t="n">
        <v>0</v>
      </c>
      <c r="AG591" t="n">
        <v>0</v>
      </c>
      <c r="AH591" t="n">
        <v>1</v>
      </c>
      <c r="AI591" t="n">
        <v>1</v>
      </c>
      <c r="AJ591" t="n">
        <v>3</v>
      </c>
      <c r="AK591" t="n">
        <v>3</v>
      </c>
      <c r="AL591" t="n">
        <v>2</v>
      </c>
      <c r="AM591" t="n">
        <v>2</v>
      </c>
      <c r="AN591" t="n">
        <v>0</v>
      </c>
      <c r="AO591" t="n">
        <v>0</v>
      </c>
      <c r="AP591" t="inlineStr">
        <is>
          <t>No</t>
        </is>
      </c>
      <c r="AQ591" t="inlineStr">
        <is>
          <t>Yes</t>
        </is>
      </c>
      <c r="AR591">
        <f>HYPERLINK("http://catalog.hathitrust.org/Record/000937727","HathiTrust Record")</f>
        <v/>
      </c>
      <c r="AS591">
        <f>HYPERLINK("https://creighton-primo.hosted.exlibrisgroup.com/primo-explore/search?tab=default_tab&amp;search_scope=EVERYTHING&amp;vid=01CRU&amp;lang=en_US&amp;offset=0&amp;query=any,contains,991001200479702656","Catalog Record")</f>
        <v/>
      </c>
      <c r="AT591">
        <f>HYPERLINK("http://www.worldcat.org/oclc/17300892","WorldCat Record")</f>
        <v/>
      </c>
      <c r="AU591" t="inlineStr">
        <is>
          <t>8907398731:eng</t>
        </is>
      </c>
      <c r="AV591" t="inlineStr">
        <is>
          <t>17300892</t>
        </is>
      </c>
      <c r="AW591" t="inlineStr">
        <is>
          <t>991001200479702656</t>
        </is>
      </c>
      <c r="AX591" t="inlineStr">
        <is>
          <t>991001200479702656</t>
        </is>
      </c>
      <c r="AY591" t="inlineStr">
        <is>
          <t>2267670040002656</t>
        </is>
      </c>
      <c r="AZ591" t="inlineStr">
        <is>
          <t>BOOK</t>
        </is>
      </c>
      <c r="BB591" t="inlineStr">
        <is>
          <t>9780198577126</t>
        </is>
      </c>
      <c r="BC591" t="inlineStr">
        <is>
          <t>32285001105674</t>
        </is>
      </c>
      <c r="BD591" t="inlineStr">
        <is>
          <t>893803434</t>
        </is>
      </c>
    </row>
    <row r="592">
      <c r="A592" t="inlineStr">
        <is>
          <t>No</t>
        </is>
      </c>
      <c r="B592" t="inlineStr">
        <is>
          <t>QL607.5 .P49 1988</t>
        </is>
      </c>
      <c r="C592" t="inlineStr">
        <is>
          <t>0                      QL 0607500P  49          1988</t>
        </is>
      </c>
      <c r="D592" t="inlineStr">
        <is>
          <t>The Phylogeny and classification of the tetrapods / edited by M.J. Benton.</t>
        </is>
      </c>
      <c r="E592" t="inlineStr">
        <is>
          <t>V.1</t>
        </is>
      </c>
      <c r="F592" t="inlineStr">
        <is>
          <t>Yes</t>
        </is>
      </c>
      <c r="G592" t="inlineStr">
        <is>
          <t>1</t>
        </is>
      </c>
      <c r="H592" t="inlineStr">
        <is>
          <t>No</t>
        </is>
      </c>
      <c r="I592" t="inlineStr">
        <is>
          <t>No</t>
        </is>
      </c>
      <c r="J592" t="inlineStr">
        <is>
          <t>0</t>
        </is>
      </c>
      <c r="L592" t="inlineStr">
        <is>
          <t>Oxford [Oxfordshire] : Published for the Systematics Association by the Clarendon Press ; New York : Oxford University Press, 1988.</t>
        </is>
      </c>
      <c r="M592" t="inlineStr">
        <is>
          <t>1988</t>
        </is>
      </c>
      <c r="O592" t="inlineStr">
        <is>
          <t>eng</t>
        </is>
      </c>
      <c r="P592" t="inlineStr">
        <is>
          <t>enk</t>
        </is>
      </c>
      <c r="R592" t="inlineStr">
        <is>
          <t xml:space="preserve">QL </t>
        </is>
      </c>
      <c r="S592" t="n">
        <v>2</v>
      </c>
      <c r="T592" t="n">
        <v>4</v>
      </c>
      <c r="U592" t="inlineStr">
        <is>
          <t>1997-03-27</t>
        </is>
      </c>
      <c r="V592" t="inlineStr">
        <is>
          <t>1997-03-27</t>
        </is>
      </c>
      <c r="W592" t="inlineStr">
        <is>
          <t>1992-05-07</t>
        </is>
      </c>
      <c r="X592" t="inlineStr">
        <is>
          <t>1992-05-07</t>
        </is>
      </c>
      <c r="Y592" t="n">
        <v>299</v>
      </c>
      <c r="Z592" t="n">
        <v>216</v>
      </c>
      <c r="AA592" t="n">
        <v>217</v>
      </c>
      <c r="AB592" t="n">
        <v>3</v>
      </c>
      <c r="AC592" t="n">
        <v>3</v>
      </c>
      <c r="AD592" t="n">
        <v>6</v>
      </c>
      <c r="AE592" t="n">
        <v>6</v>
      </c>
      <c r="AF592" t="n">
        <v>0</v>
      </c>
      <c r="AG592" t="n">
        <v>0</v>
      </c>
      <c r="AH592" t="n">
        <v>1</v>
      </c>
      <c r="AI592" t="n">
        <v>1</v>
      </c>
      <c r="AJ592" t="n">
        <v>3</v>
      </c>
      <c r="AK592" t="n">
        <v>3</v>
      </c>
      <c r="AL592" t="n">
        <v>2</v>
      </c>
      <c r="AM592" t="n">
        <v>2</v>
      </c>
      <c r="AN592" t="n">
        <v>0</v>
      </c>
      <c r="AO592" t="n">
        <v>0</v>
      </c>
      <c r="AP592" t="inlineStr">
        <is>
          <t>No</t>
        </is>
      </c>
      <c r="AQ592" t="inlineStr">
        <is>
          <t>Yes</t>
        </is>
      </c>
      <c r="AR592">
        <f>HYPERLINK("http://catalog.hathitrust.org/Record/000937727","HathiTrust Record")</f>
        <v/>
      </c>
      <c r="AS592">
        <f>HYPERLINK("https://creighton-primo.hosted.exlibrisgroup.com/primo-explore/search?tab=default_tab&amp;search_scope=EVERYTHING&amp;vid=01CRU&amp;lang=en_US&amp;offset=0&amp;query=any,contains,991001200479702656","Catalog Record")</f>
        <v/>
      </c>
      <c r="AT592">
        <f>HYPERLINK("http://www.worldcat.org/oclc/17300892","WorldCat Record")</f>
        <v/>
      </c>
      <c r="AU592" t="inlineStr">
        <is>
          <t>8907398731:eng</t>
        </is>
      </c>
      <c r="AV592" t="inlineStr">
        <is>
          <t>17300892</t>
        </is>
      </c>
      <c r="AW592" t="inlineStr">
        <is>
          <t>991001200479702656</t>
        </is>
      </c>
      <c r="AX592" t="inlineStr">
        <is>
          <t>991001200479702656</t>
        </is>
      </c>
      <c r="AY592" t="inlineStr">
        <is>
          <t>2267670040002656</t>
        </is>
      </c>
      <c r="AZ592" t="inlineStr">
        <is>
          <t>BOOK</t>
        </is>
      </c>
      <c r="BB592" t="inlineStr">
        <is>
          <t>9780198577126</t>
        </is>
      </c>
      <c r="BC592" t="inlineStr">
        <is>
          <t>32285001105666</t>
        </is>
      </c>
      <c r="BD592" t="inlineStr">
        <is>
          <t>893803435</t>
        </is>
      </c>
    </row>
    <row r="593">
      <c r="A593" t="inlineStr">
        <is>
          <t>No</t>
        </is>
      </c>
      <c r="B593" t="inlineStr">
        <is>
          <t>QL607.5 .R33 1987</t>
        </is>
      </c>
      <c r="C593" t="inlineStr">
        <is>
          <t>0                      QL 0607500R  33          1987</t>
        </is>
      </c>
      <c r="D593" t="inlineStr">
        <is>
          <t>The evolution of vertebrate design / Leonard B. Radinsky.</t>
        </is>
      </c>
      <c r="F593" t="inlineStr">
        <is>
          <t>No</t>
        </is>
      </c>
      <c r="G593" t="inlineStr">
        <is>
          <t>1</t>
        </is>
      </c>
      <c r="H593" t="inlineStr">
        <is>
          <t>No</t>
        </is>
      </c>
      <c r="I593" t="inlineStr">
        <is>
          <t>No</t>
        </is>
      </c>
      <c r="J593" t="inlineStr">
        <is>
          <t>0</t>
        </is>
      </c>
      <c r="K593" t="inlineStr">
        <is>
          <t>Radinsky, Leonard B.</t>
        </is>
      </c>
      <c r="L593" t="inlineStr">
        <is>
          <t>Chicago : University of Chicago Press, 1987.</t>
        </is>
      </c>
      <c r="M593" t="inlineStr">
        <is>
          <t>1987</t>
        </is>
      </c>
      <c r="O593" t="inlineStr">
        <is>
          <t>eng</t>
        </is>
      </c>
      <c r="P593" t="inlineStr">
        <is>
          <t>ilu</t>
        </is>
      </c>
      <c r="R593" t="inlineStr">
        <is>
          <t xml:space="preserve">QL </t>
        </is>
      </c>
      <c r="S593" t="n">
        <v>3</v>
      </c>
      <c r="T593" t="n">
        <v>3</v>
      </c>
      <c r="U593" t="inlineStr">
        <is>
          <t>1998-02-26</t>
        </is>
      </c>
      <c r="V593" t="inlineStr">
        <is>
          <t>1998-02-26</t>
        </is>
      </c>
      <c r="W593" t="inlineStr">
        <is>
          <t>1992-02-24</t>
        </is>
      </c>
      <c r="X593" t="inlineStr">
        <is>
          <t>1992-02-24</t>
        </is>
      </c>
      <c r="Y593" t="n">
        <v>885</v>
      </c>
      <c r="Z593" t="n">
        <v>753</v>
      </c>
      <c r="AA593" t="n">
        <v>777</v>
      </c>
      <c r="AB593" t="n">
        <v>6</v>
      </c>
      <c r="AC593" t="n">
        <v>6</v>
      </c>
      <c r="AD593" t="n">
        <v>31</v>
      </c>
      <c r="AE593" t="n">
        <v>32</v>
      </c>
      <c r="AF593" t="n">
        <v>13</v>
      </c>
      <c r="AG593" t="n">
        <v>14</v>
      </c>
      <c r="AH593" t="n">
        <v>6</v>
      </c>
      <c r="AI593" t="n">
        <v>7</v>
      </c>
      <c r="AJ593" t="n">
        <v>16</v>
      </c>
      <c r="AK593" t="n">
        <v>16</v>
      </c>
      <c r="AL593" t="n">
        <v>4</v>
      </c>
      <c r="AM593" t="n">
        <v>4</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HYPERLINK("https://creighton-primo.hosted.exlibrisgroup.com/primo-explore/search?tab=default_tab&amp;search_scope=EVERYTHING&amp;vid=01CRU&amp;lang=en_US&amp;offset=0&amp;query=any,contains,991001023429702656","Catalog Record")</f>
        <v/>
      </c>
      <c r="AT593">
        <f>HYPERLINK("http://www.worldcat.org/oclc/15421853","WorldCat Record")</f>
        <v/>
      </c>
      <c r="AU593" t="inlineStr">
        <is>
          <t>10328267:eng</t>
        </is>
      </c>
      <c r="AV593" t="inlineStr">
        <is>
          <t>15421853</t>
        </is>
      </c>
      <c r="AW593" t="inlineStr">
        <is>
          <t>991001023429702656</t>
        </is>
      </c>
      <c r="AX593" t="inlineStr">
        <is>
          <t>991001023429702656</t>
        </is>
      </c>
      <c r="AY593" t="inlineStr">
        <is>
          <t>2258671110002656</t>
        </is>
      </c>
      <c r="AZ593" t="inlineStr">
        <is>
          <t>BOOK</t>
        </is>
      </c>
      <c r="BB593" t="inlineStr">
        <is>
          <t>9780226702353</t>
        </is>
      </c>
      <c r="BC593" t="inlineStr">
        <is>
          <t>32285000975531</t>
        </is>
      </c>
      <c r="BD593" t="inlineStr">
        <is>
          <t>893509314</t>
        </is>
      </c>
    </row>
    <row r="594">
      <c r="A594" t="inlineStr">
        <is>
          <t>No</t>
        </is>
      </c>
      <c r="B594" t="inlineStr">
        <is>
          <t>QL61 .A53 1965</t>
        </is>
      </c>
      <c r="C594" t="inlineStr">
        <is>
          <t>0                      QL 0061000A  53          1965</t>
        </is>
      </c>
      <c r="D594" t="inlineStr">
        <is>
          <t>Methods of collecting and preserving vertebrate animals / by Rudolph Martin Anderson.</t>
        </is>
      </c>
      <c r="F594" t="inlineStr">
        <is>
          <t>No</t>
        </is>
      </c>
      <c r="G594" t="inlineStr">
        <is>
          <t>1</t>
        </is>
      </c>
      <c r="H594" t="inlineStr">
        <is>
          <t>No</t>
        </is>
      </c>
      <c r="I594" t="inlineStr">
        <is>
          <t>No</t>
        </is>
      </c>
      <c r="J594" t="inlineStr">
        <is>
          <t>0</t>
        </is>
      </c>
      <c r="K594" t="inlineStr">
        <is>
          <t>Anderson, Rudolph Martin, 1876-1961.</t>
        </is>
      </c>
      <c r="L594" t="inlineStr">
        <is>
          <t>Ottawa : R. Duhamel, Queen's Printer, 1965.</t>
        </is>
      </c>
      <c r="M594" t="inlineStr">
        <is>
          <t>1965</t>
        </is>
      </c>
      <c r="N594" t="inlineStr">
        <is>
          <t>4th ed.,rev.</t>
        </is>
      </c>
      <c r="O594" t="inlineStr">
        <is>
          <t>eng</t>
        </is>
      </c>
      <c r="P594" t="inlineStr">
        <is>
          <t>|||</t>
        </is>
      </c>
      <c r="Q594" t="inlineStr">
        <is>
          <t>National Museum of Canada. Bulletin, no.69. Biological series, no.18</t>
        </is>
      </c>
      <c r="R594" t="inlineStr">
        <is>
          <t xml:space="preserve">QL </t>
        </is>
      </c>
      <c r="S594" t="n">
        <v>0</v>
      </c>
      <c r="T594" t="n">
        <v>0</v>
      </c>
      <c r="U594" t="inlineStr">
        <is>
          <t>2004-12-17</t>
        </is>
      </c>
      <c r="V594" t="inlineStr">
        <is>
          <t>2004-12-17</t>
        </is>
      </c>
      <c r="W594" t="inlineStr">
        <is>
          <t>1993-05-25</t>
        </is>
      </c>
      <c r="X594" t="inlineStr">
        <is>
          <t>1993-05-25</t>
        </is>
      </c>
      <c r="Y594" t="n">
        <v>91</v>
      </c>
      <c r="Z594" t="n">
        <v>81</v>
      </c>
      <c r="AA594" t="n">
        <v>150</v>
      </c>
      <c r="AB594" t="n">
        <v>2</v>
      </c>
      <c r="AC594" t="n">
        <v>2</v>
      </c>
      <c r="AD594" t="n">
        <v>1</v>
      </c>
      <c r="AE594" t="n">
        <v>1</v>
      </c>
      <c r="AF594" t="n">
        <v>0</v>
      </c>
      <c r="AG594" t="n">
        <v>0</v>
      </c>
      <c r="AH594" t="n">
        <v>0</v>
      </c>
      <c r="AI594" t="n">
        <v>0</v>
      </c>
      <c r="AJ594" t="n">
        <v>0</v>
      </c>
      <c r="AK594" t="n">
        <v>0</v>
      </c>
      <c r="AL594" t="n">
        <v>1</v>
      </c>
      <c r="AM594" t="n">
        <v>1</v>
      </c>
      <c r="AN594" t="n">
        <v>0</v>
      </c>
      <c r="AO594" t="n">
        <v>0</v>
      </c>
      <c r="AP594" t="inlineStr">
        <is>
          <t>No</t>
        </is>
      </c>
      <c r="AQ594" t="inlineStr">
        <is>
          <t>Yes</t>
        </is>
      </c>
      <c r="AR594">
        <f>HYPERLINK("http://catalog.hathitrust.org/Record/002038289","HathiTrust Record")</f>
        <v/>
      </c>
      <c r="AS594">
        <f>HYPERLINK("https://creighton-primo.hosted.exlibrisgroup.com/primo-explore/search?tab=default_tab&amp;search_scope=EVERYTHING&amp;vid=01CRU&amp;lang=en_US&amp;offset=0&amp;query=any,contains,991002172269702656","Catalog Record")</f>
        <v/>
      </c>
      <c r="AT594">
        <f>HYPERLINK("http://www.worldcat.org/oclc/277128","WorldCat Record")</f>
        <v/>
      </c>
      <c r="AU594" t="inlineStr">
        <is>
          <t>32524020:eng</t>
        </is>
      </c>
      <c r="AV594" t="inlineStr">
        <is>
          <t>277128</t>
        </is>
      </c>
      <c r="AW594" t="inlineStr">
        <is>
          <t>991002172269702656</t>
        </is>
      </c>
      <c r="AX594" t="inlineStr">
        <is>
          <t>991002172269702656</t>
        </is>
      </c>
      <c r="AY594" t="inlineStr">
        <is>
          <t>2260275820002656</t>
        </is>
      </c>
      <c r="AZ594" t="inlineStr">
        <is>
          <t>BOOK</t>
        </is>
      </c>
      <c r="BC594" t="inlineStr">
        <is>
          <t>32285001686160</t>
        </is>
      </c>
      <c r="BD594" t="inlineStr">
        <is>
          <t>893250903</t>
        </is>
      </c>
    </row>
    <row r="595">
      <c r="A595" t="inlineStr">
        <is>
          <t>No</t>
        </is>
      </c>
      <c r="B595" t="inlineStr">
        <is>
          <t>QL615 .G73 1997</t>
        </is>
      </c>
      <c r="C595" t="inlineStr">
        <is>
          <t>0                      QL 0615000G  73          1997</t>
        </is>
      </c>
      <c r="D595" t="inlineStr">
        <is>
          <t>Air-breathing fishes : evolution, diversity, and adaptation / Jeffrey B. Graham.</t>
        </is>
      </c>
      <c r="F595" t="inlineStr">
        <is>
          <t>No</t>
        </is>
      </c>
      <c r="G595" t="inlineStr">
        <is>
          <t>1</t>
        </is>
      </c>
      <c r="H595" t="inlineStr">
        <is>
          <t>No</t>
        </is>
      </c>
      <c r="I595" t="inlineStr">
        <is>
          <t>No</t>
        </is>
      </c>
      <c r="J595" t="inlineStr">
        <is>
          <t>0</t>
        </is>
      </c>
      <c r="K595" t="inlineStr">
        <is>
          <t>Graham, Jeffrey B.</t>
        </is>
      </c>
      <c r="L595" t="inlineStr">
        <is>
          <t>San Diego : Academic Press, c1997.</t>
        </is>
      </c>
      <c r="M595" t="inlineStr">
        <is>
          <t>1997</t>
        </is>
      </c>
      <c r="O595" t="inlineStr">
        <is>
          <t>eng</t>
        </is>
      </c>
      <c r="P595" t="inlineStr">
        <is>
          <t>cau</t>
        </is>
      </c>
      <c r="R595" t="inlineStr">
        <is>
          <t xml:space="preserve">QL </t>
        </is>
      </c>
      <c r="S595" t="n">
        <v>8</v>
      </c>
      <c r="T595" t="n">
        <v>8</v>
      </c>
      <c r="U595" t="inlineStr">
        <is>
          <t>2006-03-27</t>
        </is>
      </c>
      <c r="V595" t="inlineStr">
        <is>
          <t>2006-03-27</t>
        </is>
      </c>
      <c r="W595" t="inlineStr">
        <is>
          <t>1998-03-26</t>
        </is>
      </c>
      <c r="X595" t="inlineStr">
        <is>
          <t>1998-03-26</t>
        </is>
      </c>
      <c r="Y595" t="n">
        <v>491</v>
      </c>
      <c r="Z595" t="n">
        <v>386</v>
      </c>
      <c r="AA595" t="n">
        <v>1077</v>
      </c>
      <c r="AB595" t="n">
        <v>4</v>
      </c>
      <c r="AC595" t="n">
        <v>15</v>
      </c>
      <c r="AD595" t="n">
        <v>18</v>
      </c>
      <c r="AE595" t="n">
        <v>41</v>
      </c>
      <c r="AF595" t="n">
        <v>6</v>
      </c>
      <c r="AG595" t="n">
        <v>13</v>
      </c>
      <c r="AH595" t="n">
        <v>5</v>
      </c>
      <c r="AI595" t="n">
        <v>8</v>
      </c>
      <c r="AJ595" t="n">
        <v>8</v>
      </c>
      <c r="AK595" t="n">
        <v>12</v>
      </c>
      <c r="AL595" t="n">
        <v>3</v>
      </c>
      <c r="AM595" t="n">
        <v>13</v>
      </c>
      <c r="AN595" t="n">
        <v>0</v>
      </c>
      <c r="AO595" t="n">
        <v>1</v>
      </c>
      <c r="AP595" t="inlineStr">
        <is>
          <t>No</t>
        </is>
      </c>
      <c r="AQ595" t="inlineStr">
        <is>
          <t>No</t>
        </is>
      </c>
      <c r="AS595">
        <f>HYPERLINK("https://creighton-primo.hosted.exlibrisgroup.com/primo-explore/search?tab=default_tab&amp;search_scope=EVERYTHING&amp;vid=01CRU&amp;lang=en_US&amp;offset=0&amp;query=any,contains,991002730029702656","Catalog Record")</f>
        <v/>
      </c>
      <c r="AT595">
        <f>HYPERLINK("http://www.worldcat.org/oclc/35808376","WorldCat Record")</f>
        <v/>
      </c>
      <c r="AU595" t="inlineStr">
        <is>
          <t>335552627:eng</t>
        </is>
      </c>
      <c r="AV595" t="inlineStr">
        <is>
          <t>35808376</t>
        </is>
      </c>
      <c r="AW595" t="inlineStr">
        <is>
          <t>991002730029702656</t>
        </is>
      </c>
      <c r="AX595" t="inlineStr">
        <is>
          <t>991002730029702656</t>
        </is>
      </c>
      <c r="AY595" t="inlineStr">
        <is>
          <t>2269831490002656</t>
        </is>
      </c>
      <c r="AZ595" t="inlineStr">
        <is>
          <t>BOOK</t>
        </is>
      </c>
      <c r="BB595" t="inlineStr">
        <is>
          <t>9780122948602</t>
        </is>
      </c>
      <c r="BC595" t="inlineStr">
        <is>
          <t>32285003381166</t>
        </is>
      </c>
      <c r="BD595" t="inlineStr">
        <is>
          <t>893892909</t>
        </is>
      </c>
    </row>
    <row r="596">
      <c r="A596" t="inlineStr">
        <is>
          <t>No</t>
        </is>
      </c>
      <c r="B596" t="inlineStr">
        <is>
          <t>QL615 .H45</t>
        </is>
      </c>
      <c r="C596" t="inlineStr">
        <is>
          <t>0                      QL 0615000H  45</t>
        </is>
      </c>
      <c r="D596" t="inlineStr">
        <is>
          <t>Living fishes of the world / with photos. by Fritz Goro [and others]</t>
        </is>
      </c>
      <c r="F596" t="inlineStr">
        <is>
          <t>No</t>
        </is>
      </c>
      <c r="G596" t="inlineStr">
        <is>
          <t>1</t>
        </is>
      </c>
      <c r="H596" t="inlineStr">
        <is>
          <t>No</t>
        </is>
      </c>
      <c r="I596" t="inlineStr">
        <is>
          <t>No</t>
        </is>
      </c>
      <c r="J596" t="inlineStr">
        <is>
          <t>0</t>
        </is>
      </c>
      <c r="K596" t="inlineStr">
        <is>
          <t>Herald, Earl S.</t>
        </is>
      </c>
      <c r="L596" t="inlineStr">
        <is>
          <t>Garden City, N.Y. : Doubleday, [1961]</t>
        </is>
      </c>
      <c r="M596" t="inlineStr">
        <is>
          <t>1961</t>
        </is>
      </c>
      <c r="O596" t="inlineStr">
        <is>
          <t>eng</t>
        </is>
      </c>
      <c r="P596" t="inlineStr">
        <is>
          <t>nyu</t>
        </is>
      </c>
      <c r="Q596" t="inlineStr">
        <is>
          <t>The World of nature series</t>
        </is>
      </c>
      <c r="R596" t="inlineStr">
        <is>
          <t xml:space="preserve">QL </t>
        </is>
      </c>
      <c r="S596" t="n">
        <v>16</v>
      </c>
      <c r="T596" t="n">
        <v>16</v>
      </c>
      <c r="U596" t="inlineStr">
        <is>
          <t>2004-02-25</t>
        </is>
      </c>
      <c r="V596" t="inlineStr">
        <is>
          <t>2004-02-25</t>
        </is>
      </c>
      <c r="W596" t="inlineStr">
        <is>
          <t>1992-02-20</t>
        </is>
      </c>
      <c r="X596" t="inlineStr">
        <is>
          <t>1992-02-20</t>
        </is>
      </c>
      <c r="Y596" t="n">
        <v>1034</v>
      </c>
      <c r="Z596" t="n">
        <v>971</v>
      </c>
      <c r="AA596" t="n">
        <v>1078</v>
      </c>
      <c r="AB596" t="n">
        <v>8</v>
      </c>
      <c r="AC596" t="n">
        <v>9</v>
      </c>
      <c r="AD596" t="n">
        <v>19</v>
      </c>
      <c r="AE596" t="n">
        <v>23</v>
      </c>
      <c r="AF596" t="n">
        <v>6</v>
      </c>
      <c r="AG596" t="n">
        <v>8</v>
      </c>
      <c r="AH596" t="n">
        <v>2</v>
      </c>
      <c r="AI596" t="n">
        <v>3</v>
      </c>
      <c r="AJ596" t="n">
        <v>9</v>
      </c>
      <c r="AK596" t="n">
        <v>9</v>
      </c>
      <c r="AL596" t="n">
        <v>4</v>
      </c>
      <c r="AM596" t="n">
        <v>5</v>
      </c>
      <c r="AN596" t="n">
        <v>0</v>
      </c>
      <c r="AO596" t="n">
        <v>0</v>
      </c>
      <c r="AP596" t="inlineStr">
        <is>
          <t>No</t>
        </is>
      </c>
      <c r="AQ596" t="inlineStr">
        <is>
          <t>No</t>
        </is>
      </c>
      <c r="AR596">
        <f>HYPERLINK("http://catalog.hathitrust.org/Record/001500736","HathiTrust Record")</f>
        <v/>
      </c>
      <c r="AS596">
        <f>HYPERLINK("https://creighton-primo.hosted.exlibrisgroup.com/primo-explore/search?tab=default_tab&amp;search_scope=EVERYTHING&amp;vid=01CRU&amp;lang=en_US&amp;offset=0&amp;query=any,contains,991002871139702656","Catalog Record")</f>
        <v/>
      </c>
      <c r="AT596">
        <f>HYPERLINK("http://www.worldcat.org/oclc/499272","WorldCat Record")</f>
        <v/>
      </c>
      <c r="AU596" t="inlineStr">
        <is>
          <t>230583835:eng</t>
        </is>
      </c>
      <c r="AV596" t="inlineStr">
        <is>
          <t>499272</t>
        </is>
      </c>
      <c r="AW596" t="inlineStr">
        <is>
          <t>991002871139702656</t>
        </is>
      </c>
      <c r="AX596" t="inlineStr">
        <is>
          <t>991002871139702656</t>
        </is>
      </c>
      <c r="AY596" t="inlineStr">
        <is>
          <t>2271407640002656</t>
        </is>
      </c>
      <c r="AZ596" t="inlineStr">
        <is>
          <t>BOOK</t>
        </is>
      </c>
      <c r="BC596" t="inlineStr">
        <is>
          <t>32285000972058</t>
        </is>
      </c>
      <c r="BD596" t="inlineStr">
        <is>
          <t>893786671</t>
        </is>
      </c>
    </row>
    <row r="597">
      <c r="A597" t="inlineStr">
        <is>
          <t>No</t>
        </is>
      </c>
      <c r="B597" t="inlineStr">
        <is>
          <t>QL615 .L3 1977</t>
        </is>
      </c>
      <c r="C597" t="inlineStr">
        <is>
          <t>0                      QL 0615000L  3           1977</t>
        </is>
      </c>
      <c r="D597" t="inlineStr">
        <is>
          <t>Ichthyology / Karl F. Lagler ... [et al.] ; illustrated by William L. Brudon.</t>
        </is>
      </c>
      <c r="F597" t="inlineStr">
        <is>
          <t>No</t>
        </is>
      </c>
      <c r="G597" t="inlineStr">
        <is>
          <t>1</t>
        </is>
      </c>
      <c r="H597" t="inlineStr">
        <is>
          <t>No</t>
        </is>
      </c>
      <c r="I597" t="inlineStr">
        <is>
          <t>No</t>
        </is>
      </c>
      <c r="J597" t="inlineStr">
        <is>
          <t>0</t>
        </is>
      </c>
      <c r="L597" t="inlineStr">
        <is>
          <t>New York : Wiley, c1977.</t>
        </is>
      </c>
      <c r="M597" t="inlineStr">
        <is>
          <t>1977</t>
        </is>
      </c>
      <c r="N597" t="inlineStr">
        <is>
          <t>2d ed.</t>
        </is>
      </c>
      <c r="O597" t="inlineStr">
        <is>
          <t>eng</t>
        </is>
      </c>
      <c r="P597" t="inlineStr">
        <is>
          <t>nyu</t>
        </is>
      </c>
      <c r="R597" t="inlineStr">
        <is>
          <t xml:space="preserve">QL </t>
        </is>
      </c>
      <c r="S597" t="n">
        <v>9</v>
      </c>
      <c r="T597" t="n">
        <v>9</v>
      </c>
      <c r="U597" t="inlineStr">
        <is>
          <t>2005-11-23</t>
        </is>
      </c>
      <c r="V597" t="inlineStr">
        <is>
          <t>2005-11-23</t>
        </is>
      </c>
      <c r="W597" t="inlineStr">
        <is>
          <t>1993-11-30</t>
        </is>
      </c>
      <c r="X597" t="inlineStr">
        <is>
          <t>1993-11-30</t>
        </is>
      </c>
      <c r="Y597" t="n">
        <v>572</v>
      </c>
      <c r="Z597" t="n">
        <v>404</v>
      </c>
      <c r="AA597" t="n">
        <v>1076</v>
      </c>
      <c r="AB597" t="n">
        <v>5</v>
      </c>
      <c r="AC597" t="n">
        <v>11</v>
      </c>
      <c r="AD597" t="n">
        <v>14</v>
      </c>
      <c r="AE597" t="n">
        <v>36</v>
      </c>
      <c r="AF597" t="n">
        <v>5</v>
      </c>
      <c r="AG597" t="n">
        <v>14</v>
      </c>
      <c r="AH597" t="n">
        <v>2</v>
      </c>
      <c r="AI597" t="n">
        <v>2</v>
      </c>
      <c r="AJ597" t="n">
        <v>8</v>
      </c>
      <c r="AK597" t="n">
        <v>16</v>
      </c>
      <c r="AL597" t="n">
        <v>3</v>
      </c>
      <c r="AM597" t="n">
        <v>9</v>
      </c>
      <c r="AN597" t="n">
        <v>0</v>
      </c>
      <c r="AO597" t="n">
        <v>0</v>
      </c>
      <c r="AP597" t="inlineStr">
        <is>
          <t>No</t>
        </is>
      </c>
      <c r="AQ597" t="inlineStr">
        <is>
          <t>Yes</t>
        </is>
      </c>
      <c r="AR597">
        <f>HYPERLINK("http://catalog.hathitrust.org/Record/004159668","HathiTrust Record")</f>
        <v/>
      </c>
      <c r="AS597">
        <f>HYPERLINK("https://creighton-primo.hosted.exlibrisgroup.com/primo-explore/search?tab=default_tab&amp;search_scope=EVERYTHING&amp;vid=01CRU&amp;lang=en_US&amp;offset=0&amp;query=any,contains,991004307929702656","Catalog Record")</f>
        <v/>
      </c>
      <c r="AT597">
        <f>HYPERLINK("http://www.worldcat.org/oclc/2984721","WorldCat Record")</f>
        <v/>
      </c>
      <c r="AU597" t="inlineStr">
        <is>
          <t>195239355:eng</t>
        </is>
      </c>
      <c r="AV597" t="inlineStr">
        <is>
          <t>2984721</t>
        </is>
      </c>
      <c r="AW597" t="inlineStr">
        <is>
          <t>991004307929702656</t>
        </is>
      </c>
      <c r="AX597" t="inlineStr">
        <is>
          <t>991004307929702656</t>
        </is>
      </c>
      <c r="AY597" t="inlineStr">
        <is>
          <t>2258252810002656</t>
        </is>
      </c>
      <c r="AZ597" t="inlineStr">
        <is>
          <t>BOOK</t>
        </is>
      </c>
      <c r="BB597" t="inlineStr">
        <is>
          <t>9780471511663</t>
        </is>
      </c>
      <c r="BC597" t="inlineStr">
        <is>
          <t>32285001689438</t>
        </is>
      </c>
      <c r="BD597" t="inlineStr">
        <is>
          <t>893718748</t>
        </is>
      </c>
    </row>
    <row r="598">
      <c r="A598" t="inlineStr">
        <is>
          <t>No</t>
        </is>
      </c>
      <c r="B598" t="inlineStr">
        <is>
          <t>QL615 .M34 1966</t>
        </is>
      </c>
      <c r="C598" t="inlineStr">
        <is>
          <t>0                      QL 0615000M  34          1966</t>
        </is>
      </c>
      <c r="D598" t="inlineStr">
        <is>
          <t>The life of fishes / [by] N. B. Marshall.</t>
        </is>
      </c>
      <c r="F598" t="inlineStr">
        <is>
          <t>No</t>
        </is>
      </c>
      <c r="G598" t="inlineStr">
        <is>
          <t>1</t>
        </is>
      </c>
      <c r="H598" t="inlineStr">
        <is>
          <t>No</t>
        </is>
      </c>
      <c r="I598" t="inlineStr">
        <is>
          <t>No</t>
        </is>
      </c>
      <c r="J598" t="inlineStr">
        <is>
          <t>0</t>
        </is>
      </c>
      <c r="K598" t="inlineStr">
        <is>
          <t>Marshall, N. B. (Norman Bertram), 1915-1996.</t>
        </is>
      </c>
      <c r="L598" t="inlineStr">
        <is>
          <t>Cleveland : World Pub. Co., [1966]</t>
        </is>
      </c>
      <c r="M598" t="inlineStr">
        <is>
          <t>1966</t>
        </is>
      </c>
      <c r="O598" t="inlineStr">
        <is>
          <t>eng</t>
        </is>
      </c>
      <c r="P598" t="inlineStr">
        <is>
          <t>ohu</t>
        </is>
      </c>
      <c r="R598" t="inlineStr">
        <is>
          <t xml:space="preserve">QL </t>
        </is>
      </c>
      <c r="S598" t="n">
        <v>15</v>
      </c>
      <c r="T598" t="n">
        <v>15</v>
      </c>
      <c r="U598" t="inlineStr">
        <is>
          <t>2001-07-24</t>
        </is>
      </c>
      <c r="V598" t="inlineStr">
        <is>
          <t>2001-07-24</t>
        </is>
      </c>
      <c r="W598" t="inlineStr">
        <is>
          <t>1992-02-20</t>
        </is>
      </c>
      <c r="X598" t="inlineStr">
        <is>
          <t>1992-02-20</t>
        </is>
      </c>
      <c r="Y598" t="n">
        <v>621</v>
      </c>
      <c r="Z598" t="n">
        <v>602</v>
      </c>
      <c r="AA598" t="n">
        <v>887</v>
      </c>
      <c r="AB598" t="n">
        <v>8</v>
      </c>
      <c r="AC598" t="n">
        <v>10</v>
      </c>
      <c r="AD598" t="n">
        <v>20</v>
      </c>
      <c r="AE598" t="n">
        <v>28</v>
      </c>
      <c r="AF598" t="n">
        <v>7</v>
      </c>
      <c r="AG598" t="n">
        <v>9</v>
      </c>
      <c r="AH598" t="n">
        <v>2</v>
      </c>
      <c r="AI598" t="n">
        <v>3</v>
      </c>
      <c r="AJ598" t="n">
        <v>9</v>
      </c>
      <c r="AK598" t="n">
        <v>12</v>
      </c>
      <c r="AL598" t="n">
        <v>6</v>
      </c>
      <c r="AM598" t="n">
        <v>8</v>
      </c>
      <c r="AN598" t="n">
        <v>0</v>
      </c>
      <c r="AO598" t="n">
        <v>0</v>
      </c>
      <c r="AP598" t="inlineStr">
        <is>
          <t>No</t>
        </is>
      </c>
      <c r="AQ598" t="inlineStr">
        <is>
          <t>Yes</t>
        </is>
      </c>
      <c r="AR598">
        <f>HYPERLINK("http://catalog.hathitrust.org/Record/001500742","HathiTrust Record")</f>
        <v/>
      </c>
      <c r="AS598">
        <f>HYPERLINK("https://creighton-primo.hosted.exlibrisgroup.com/primo-explore/search?tab=default_tab&amp;search_scope=EVERYTHING&amp;vid=01CRU&amp;lang=en_US&amp;offset=0&amp;query=any,contains,991002983619702656","Catalog Record")</f>
        <v/>
      </c>
      <c r="AT598">
        <f>HYPERLINK("http://www.worldcat.org/oclc/556240","WorldCat Record")</f>
        <v/>
      </c>
      <c r="AU598" t="inlineStr">
        <is>
          <t>1357071:eng</t>
        </is>
      </c>
      <c r="AV598" t="inlineStr">
        <is>
          <t>556240</t>
        </is>
      </c>
      <c r="AW598" t="inlineStr">
        <is>
          <t>991002983619702656</t>
        </is>
      </c>
      <c r="AX598" t="inlineStr">
        <is>
          <t>991002983619702656</t>
        </is>
      </c>
      <c r="AY598" t="inlineStr">
        <is>
          <t>2259707770002656</t>
        </is>
      </c>
      <c r="AZ598" t="inlineStr">
        <is>
          <t>BOOK</t>
        </is>
      </c>
      <c r="BC598" t="inlineStr">
        <is>
          <t>32285000972041</t>
        </is>
      </c>
      <c r="BD598" t="inlineStr">
        <is>
          <t>893774259</t>
        </is>
      </c>
    </row>
    <row r="599">
      <c r="A599" t="inlineStr">
        <is>
          <t>No</t>
        </is>
      </c>
      <c r="B599" t="inlineStr">
        <is>
          <t>QL615 .N513</t>
        </is>
      </c>
      <c r="C599" t="inlineStr">
        <is>
          <t>0                      QL 0615000N  513</t>
        </is>
      </c>
      <c r="D599" t="inlineStr">
        <is>
          <t>The ecology of fishes / translated from the Russian by L. Birkett.</t>
        </is>
      </c>
      <c r="F599" t="inlineStr">
        <is>
          <t>No</t>
        </is>
      </c>
      <c r="G599" t="inlineStr">
        <is>
          <t>1</t>
        </is>
      </c>
      <c r="H599" t="inlineStr">
        <is>
          <t>No</t>
        </is>
      </c>
      <c r="I599" t="inlineStr">
        <is>
          <t>No</t>
        </is>
      </c>
      <c r="J599" t="inlineStr">
        <is>
          <t>0</t>
        </is>
      </c>
      <c r="K599" t="inlineStr">
        <is>
          <t>Nikolʹskiĭ, G. V. (Georgiĭ Vasilʹevich), 1910-1977.</t>
        </is>
      </c>
      <c r="L599" t="inlineStr">
        <is>
          <t>London ; New York : Academic Press, 1963.</t>
        </is>
      </c>
      <c r="M599" t="inlineStr">
        <is>
          <t>1963</t>
        </is>
      </c>
      <c r="O599" t="inlineStr">
        <is>
          <t>eng</t>
        </is>
      </c>
      <c r="P599" t="inlineStr">
        <is>
          <t>enk</t>
        </is>
      </c>
      <c r="R599" t="inlineStr">
        <is>
          <t xml:space="preserve">QL </t>
        </is>
      </c>
      <c r="S599" t="n">
        <v>15</v>
      </c>
      <c r="T599" t="n">
        <v>15</v>
      </c>
      <c r="U599" t="inlineStr">
        <is>
          <t>2009-03-05</t>
        </is>
      </c>
      <c r="V599" t="inlineStr">
        <is>
          <t>2009-03-05</t>
        </is>
      </c>
      <c r="W599" t="inlineStr">
        <is>
          <t>1992-02-20</t>
        </is>
      </c>
      <c r="X599" t="inlineStr">
        <is>
          <t>1992-02-20</t>
        </is>
      </c>
      <c r="Y599" t="n">
        <v>650</v>
      </c>
      <c r="Z599" t="n">
        <v>514</v>
      </c>
      <c r="AA599" t="n">
        <v>555</v>
      </c>
      <c r="AB599" t="n">
        <v>6</v>
      </c>
      <c r="AC599" t="n">
        <v>6</v>
      </c>
      <c r="AD599" t="n">
        <v>23</v>
      </c>
      <c r="AE599" t="n">
        <v>23</v>
      </c>
      <c r="AF599" t="n">
        <v>7</v>
      </c>
      <c r="AG599" t="n">
        <v>7</v>
      </c>
      <c r="AH599" t="n">
        <v>4</v>
      </c>
      <c r="AI599" t="n">
        <v>4</v>
      </c>
      <c r="AJ599" t="n">
        <v>12</v>
      </c>
      <c r="AK599" t="n">
        <v>12</v>
      </c>
      <c r="AL599" t="n">
        <v>5</v>
      </c>
      <c r="AM599" t="n">
        <v>5</v>
      </c>
      <c r="AN599" t="n">
        <v>0</v>
      </c>
      <c r="AO599" t="n">
        <v>0</v>
      </c>
      <c r="AP599" t="inlineStr">
        <is>
          <t>No</t>
        </is>
      </c>
      <c r="AQ599" t="inlineStr">
        <is>
          <t>Yes</t>
        </is>
      </c>
      <c r="AR599">
        <f>HYPERLINK("http://catalog.hathitrust.org/Record/001515776","HathiTrust Record")</f>
        <v/>
      </c>
      <c r="AS599">
        <f>HYPERLINK("https://creighton-primo.hosted.exlibrisgroup.com/primo-explore/search?tab=default_tab&amp;search_scope=EVERYTHING&amp;vid=01CRU&amp;lang=en_US&amp;offset=0&amp;query=any,contains,991002292179702656","Catalog Record")</f>
        <v/>
      </c>
      <c r="AT599">
        <f>HYPERLINK("http://www.worldcat.org/oclc/313564","WorldCat Record")</f>
        <v/>
      </c>
      <c r="AU599" t="inlineStr">
        <is>
          <t>117215618:eng</t>
        </is>
      </c>
      <c r="AV599" t="inlineStr">
        <is>
          <t>313564</t>
        </is>
      </c>
      <c r="AW599" t="inlineStr">
        <is>
          <t>991002292179702656</t>
        </is>
      </c>
      <c r="AX599" t="inlineStr">
        <is>
          <t>991002292179702656</t>
        </is>
      </c>
      <c r="AY599" t="inlineStr">
        <is>
          <t>2269713140002656</t>
        </is>
      </c>
      <c r="AZ599" t="inlineStr">
        <is>
          <t>BOOK</t>
        </is>
      </c>
      <c r="BC599" t="inlineStr">
        <is>
          <t>32285000972033</t>
        </is>
      </c>
      <c r="BD599" t="inlineStr">
        <is>
          <t>893879738</t>
        </is>
      </c>
    </row>
    <row r="600">
      <c r="A600" t="inlineStr">
        <is>
          <t>No</t>
        </is>
      </c>
      <c r="B600" t="inlineStr">
        <is>
          <t>QL615 .N6 1975b</t>
        </is>
      </c>
      <c r="C600" t="inlineStr">
        <is>
          <t>0                      QL 0615000N  6           1975b</t>
        </is>
      </c>
      <c r="D600" t="inlineStr">
        <is>
          <t>A history of fishes / J. R. Norman ; illustrations by W. P. C. Tenison. --</t>
        </is>
      </c>
      <c r="F600" t="inlineStr">
        <is>
          <t>No</t>
        </is>
      </c>
      <c r="G600" t="inlineStr">
        <is>
          <t>1</t>
        </is>
      </c>
      <c r="H600" t="inlineStr">
        <is>
          <t>No</t>
        </is>
      </c>
      <c r="I600" t="inlineStr">
        <is>
          <t>No</t>
        </is>
      </c>
      <c r="J600" t="inlineStr">
        <is>
          <t>0</t>
        </is>
      </c>
      <c r="K600" t="inlineStr">
        <is>
          <t>Norman, J. R. (John Roxborough), 1898-1944.</t>
        </is>
      </c>
      <c r="L600" t="inlineStr">
        <is>
          <t>London : E. Benn, 1975.</t>
        </is>
      </c>
      <c r="M600" t="inlineStr">
        <is>
          <t>1975</t>
        </is>
      </c>
      <c r="N600" t="inlineStr">
        <is>
          <t>3rd [revised] ed. / by P. H. Greenwood. --</t>
        </is>
      </c>
      <c r="O600" t="inlineStr">
        <is>
          <t>eng</t>
        </is>
      </c>
      <c r="P600" t="inlineStr">
        <is>
          <t>enk</t>
        </is>
      </c>
      <c r="R600" t="inlineStr">
        <is>
          <t xml:space="preserve">QL </t>
        </is>
      </c>
      <c r="S600" t="n">
        <v>21</v>
      </c>
      <c r="T600" t="n">
        <v>21</v>
      </c>
      <c r="U600" t="inlineStr">
        <is>
          <t>2006-03-23</t>
        </is>
      </c>
      <c r="V600" t="inlineStr">
        <is>
          <t>2006-03-23</t>
        </is>
      </c>
      <c r="W600" t="inlineStr">
        <is>
          <t>1993-02-11</t>
        </is>
      </c>
      <c r="X600" t="inlineStr">
        <is>
          <t>1993-02-11</t>
        </is>
      </c>
      <c r="Y600" t="n">
        <v>278</v>
      </c>
      <c r="Z600" t="n">
        <v>154</v>
      </c>
      <c r="AA600" t="n">
        <v>853</v>
      </c>
      <c r="AB600" t="n">
        <v>2</v>
      </c>
      <c r="AC600" t="n">
        <v>9</v>
      </c>
      <c r="AD600" t="n">
        <v>6</v>
      </c>
      <c r="AE600" t="n">
        <v>27</v>
      </c>
      <c r="AF600" t="n">
        <v>1</v>
      </c>
      <c r="AG600" t="n">
        <v>9</v>
      </c>
      <c r="AH600" t="n">
        <v>1</v>
      </c>
      <c r="AI600" t="n">
        <v>4</v>
      </c>
      <c r="AJ600" t="n">
        <v>3</v>
      </c>
      <c r="AK600" t="n">
        <v>10</v>
      </c>
      <c r="AL600" t="n">
        <v>1</v>
      </c>
      <c r="AM600" t="n">
        <v>8</v>
      </c>
      <c r="AN600" t="n">
        <v>0</v>
      </c>
      <c r="AO600" t="n">
        <v>0</v>
      </c>
      <c r="AP600" t="inlineStr">
        <is>
          <t>No</t>
        </is>
      </c>
      <c r="AQ600" t="inlineStr">
        <is>
          <t>Yes</t>
        </is>
      </c>
      <c r="AR600">
        <f>HYPERLINK("http://catalog.hathitrust.org/Record/007198054","HathiTrust Record")</f>
        <v/>
      </c>
      <c r="AS600">
        <f>HYPERLINK("https://creighton-primo.hosted.exlibrisgroup.com/primo-explore/search?tab=default_tab&amp;search_scope=EVERYTHING&amp;vid=01CRU&amp;lang=en_US&amp;offset=0&amp;query=any,contains,991003903639702656","Catalog Record")</f>
        <v/>
      </c>
      <c r="AT600">
        <f>HYPERLINK("http://www.worldcat.org/oclc/1831886","WorldCat Record")</f>
        <v/>
      </c>
      <c r="AU600" t="inlineStr">
        <is>
          <t>1617571:eng</t>
        </is>
      </c>
      <c r="AV600" t="inlineStr">
        <is>
          <t>1831886</t>
        </is>
      </c>
      <c r="AW600" t="inlineStr">
        <is>
          <t>991003903639702656</t>
        </is>
      </c>
      <c r="AX600" t="inlineStr">
        <is>
          <t>991003903639702656</t>
        </is>
      </c>
      <c r="AY600" t="inlineStr">
        <is>
          <t>2260090610002656</t>
        </is>
      </c>
      <c r="AZ600" t="inlineStr">
        <is>
          <t>BOOK</t>
        </is>
      </c>
      <c r="BB600" t="inlineStr">
        <is>
          <t>9780510225001</t>
        </is>
      </c>
      <c r="BC600" t="inlineStr">
        <is>
          <t>32285001532521</t>
        </is>
      </c>
      <c r="BD600" t="inlineStr">
        <is>
          <t>893234804</t>
        </is>
      </c>
    </row>
    <row r="601">
      <c r="A601" t="inlineStr">
        <is>
          <t>No</t>
        </is>
      </c>
      <c r="B601" t="inlineStr">
        <is>
          <t>QL615 .S74 1976</t>
        </is>
      </c>
      <c r="C601" t="inlineStr">
        <is>
          <t>0                      QL 0615000S  74          1976</t>
        </is>
      </c>
      <c r="D601" t="inlineStr">
        <is>
          <t>An age of fishes : the development of the most successful vertebrate / Joy O. I. Spoczynska ; illustrated by Melchior Spoczynski.</t>
        </is>
      </c>
      <c r="F601" t="inlineStr">
        <is>
          <t>No</t>
        </is>
      </c>
      <c r="G601" t="inlineStr">
        <is>
          <t>1</t>
        </is>
      </c>
      <c r="H601" t="inlineStr">
        <is>
          <t>No</t>
        </is>
      </c>
      <c r="I601" t="inlineStr">
        <is>
          <t>No</t>
        </is>
      </c>
      <c r="J601" t="inlineStr">
        <is>
          <t>0</t>
        </is>
      </c>
      <c r="K601" t="inlineStr">
        <is>
          <t>Spoczynska, Joy O. I.</t>
        </is>
      </c>
      <c r="L601" t="inlineStr">
        <is>
          <t>New York : Scribner, c1976.</t>
        </is>
      </c>
      <c r="M601" t="inlineStr">
        <is>
          <t>1976</t>
        </is>
      </c>
      <c r="O601" t="inlineStr">
        <is>
          <t>eng</t>
        </is>
      </c>
      <c r="P601" t="inlineStr">
        <is>
          <t>nyu</t>
        </is>
      </c>
      <c r="R601" t="inlineStr">
        <is>
          <t xml:space="preserve">QL </t>
        </is>
      </c>
      <c r="S601" t="n">
        <v>8</v>
      </c>
      <c r="T601" t="n">
        <v>8</v>
      </c>
      <c r="U601" t="inlineStr">
        <is>
          <t>2004-03-16</t>
        </is>
      </c>
      <c r="V601" t="inlineStr">
        <is>
          <t>2004-03-16</t>
        </is>
      </c>
      <c r="W601" t="inlineStr">
        <is>
          <t>1997-07-25</t>
        </is>
      </c>
      <c r="X601" t="inlineStr">
        <is>
          <t>1997-07-25</t>
        </is>
      </c>
      <c r="Y601" t="n">
        <v>392</v>
      </c>
      <c r="Z601" t="n">
        <v>363</v>
      </c>
      <c r="AA601" t="n">
        <v>390</v>
      </c>
      <c r="AB601" t="n">
        <v>4</v>
      </c>
      <c r="AC601" t="n">
        <v>4</v>
      </c>
      <c r="AD601" t="n">
        <v>8</v>
      </c>
      <c r="AE601" t="n">
        <v>8</v>
      </c>
      <c r="AF601" t="n">
        <v>4</v>
      </c>
      <c r="AG601" t="n">
        <v>4</v>
      </c>
      <c r="AH601" t="n">
        <v>1</v>
      </c>
      <c r="AI601" t="n">
        <v>1</v>
      </c>
      <c r="AJ601" t="n">
        <v>1</v>
      </c>
      <c r="AK601" t="n">
        <v>1</v>
      </c>
      <c r="AL601" t="n">
        <v>2</v>
      </c>
      <c r="AM601" t="n">
        <v>2</v>
      </c>
      <c r="AN601" t="n">
        <v>0</v>
      </c>
      <c r="AO601" t="n">
        <v>0</v>
      </c>
      <c r="AP601" t="inlineStr">
        <is>
          <t>No</t>
        </is>
      </c>
      <c r="AQ601" t="inlineStr">
        <is>
          <t>Yes</t>
        </is>
      </c>
      <c r="AR601">
        <f>HYPERLINK("http://catalog.hathitrust.org/Record/000694762","HathiTrust Record")</f>
        <v/>
      </c>
      <c r="AS601">
        <f>HYPERLINK("https://creighton-primo.hosted.exlibrisgroup.com/primo-explore/search?tab=default_tab&amp;search_scope=EVERYTHING&amp;vid=01CRU&amp;lang=en_US&amp;offset=0&amp;query=any,contains,991004037419702656","Catalog Record")</f>
        <v/>
      </c>
      <c r="AT601">
        <f>HYPERLINK("http://www.worldcat.org/oclc/2176470","WorldCat Record")</f>
        <v/>
      </c>
      <c r="AU601" t="inlineStr">
        <is>
          <t>962095189:eng</t>
        </is>
      </c>
      <c r="AV601" t="inlineStr">
        <is>
          <t>2176470</t>
        </is>
      </c>
      <c r="AW601" t="inlineStr">
        <is>
          <t>991004037419702656</t>
        </is>
      </c>
      <c r="AX601" t="inlineStr">
        <is>
          <t>991004037419702656</t>
        </is>
      </c>
      <c r="AY601" t="inlineStr">
        <is>
          <t>2264863090002656</t>
        </is>
      </c>
      <c r="AZ601" t="inlineStr">
        <is>
          <t>BOOK</t>
        </is>
      </c>
      <c r="BB601" t="inlineStr">
        <is>
          <t>9780684144955</t>
        </is>
      </c>
      <c r="BC601" t="inlineStr">
        <is>
          <t>32285002981511</t>
        </is>
      </c>
      <c r="BD601" t="inlineStr">
        <is>
          <t>893712075</t>
        </is>
      </c>
    </row>
    <row r="602">
      <c r="A602" t="inlineStr">
        <is>
          <t>No</t>
        </is>
      </c>
      <c r="B602" t="inlineStr">
        <is>
          <t>QL615 .S76</t>
        </is>
      </c>
      <c r="C602" t="inlineStr">
        <is>
          <t>0                      QL 0615000S  76</t>
        </is>
      </c>
      <c r="D602" t="inlineStr">
        <is>
          <t>Stress and fish / edited by A.D. Pickering.</t>
        </is>
      </c>
      <c r="F602" t="inlineStr">
        <is>
          <t>No</t>
        </is>
      </c>
      <c r="G602" t="inlineStr">
        <is>
          <t>1</t>
        </is>
      </c>
      <c r="H602" t="inlineStr">
        <is>
          <t>No</t>
        </is>
      </c>
      <c r="I602" t="inlineStr">
        <is>
          <t>No</t>
        </is>
      </c>
      <c r="J602" t="inlineStr">
        <is>
          <t>0</t>
        </is>
      </c>
      <c r="L602" t="inlineStr">
        <is>
          <t>London ; New York : Academic Press, 1981.</t>
        </is>
      </c>
      <c r="M602" t="inlineStr">
        <is>
          <t>1981</t>
        </is>
      </c>
      <c r="O602" t="inlineStr">
        <is>
          <t>eng</t>
        </is>
      </c>
      <c r="P602" t="inlineStr">
        <is>
          <t>enk</t>
        </is>
      </c>
      <c r="R602" t="inlineStr">
        <is>
          <t xml:space="preserve">QL </t>
        </is>
      </c>
      <c r="S602" t="n">
        <v>4</v>
      </c>
      <c r="T602" t="n">
        <v>4</v>
      </c>
      <c r="U602" t="inlineStr">
        <is>
          <t>1994-01-04</t>
        </is>
      </c>
      <c r="V602" t="inlineStr">
        <is>
          <t>1994-01-04</t>
        </is>
      </c>
      <c r="W602" t="inlineStr">
        <is>
          <t>1992-07-30</t>
        </is>
      </c>
      <c r="X602" t="inlineStr">
        <is>
          <t>1992-07-30</t>
        </is>
      </c>
      <c r="Y602" t="n">
        <v>305</v>
      </c>
      <c r="Z602" t="n">
        <v>191</v>
      </c>
      <c r="AA602" t="n">
        <v>193</v>
      </c>
      <c r="AB602" t="n">
        <v>3</v>
      </c>
      <c r="AC602" t="n">
        <v>3</v>
      </c>
      <c r="AD602" t="n">
        <v>5</v>
      </c>
      <c r="AE602" t="n">
        <v>5</v>
      </c>
      <c r="AF602" t="n">
        <v>1</v>
      </c>
      <c r="AG602" t="n">
        <v>1</v>
      </c>
      <c r="AH602" t="n">
        <v>2</v>
      </c>
      <c r="AI602" t="n">
        <v>2</v>
      </c>
      <c r="AJ602" t="n">
        <v>0</v>
      </c>
      <c r="AK602" t="n">
        <v>0</v>
      </c>
      <c r="AL602" t="n">
        <v>2</v>
      </c>
      <c r="AM602" t="n">
        <v>2</v>
      </c>
      <c r="AN602" t="n">
        <v>0</v>
      </c>
      <c r="AO602" t="n">
        <v>0</v>
      </c>
      <c r="AP602" t="inlineStr">
        <is>
          <t>No</t>
        </is>
      </c>
      <c r="AQ602" t="inlineStr">
        <is>
          <t>Yes</t>
        </is>
      </c>
      <c r="AR602">
        <f>HYPERLINK("http://catalog.hathitrust.org/Record/000310572","HathiTrust Record")</f>
        <v/>
      </c>
      <c r="AS602">
        <f>HYPERLINK("https://creighton-primo.hosted.exlibrisgroup.com/primo-explore/search?tab=default_tab&amp;search_scope=EVERYTHING&amp;vid=01CRU&amp;lang=en_US&amp;offset=0&amp;query=any,contains,991005192759702656","Catalog Record")</f>
        <v/>
      </c>
      <c r="AT602">
        <f>HYPERLINK("http://www.worldcat.org/oclc/8029096","WorldCat Record")</f>
        <v/>
      </c>
      <c r="AU602" t="inlineStr">
        <is>
          <t>409565:eng</t>
        </is>
      </c>
      <c r="AV602" t="inlineStr">
        <is>
          <t>8029096</t>
        </is>
      </c>
      <c r="AW602" t="inlineStr">
        <is>
          <t>991005192759702656</t>
        </is>
      </c>
      <c r="AX602" t="inlineStr">
        <is>
          <t>991005192759702656</t>
        </is>
      </c>
      <c r="AY602" t="inlineStr">
        <is>
          <t>2266172560002656</t>
        </is>
      </c>
      <c r="AZ602" t="inlineStr">
        <is>
          <t>BOOK</t>
        </is>
      </c>
      <c r="BB602" t="inlineStr">
        <is>
          <t>9780125545501</t>
        </is>
      </c>
      <c r="BC602" t="inlineStr">
        <is>
          <t>32285001240133</t>
        </is>
      </c>
      <c r="BD602" t="inlineStr">
        <is>
          <t>893326336</t>
        </is>
      </c>
    </row>
    <row r="603">
      <c r="A603" t="inlineStr">
        <is>
          <t>No</t>
        </is>
      </c>
      <c r="B603" t="inlineStr">
        <is>
          <t>QL617 .L34</t>
        </is>
      </c>
      <c r="C603" t="inlineStr">
        <is>
          <t>0                      QL 0617000L  34</t>
        </is>
      </c>
      <c r="D603" t="inlineStr">
        <is>
          <t>The fishes.</t>
        </is>
      </c>
      <c r="F603" t="inlineStr">
        <is>
          <t>No</t>
        </is>
      </c>
      <c r="G603" t="inlineStr">
        <is>
          <t>1</t>
        </is>
      </c>
      <c r="H603" t="inlineStr">
        <is>
          <t>No</t>
        </is>
      </c>
      <c r="I603" t="inlineStr">
        <is>
          <t>No</t>
        </is>
      </c>
      <c r="J603" t="inlineStr">
        <is>
          <t>0</t>
        </is>
      </c>
      <c r="K603" t="inlineStr">
        <is>
          <t>Lanham, Url, 1918-1999.</t>
        </is>
      </c>
      <c r="L603" t="inlineStr">
        <is>
          <t>New York, Columbia University Press, 1962.</t>
        </is>
      </c>
      <c r="M603" t="inlineStr">
        <is>
          <t>1962</t>
        </is>
      </c>
      <c r="O603" t="inlineStr">
        <is>
          <t>eng</t>
        </is>
      </c>
      <c r="P603" t="inlineStr">
        <is>
          <t>nyu</t>
        </is>
      </c>
      <c r="R603" t="inlineStr">
        <is>
          <t xml:space="preserve">QL </t>
        </is>
      </c>
      <c r="S603" t="n">
        <v>13</v>
      </c>
      <c r="T603" t="n">
        <v>13</v>
      </c>
      <c r="U603" t="inlineStr">
        <is>
          <t>2006-03-22</t>
        </is>
      </c>
      <c r="V603" t="inlineStr">
        <is>
          <t>2006-03-22</t>
        </is>
      </c>
      <c r="W603" t="inlineStr">
        <is>
          <t>1997-07-25</t>
        </is>
      </c>
      <c r="X603" t="inlineStr">
        <is>
          <t>1997-07-25</t>
        </is>
      </c>
      <c r="Y603" t="n">
        <v>479</v>
      </c>
      <c r="Z603" t="n">
        <v>435</v>
      </c>
      <c r="AA603" t="n">
        <v>460</v>
      </c>
      <c r="AB603" t="n">
        <v>3</v>
      </c>
      <c r="AC603" t="n">
        <v>3</v>
      </c>
      <c r="AD603" t="n">
        <v>12</v>
      </c>
      <c r="AE603" t="n">
        <v>13</v>
      </c>
      <c r="AF603" t="n">
        <v>6</v>
      </c>
      <c r="AG603" t="n">
        <v>6</v>
      </c>
      <c r="AH603" t="n">
        <v>3</v>
      </c>
      <c r="AI603" t="n">
        <v>3</v>
      </c>
      <c r="AJ603" t="n">
        <v>5</v>
      </c>
      <c r="AK603" t="n">
        <v>6</v>
      </c>
      <c r="AL603" t="n">
        <v>2</v>
      </c>
      <c r="AM603" t="n">
        <v>2</v>
      </c>
      <c r="AN603" t="n">
        <v>0</v>
      </c>
      <c r="AO603" t="n">
        <v>0</v>
      </c>
      <c r="AP603" t="inlineStr">
        <is>
          <t>No</t>
        </is>
      </c>
      <c r="AQ603" t="inlineStr">
        <is>
          <t>Yes</t>
        </is>
      </c>
      <c r="AR603">
        <f>HYPERLINK("http://catalog.hathitrust.org/Record/001500766","HathiTrust Record")</f>
        <v/>
      </c>
      <c r="AS603">
        <f>HYPERLINK("https://creighton-primo.hosted.exlibrisgroup.com/primo-explore/search?tab=default_tab&amp;search_scope=EVERYTHING&amp;vid=01CRU&amp;lang=en_US&amp;offset=0&amp;query=any,contains,991002868539702656","Catalog Record")</f>
        <v/>
      </c>
      <c r="AT603">
        <f>HYPERLINK("http://www.worldcat.org/oclc/497611","WorldCat Record")</f>
        <v/>
      </c>
      <c r="AU603" t="inlineStr">
        <is>
          <t>1591718:eng</t>
        </is>
      </c>
      <c r="AV603" t="inlineStr">
        <is>
          <t>497611</t>
        </is>
      </c>
      <c r="AW603" t="inlineStr">
        <is>
          <t>991002868539702656</t>
        </is>
      </c>
      <c r="AX603" t="inlineStr">
        <is>
          <t>991002868539702656</t>
        </is>
      </c>
      <c r="AY603" t="inlineStr">
        <is>
          <t>2271914050002656</t>
        </is>
      </c>
      <c r="AZ603" t="inlineStr">
        <is>
          <t>BOOK</t>
        </is>
      </c>
      <c r="BC603" t="inlineStr">
        <is>
          <t>32285002981529</t>
        </is>
      </c>
      <c r="BD603" t="inlineStr">
        <is>
          <t>893799111</t>
        </is>
      </c>
    </row>
    <row r="604">
      <c r="A604" t="inlineStr">
        <is>
          <t>No</t>
        </is>
      </c>
      <c r="B604" t="inlineStr">
        <is>
          <t>QL618 .E88 1990</t>
        </is>
      </c>
      <c r="C604" t="inlineStr">
        <is>
          <t>0                      QL 0618000E  88          1990</t>
        </is>
      </c>
      <c r="D604" t="inlineStr">
        <is>
          <t>Catalog of the genera of recent fishes / William N. Eschmeyer.</t>
        </is>
      </c>
      <c r="F604" t="inlineStr">
        <is>
          <t>No</t>
        </is>
      </c>
      <c r="G604" t="inlineStr">
        <is>
          <t>1</t>
        </is>
      </c>
      <c r="H604" t="inlineStr">
        <is>
          <t>No</t>
        </is>
      </c>
      <c r="I604" t="inlineStr">
        <is>
          <t>No</t>
        </is>
      </c>
      <c r="J604" t="inlineStr">
        <is>
          <t>0</t>
        </is>
      </c>
      <c r="K604" t="inlineStr">
        <is>
          <t>Eschmeyer, William N.</t>
        </is>
      </c>
      <c r="L604" t="inlineStr">
        <is>
          <t>San Francisco : California Academy of Sciences, 1990.</t>
        </is>
      </c>
      <c r="M604" t="inlineStr">
        <is>
          <t>1990</t>
        </is>
      </c>
      <c r="O604" t="inlineStr">
        <is>
          <t>eng</t>
        </is>
      </c>
      <c r="P604" t="inlineStr">
        <is>
          <t>cau</t>
        </is>
      </c>
      <c r="R604" t="inlineStr">
        <is>
          <t xml:space="preserve">QL </t>
        </is>
      </c>
      <c r="S604" t="n">
        <v>8</v>
      </c>
      <c r="T604" t="n">
        <v>8</v>
      </c>
      <c r="U604" t="inlineStr">
        <is>
          <t>1998-04-29</t>
        </is>
      </c>
      <c r="V604" t="inlineStr">
        <is>
          <t>1998-04-29</t>
        </is>
      </c>
      <c r="W604" t="inlineStr">
        <is>
          <t>1992-08-12</t>
        </is>
      </c>
      <c r="X604" t="inlineStr">
        <is>
          <t>1992-08-12</t>
        </is>
      </c>
      <c r="Y604" t="n">
        <v>153</v>
      </c>
      <c r="Z604" t="n">
        <v>108</v>
      </c>
      <c r="AA604" t="n">
        <v>109</v>
      </c>
      <c r="AB604" t="n">
        <v>1</v>
      </c>
      <c r="AC604" t="n">
        <v>1</v>
      </c>
      <c r="AD604" t="n">
        <v>1</v>
      </c>
      <c r="AE604" t="n">
        <v>1</v>
      </c>
      <c r="AF604" t="n">
        <v>1</v>
      </c>
      <c r="AG604" t="n">
        <v>1</v>
      </c>
      <c r="AH604" t="n">
        <v>0</v>
      </c>
      <c r="AI604" t="n">
        <v>0</v>
      </c>
      <c r="AJ604" t="n">
        <v>0</v>
      </c>
      <c r="AK604" t="n">
        <v>0</v>
      </c>
      <c r="AL604" t="n">
        <v>0</v>
      </c>
      <c r="AM604" t="n">
        <v>0</v>
      </c>
      <c r="AN604" t="n">
        <v>0</v>
      </c>
      <c r="AO604" t="n">
        <v>0</v>
      </c>
      <c r="AP604" t="inlineStr">
        <is>
          <t>No</t>
        </is>
      </c>
      <c r="AQ604" t="inlineStr">
        <is>
          <t>Yes</t>
        </is>
      </c>
      <c r="AR604">
        <f>HYPERLINK("http://catalog.hathitrust.org/Record/002461324","HathiTrust Record")</f>
        <v/>
      </c>
      <c r="AS604">
        <f>HYPERLINK("https://creighton-primo.hosted.exlibrisgroup.com/primo-explore/search?tab=default_tab&amp;search_scope=EVERYTHING&amp;vid=01CRU&amp;lang=en_US&amp;offset=0&amp;query=any,contains,991001801549702656","Catalog Record")</f>
        <v/>
      </c>
      <c r="AT604">
        <f>HYPERLINK("http://www.worldcat.org/oclc/22653716","WorldCat Record")</f>
        <v/>
      </c>
      <c r="AU604" t="inlineStr">
        <is>
          <t>2864311966:eng</t>
        </is>
      </c>
      <c r="AV604" t="inlineStr">
        <is>
          <t>22653716</t>
        </is>
      </c>
      <c r="AW604" t="inlineStr">
        <is>
          <t>991001801549702656</t>
        </is>
      </c>
      <c r="AX604" t="inlineStr">
        <is>
          <t>991001801549702656</t>
        </is>
      </c>
      <c r="AY604" t="inlineStr">
        <is>
          <t>2256520870002656</t>
        </is>
      </c>
      <c r="AZ604" t="inlineStr">
        <is>
          <t>BOOK</t>
        </is>
      </c>
      <c r="BB604" t="inlineStr">
        <is>
          <t>9780940228238</t>
        </is>
      </c>
      <c r="BC604" t="inlineStr">
        <is>
          <t>32285001197226</t>
        </is>
      </c>
      <c r="BD604" t="inlineStr">
        <is>
          <t>893414527</t>
        </is>
      </c>
    </row>
    <row r="605">
      <c r="A605" t="inlineStr">
        <is>
          <t>No</t>
        </is>
      </c>
      <c r="B605" t="inlineStr">
        <is>
          <t>QL618 .J36 1991</t>
        </is>
      </c>
      <c r="C605" t="inlineStr">
        <is>
          <t>0                      QL 0618000J  36          1991</t>
        </is>
      </c>
      <c r="D605" t="inlineStr">
        <is>
          <t>Fish evolution and systematics : evidence from spermatozoa : with a survey of lophophorate, echinoderm, and protochordate sperm and an account of gamete cryopreservation / Barrie G.M. Jamieson with contributions by L. K.-P. Leung.</t>
        </is>
      </c>
      <c r="F605" t="inlineStr">
        <is>
          <t>No</t>
        </is>
      </c>
      <c r="G605" t="inlineStr">
        <is>
          <t>1</t>
        </is>
      </c>
      <c r="H605" t="inlineStr">
        <is>
          <t>No</t>
        </is>
      </c>
      <c r="I605" t="inlineStr">
        <is>
          <t>No</t>
        </is>
      </c>
      <c r="J605" t="inlineStr">
        <is>
          <t>0</t>
        </is>
      </c>
      <c r="K605" t="inlineStr">
        <is>
          <t>Jamieson, Barrie G. M. (Barrie Gillean Molyneux)</t>
        </is>
      </c>
      <c r="L605" t="inlineStr">
        <is>
          <t>Cambridge ; New York : Cambridge University Press, 1991.</t>
        </is>
      </c>
      <c r="M605" t="inlineStr">
        <is>
          <t>1991</t>
        </is>
      </c>
      <c r="O605" t="inlineStr">
        <is>
          <t>eng</t>
        </is>
      </c>
      <c r="P605" t="inlineStr">
        <is>
          <t>enk</t>
        </is>
      </c>
      <c r="R605" t="inlineStr">
        <is>
          <t xml:space="preserve">QL </t>
        </is>
      </c>
      <c r="S605" t="n">
        <v>8</v>
      </c>
      <c r="T605" t="n">
        <v>8</v>
      </c>
      <c r="U605" t="inlineStr">
        <is>
          <t>2009-03-19</t>
        </is>
      </c>
      <c r="V605" t="inlineStr">
        <is>
          <t>2009-03-19</t>
        </is>
      </c>
      <c r="W605" t="inlineStr">
        <is>
          <t>1994-03-11</t>
        </is>
      </c>
      <c r="X605" t="inlineStr">
        <is>
          <t>1994-03-11</t>
        </is>
      </c>
      <c r="Y605" t="n">
        <v>256</v>
      </c>
      <c r="Z605" t="n">
        <v>187</v>
      </c>
      <c r="AA605" t="n">
        <v>190</v>
      </c>
      <c r="AB605" t="n">
        <v>2</v>
      </c>
      <c r="AC605" t="n">
        <v>2</v>
      </c>
      <c r="AD605" t="n">
        <v>3</v>
      </c>
      <c r="AE605" t="n">
        <v>3</v>
      </c>
      <c r="AF605" t="n">
        <v>0</v>
      </c>
      <c r="AG605" t="n">
        <v>0</v>
      </c>
      <c r="AH605" t="n">
        <v>1</v>
      </c>
      <c r="AI605" t="n">
        <v>1</v>
      </c>
      <c r="AJ605" t="n">
        <v>1</v>
      </c>
      <c r="AK605" t="n">
        <v>1</v>
      </c>
      <c r="AL605" t="n">
        <v>1</v>
      </c>
      <c r="AM605" t="n">
        <v>1</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HYPERLINK("https://creighton-primo.hosted.exlibrisgroup.com/primo-explore/search?tab=default_tab&amp;search_scope=EVERYTHING&amp;vid=01CRU&amp;lang=en_US&amp;offset=0&amp;query=any,contains,991001850779702656","Catalog Record")</f>
        <v/>
      </c>
      <c r="AT605">
        <f>HYPERLINK("http://www.worldcat.org/oclc/23219788","WorldCat Record")</f>
        <v/>
      </c>
      <c r="AU605" t="inlineStr">
        <is>
          <t>1010956466:eng</t>
        </is>
      </c>
      <c r="AV605" t="inlineStr">
        <is>
          <t>23219788</t>
        </is>
      </c>
      <c r="AW605" t="inlineStr">
        <is>
          <t>991001850779702656</t>
        </is>
      </c>
      <c r="AX605" t="inlineStr">
        <is>
          <t>991001850779702656</t>
        </is>
      </c>
      <c r="AY605" t="inlineStr">
        <is>
          <t>2258741150002656</t>
        </is>
      </c>
      <c r="AZ605" t="inlineStr">
        <is>
          <t>BOOK</t>
        </is>
      </c>
      <c r="BB605" t="inlineStr">
        <is>
          <t>9780521413046</t>
        </is>
      </c>
      <c r="BC605" t="inlineStr">
        <is>
          <t>32285001856029</t>
        </is>
      </c>
      <c r="BD605" t="inlineStr">
        <is>
          <t>893590691</t>
        </is>
      </c>
    </row>
    <row r="606">
      <c r="A606" t="inlineStr">
        <is>
          <t>No</t>
        </is>
      </c>
      <c r="B606" t="inlineStr">
        <is>
          <t>QL618 .N4 2006</t>
        </is>
      </c>
      <c r="C606" t="inlineStr">
        <is>
          <t>0                      QL 0618000N  4           2006</t>
        </is>
      </c>
      <c r="D606" t="inlineStr">
        <is>
          <t>Fishes of the world / Joseph S. Nelson.</t>
        </is>
      </c>
      <c r="F606" t="inlineStr">
        <is>
          <t>No</t>
        </is>
      </c>
      <c r="G606" t="inlineStr">
        <is>
          <t>1</t>
        </is>
      </c>
      <c r="H606" t="inlineStr">
        <is>
          <t>No</t>
        </is>
      </c>
      <c r="I606" t="inlineStr">
        <is>
          <t>No</t>
        </is>
      </c>
      <c r="J606" t="inlineStr">
        <is>
          <t>0</t>
        </is>
      </c>
      <c r="K606" t="inlineStr">
        <is>
          <t>Nelson, Joseph S.</t>
        </is>
      </c>
      <c r="L606" t="inlineStr">
        <is>
          <t>Hoboken, N.J. : John Wiley, c2006.</t>
        </is>
      </c>
      <c r="M606" t="inlineStr">
        <is>
          <t>2006</t>
        </is>
      </c>
      <c r="N606" t="inlineStr">
        <is>
          <t>4th ed.</t>
        </is>
      </c>
      <c r="O606" t="inlineStr">
        <is>
          <t>eng</t>
        </is>
      </c>
      <c r="P606" t="inlineStr">
        <is>
          <t>nju</t>
        </is>
      </c>
      <c r="R606" t="inlineStr">
        <is>
          <t xml:space="preserve">QL </t>
        </is>
      </c>
      <c r="S606" t="n">
        <v>5</v>
      </c>
      <c r="T606" t="n">
        <v>5</v>
      </c>
      <c r="U606" t="inlineStr">
        <is>
          <t>2009-03-05</t>
        </is>
      </c>
      <c r="V606" t="inlineStr">
        <is>
          <t>2009-03-05</t>
        </is>
      </c>
      <c r="W606" t="inlineStr">
        <is>
          <t>2006-05-15</t>
        </is>
      </c>
      <c r="X606" t="inlineStr">
        <is>
          <t>2006-05-15</t>
        </is>
      </c>
      <c r="Y606" t="n">
        <v>462</v>
      </c>
      <c r="Z606" t="n">
        <v>309</v>
      </c>
      <c r="AA606" t="n">
        <v>1464</v>
      </c>
      <c r="AB606" t="n">
        <v>2</v>
      </c>
      <c r="AC606" t="n">
        <v>12</v>
      </c>
      <c r="AD606" t="n">
        <v>9</v>
      </c>
      <c r="AE606" t="n">
        <v>47</v>
      </c>
      <c r="AF606" t="n">
        <v>5</v>
      </c>
      <c r="AG606" t="n">
        <v>21</v>
      </c>
      <c r="AH606" t="n">
        <v>1</v>
      </c>
      <c r="AI606" t="n">
        <v>8</v>
      </c>
      <c r="AJ606" t="n">
        <v>5</v>
      </c>
      <c r="AK606" t="n">
        <v>19</v>
      </c>
      <c r="AL606" t="n">
        <v>0</v>
      </c>
      <c r="AM606" t="n">
        <v>9</v>
      </c>
      <c r="AN606" t="n">
        <v>0</v>
      </c>
      <c r="AO606" t="n">
        <v>1</v>
      </c>
      <c r="AP606" t="inlineStr">
        <is>
          <t>No</t>
        </is>
      </c>
      <c r="AQ606" t="inlineStr">
        <is>
          <t>Yes</t>
        </is>
      </c>
      <c r="AR606">
        <f>HYPERLINK("http://catalog.hathitrust.org/Record/005143215","HathiTrust Record")</f>
        <v/>
      </c>
      <c r="AS606">
        <f>HYPERLINK("https://creighton-primo.hosted.exlibrisgroup.com/primo-explore/search?tab=default_tab&amp;search_scope=EVERYTHING&amp;vid=01CRU&amp;lang=en_US&amp;offset=0&amp;query=any,contains,991004781789702656","Catalog Record")</f>
        <v/>
      </c>
      <c r="AT606">
        <f>HYPERLINK("http://www.worldcat.org/oclc/62324946","WorldCat Record")</f>
        <v/>
      </c>
      <c r="AU606" t="inlineStr">
        <is>
          <t>4286546:eng</t>
        </is>
      </c>
      <c r="AV606" t="inlineStr">
        <is>
          <t>62324946</t>
        </is>
      </c>
      <c r="AW606" t="inlineStr">
        <is>
          <t>991004781789702656</t>
        </is>
      </c>
      <c r="AX606" t="inlineStr">
        <is>
          <t>991004781789702656</t>
        </is>
      </c>
      <c r="AY606" t="inlineStr">
        <is>
          <t>2264578090002656</t>
        </is>
      </c>
      <c r="AZ606" t="inlineStr">
        <is>
          <t>BOOK</t>
        </is>
      </c>
      <c r="BB606" t="inlineStr">
        <is>
          <t>9780471250319</t>
        </is>
      </c>
      <c r="BC606" t="inlineStr">
        <is>
          <t>32285005187207</t>
        </is>
      </c>
      <c r="BD606" t="inlineStr">
        <is>
          <t>893254088</t>
        </is>
      </c>
    </row>
    <row r="607">
      <c r="A607" t="inlineStr">
        <is>
          <t>No</t>
        </is>
      </c>
      <c r="B607" t="inlineStr">
        <is>
          <t>QL618.2 .E96 1984</t>
        </is>
      </c>
      <c r="C607" t="inlineStr">
        <is>
          <t>0                      QL 0618200E  96          1984</t>
        </is>
      </c>
      <c r="D607" t="inlineStr">
        <is>
          <t>Evolutionary genetics of fishes / edited by Bruce J. Turner.</t>
        </is>
      </c>
      <c r="F607" t="inlineStr">
        <is>
          <t>No</t>
        </is>
      </c>
      <c r="G607" t="inlineStr">
        <is>
          <t>1</t>
        </is>
      </c>
      <c r="H607" t="inlineStr">
        <is>
          <t>No</t>
        </is>
      </c>
      <c r="I607" t="inlineStr">
        <is>
          <t>No</t>
        </is>
      </c>
      <c r="J607" t="inlineStr">
        <is>
          <t>0</t>
        </is>
      </c>
      <c r="L607" t="inlineStr">
        <is>
          <t>New York : Plenum Press, c1984.</t>
        </is>
      </c>
      <c r="M607" t="inlineStr">
        <is>
          <t>1984</t>
        </is>
      </c>
      <c r="O607" t="inlineStr">
        <is>
          <t>eng</t>
        </is>
      </c>
      <c r="P607" t="inlineStr">
        <is>
          <t>nyu</t>
        </is>
      </c>
      <c r="Q607" t="inlineStr">
        <is>
          <t>Monographs in evolutionary biology</t>
        </is>
      </c>
      <c r="R607" t="inlineStr">
        <is>
          <t xml:space="preserve">QL </t>
        </is>
      </c>
      <c r="S607" t="n">
        <v>3</v>
      </c>
      <c r="T607" t="n">
        <v>3</v>
      </c>
      <c r="U607" t="inlineStr">
        <is>
          <t>1999-07-01</t>
        </is>
      </c>
      <c r="V607" t="inlineStr">
        <is>
          <t>1999-07-01</t>
        </is>
      </c>
      <c r="W607" t="inlineStr">
        <is>
          <t>1991-12-20</t>
        </is>
      </c>
      <c r="X607" t="inlineStr">
        <is>
          <t>1991-12-20</t>
        </is>
      </c>
      <c r="Y607" t="n">
        <v>306</v>
      </c>
      <c r="Z607" t="n">
        <v>216</v>
      </c>
      <c r="AA607" t="n">
        <v>234</v>
      </c>
      <c r="AB607" t="n">
        <v>2</v>
      </c>
      <c r="AC607" t="n">
        <v>2</v>
      </c>
      <c r="AD607" t="n">
        <v>5</v>
      </c>
      <c r="AE607" t="n">
        <v>6</v>
      </c>
      <c r="AF607" t="n">
        <v>1</v>
      </c>
      <c r="AG607" t="n">
        <v>2</v>
      </c>
      <c r="AH607" t="n">
        <v>3</v>
      </c>
      <c r="AI607" t="n">
        <v>3</v>
      </c>
      <c r="AJ607" t="n">
        <v>2</v>
      </c>
      <c r="AK607" t="n">
        <v>3</v>
      </c>
      <c r="AL607" t="n">
        <v>1</v>
      </c>
      <c r="AM607" t="n">
        <v>1</v>
      </c>
      <c r="AN607" t="n">
        <v>0</v>
      </c>
      <c r="AO607" t="n">
        <v>0</v>
      </c>
      <c r="AP607" t="inlineStr">
        <is>
          <t>No</t>
        </is>
      </c>
      <c r="AQ607" t="inlineStr">
        <is>
          <t>Yes</t>
        </is>
      </c>
      <c r="AR607">
        <f>HYPERLINK("http://catalog.hathitrust.org/Record/000324277","HathiTrust Record")</f>
        <v/>
      </c>
      <c r="AS607">
        <f>HYPERLINK("https://creighton-primo.hosted.exlibrisgroup.com/primo-explore/search?tab=default_tab&amp;search_scope=EVERYTHING&amp;vid=01CRU&amp;lang=en_US&amp;offset=0&amp;query=any,contains,991000354239702656","Catalog Record")</f>
        <v/>
      </c>
      <c r="AT607">
        <f>HYPERLINK("http://www.worldcat.org/oclc/10323636","WorldCat Record")</f>
        <v/>
      </c>
      <c r="AU607" t="inlineStr">
        <is>
          <t>3343438:eng</t>
        </is>
      </c>
      <c r="AV607" t="inlineStr">
        <is>
          <t>10323636</t>
        </is>
      </c>
      <c r="AW607" t="inlineStr">
        <is>
          <t>991000354239702656</t>
        </is>
      </c>
      <c r="AX607" t="inlineStr">
        <is>
          <t>991000354239702656</t>
        </is>
      </c>
      <c r="AY607" t="inlineStr">
        <is>
          <t>2268692830002656</t>
        </is>
      </c>
      <c r="AZ607" t="inlineStr">
        <is>
          <t>BOOK</t>
        </is>
      </c>
      <c r="BB607" t="inlineStr">
        <is>
          <t>9780306415203</t>
        </is>
      </c>
      <c r="BC607" t="inlineStr">
        <is>
          <t>32285000908649</t>
        </is>
      </c>
      <c r="BD607" t="inlineStr">
        <is>
          <t>893890593</t>
        </is>
      </c>
    </row>
    <row r="608">
      <c r="A608" t="inlineStr">
        <is>
          <t>No</t>
        </is>
      </c>
      <c r="B608" t="inlineStr">
        <is>
          <t>QL618.2 .L66 1995</t>
        </is>
      </c>
      <c r="C608" t="inlineStr">
        <is>
          <t>0                      QL 0618200L  66          1995</t>
        </is>
      </c>
      <c r="D608" t="inlineStr">
        <is>
          <t>The rise of fishes : 500 million years of evolution / John A. Long.</t>
        </is>
      </c>
      <c r="F608" t="inlineStr">
        <is>
          <t>No</t>
        </is>
      </c>
      <c r="G608" t="inlineStr">
        <is>
          <t>1</t>
        </is>
      </c>
      <c r="H608" t="inlineStr">
        <is>
          <t>No</t>
        </is>
      </c>
      <c r="I608" t="inlineStr">
        <is>
          <t>No</t>
        </is>
      </c>
      <c r="J608" t="inlineStr">
        <is>
          <t>0</t>
        </is>
      </c>
      <c r="K608" t="inlineStr">
        <is>
          <t>Long, John A., 1957-</t>
        </is>
      </c>
      <c r="L608" t="inlineStr">
        <is>
          <t>Baltimore : Johns Hopkins University Press, 1995.</t>
        </is>
      </c>
      <c r="M608" t="inlineStr">
        <is>
          <t>1995</t>
        </is>
      </c>
      <c r="O608" t="inlineStr">
        <is>
          <t>eng</t>
        </is>
      </c>
      <c r="P608" t="inlineStr">
        <is>
          <t>mdu</t>
        </is>
      </c>
      <c r="R608" t="inlineStr">
        <is>
          <t xml:space="preserve">QL </t>
        </is>
      </c>
      <c r="S608" t="n">
        <v>7</v>
      </c>
      <c r="T608" t="n">
        <v>7</v>
      </c>
      <c r="U608" t="inlineStr">
        <is>
          <t>2007-03-26</t>
        </is>
      </c>
      <c r="V608" t="inlineStr">
        <is>
          <t>2007-03-26</t>
        </is>
      </c>
      <c r="W608" t="inlineStr">
        <is>
          <t>1996-09-09</t>
        </is>
      </c>
      <c r="X608" t="inlineStr">
        <is>
          <t>1996-09-09</t>
        </is>
      </c>
      <c r="Y608" t="n">
        <v>632</v>
      </c>
      <c r="Z608" t="n">
        <v>529</v>
      </c>
      <c r="AA608" t="n">
        <v>871</v>
      </c>
      <c r="AB608" t="n">
        <v>6</v>
      </c>
      <c r="AC608" t="n">
        <v>8</v>
      </c>
      <c r="AD608" t="n">
        <v>21</v>
      </c>
      <c r="AE608" t="n">
        <v>37</v>
      </c>
      <c r="AF608" t="n">
        <v>6</v>
      </c>
      <c r="AG608" t="n">
        <v>15</v>
      </c>
      <c r="AH608" t="n">
        <v>5</v>
      </c>
      <c r="AI608" t="n">
        <v>6</v>
      </c>
      <c r="AJ608" t="n">
        <v>10</v>
      </c>
      <c r="AK608" t="n">
        <v>17</v>
      </c>
      <c r="AL608" t="n">
        <v>5</v>
      </c>
      <c r="AM608" t="n">
        <v>7</v>
      </c>
      <c r="AN608" t="n">
        <v>0</v>
      </c>
      <c r="AO608" t="n">
        <v>0</v>
      </c>
      <c r="AP608" t="inlineStr">
        <is>
          <t>No</t>
        </is>
      </c>
      <c r="AQ608" t="inlineStr">
        <is>
          <t>Yes</t>
        </is>
      </c>
      <c r="AR608">
        <f>HYPERLINK("http://catalog.hathitrust.org/Record/002971327","HathiTrust Record")</f>
        <v/>
      </c>
      <c r="AS608">
        <f>HYPERLINK("https://creighton-primo.hosted.exlibrisgroup.com/primo-explore/search?tab=default_tab&amp;search_scope=EVERYTHING&amp;vid=01CRU&amp;lang=en_US&amp;offset=0&amp;query=any,contains,991002397159702656","Catalog Record")</f>
        <v/>
      </c>
      <c r="AT608">
        <f>HYPERLINK("http://www.worldcat.org/oclc/31134242","WorldCat Record")</f>
        <v/>
      </c>
      <c r="AU608" t="inlineStr">
        <is>
          <t>796542935:eng</t>
        </is>
      </c>
      <c r="AV608" t="inlineStr">
        <is>
          <t>31134242</t>
        </is>
      </c>
      <c r="AW608" t="inlineStr">
        <is>
          <t>991002397159702656</t>
        </is>
      </c>
      <c r="AX608" t="inlineStr">
        <is>
          <t>991002397159702656</t>
        </is>
      </c>
      <c r="AY608" t="inlineStr">
        <is>
          <t>2272763400002656</t>
        </is>
      </c>
      <c r="AZ608" t="inlineStr">
        <is>
          <t>BOOK</t>
        </is>
      </c>
      <c r="BB608" t="inlineStr">
        <is>
          <t>9780801849923</t>
        </is>
      </c>
      <c r="BC608" t="inlineStr">
        <is>
          <t>32285002315892</t>
        </is>
      </c>
      <c r="BD608" t="inlineStr">
        <is>
          <t>893341378</t>
        </is>
      </c>
    </row>
    <row r="609">
      <c r="A609" t="inlineStr">
        <is>
          <t>No</t>
        </is>
      </c>
      <c r="B609" t="inlineStr">
        <is>
          <t>QL618.2 .M37</t>
        </is>
      </c>
      <c r="C609" t="inlineStr">
        <is>
          <t>0                      QL 0618200M  37</t>
        </is>
      </c>
      <c r="D609" t="inlineStr">
        <is>
          <t>Explorations in the life of fishes [by] N. B. Marshall.</t>
        </is>
      </c>
      <c r="F609" t="inlineStr">
        <is>
          <t>No</t>
        </is>
      </c>
      <c r="G609" t="inlineStr">
        <is>
          <t>1</t>
        </is>
      </c>
      <c r="H609" t="inlineStr">
        <is>
          <t>No</t>
        </is>
      </c>
      <c r="I609" t="inlineStr">
        <is>
          <t>No</t>
        </is>
      </c>
      <c r="J609" t="inlineStr">
        <is>
          <t>0</t>
        </is>
      </c>
      <c r="K609" t="inlineStr">
        <is>
          <t>Marshall, N. B. (Norman Bertram), 1915-1996.</t>
        </is>
      </c>
      <c r="L609" t="inlineStr">
        <is>
          <t>Cambridge, Harvard University Press, 1971.</t>
        </is>
      </c>
      <c r="M609" t="inlineStr">
        <is>
          <t>1971</t>
        </is>
      </c>
      <c r="O609" t="inlineStr">
        <is>
          <t>eng</t>
        </is>
      </c>
      <c r="P609" t="inlineStr">
        <is>
          <t>mau</t>
        </is>
      </c>
      <c r="Q609" t="inlineStr">
        <is>
          <t>Harvard books in biology ; no. 7</t>
        </is>
      </c>
      <c r="R609" t="inlineStr">
        <is>
          <t xml:space="preserve">QL </t>
        </is>
      </c>
      <c r="S609" t="n">
        <v>7</v>
      </c>
      <c r="T609" t="n">
        <v>7</v>
      </c>
      <c r="U609" t="inlineStr">
        <is>
          <t>2009-02-26</t>
        </is>
      </c>
      <c r="V609" t="inlineStr">
        <is>
          <t>2009-02-26</t>
        </is>
      </c>
      <c r="W609" t="inlineStr">
        <is>
          <t>1997-07-25</t>
        </is>
      </c>
      <c r="X609" t="inlineStr">
        <is>
          <t>1997-07-25</t>
        </is>
      </c>
      <c r="Y609" t="n">
        <v>625</v>
      </c>
      <c r="Z609" t="n">
        <v>502</v>
      </c>
      <c r="AA609" t="n">
        <v>506</v>
      </c>
      <c r="AB609" t="n">
        <v>4</v>
      </c>
      <c r="AC609" t="n">
        <v>4</v>
      </c>
      <c r="AD609" t="n">
        <v>16</v>
      </c>
      <c r="AE609" t="n">
        <v>16</v>
      </c>
      <c r="AF609" t="n">
        <v>4</v>
      </c>
      <c r="AG609" t="n">
        <v>4</v>
      </c>
      <c r="AH609" t="n">
        <v>2</v>
      </c>
      <c r="AI609" t="n">
        <v>2</v>
      </c>
      <c r="AJ609" t="n">
        <v>10</v>
      </c>
      <c r="AK609" t="n">
        <v>10</v>
      </c>
      <c r="AL609" t="n">
        <v>3</v>
      </c>
      <c r="AM609" t="n">
        <v>3</v>
      </c>
      <c r="AN609" t="n">
        <v>0</v>
      </c>
      <c r="AO609" t="n">
        <v>0</v>
      </c>
      <c r="AP609" t="inlineStr">
        <is>
          <t>No</t>
        </is>
      </c>
      <c r="AQ609" t="inlineStr">
        <is>
          <t>Yes</t>
        </is>
      </c>
      <c r="AR609">
        <f>HYPERLINK("http://catalog.hathitrust.org/Record/001500783","HathiTrust Record")</f>
        <v/>
      </c>
      <c r="AS609">
        <f>HYPERLINK("https://creighton-primo.hosted.exlibrisgroup.com/primo-explore/search?tab=default_tab&amp;search_scope=EVERYTHING&amp;vid=01CRU&amp;lang=en_US&amp;offset=0&amp;query=any,contains,991000826669702656","Catalog Record")</f>
        <v/>
      </c>
      <c r="AT609">
        <f>HYPERLINK("http://www.worldcat.org/oclc/146289","WorldCat Record")</f>
        <v/>
      </c>
      <c r="AU609" t="inlineStr">
        <is>
          <t>521279:eng</t>
        </is>
      </c>
      <c r="AV609" t="inlineStr">
        <is>
          <t>146289</t>
        </is>
      </c>
      <c r="AW609" t="inlineStr">
        <is>
          <t>991000826669702656</t>
        </is>
      </c>
      <c r="AX609" t="inlineStr">
        <is>
          <t>991000826669702656</t>
        </is>
      </c>
      <c r="AY609" t="inlineStr">
        <is>
          <t>2256389720002656</t>
        </is>
      </c>
      <c r="AZ609" t="inlineStr">
        <is>
          <t>BOOK</t>
        </is>
      </c>
      <c r="BB609" t="inlineStr">
        <is>
          <t>9780674279513</t>
        </is>
      </c>
      <c r="BC609" t="inlineStr">
        <is>
          <t>32285002981537</t>
        </is>
      </c>
      <c r="BD609" t="inlineStr">
        <is>
          <t>893772008</t>
        </is>
      </c>
    </row>
    <row r="610">
      <c r="A610" t="inlineStr">
        <is>
          <t>No</t>
        </is>
      </c>
      <c r="B610" t="inlineStr">
        <is>
          <t>QL618.2 .S95 1972</t>
        </is>
      </c>
      <c r="C610" t="inlineStr">
        <is>
          <t>0                      QL 0618200S  95          1972</t>
        </is>
      </c>
      <c r="D610" t="inlineStr">
        <is>
          <t>Interrelationships of fishes. Editors: P. H. Greenwood, R. S. Miles [and] Colin Patterson.</t>
        </is>
      </c>
      <c r="F610" t="inlineStr">
        <is>
          <t>No</t>
        </is>
      </c>
      <c r="G610" t="inlineStr">
        <is>
          <t>1</t>
        </is>
      </c>
      <c r="H610" t="inlineStr">
        <is>
          <t>No</t>
        </is>
      </c>
      <c r="I610" t="inlineStr">
        <is>
          <t>No</t>
        </is>
      </c>
      <c r="J610" t="inlineStr">
        <is>
          <t>0</t>
        </is>
      </c>
      <c r="K610" t="inlineStr">
        <is>
          <t>Symposium on Interrelationships of Fishes (1972 : London, England)</t>
        </is>
      </c>
      <c r="L610" t="inlineStr">
        <is>
          <t>[London] Academic Press [c1973]</t>
        </is>
      </c>
      <c r="M610" t="inlineStr">
        <is>
          <t>1973</t>
        </is>
      </c>
      <c r="O610" t="inlineStr">
        <is>
          <t>eng</t>
        </is>
      </c>
      <c r="P610" t="inlineStr">
        <is>
          <t>enk</t>
        </is>
      </c>
      <c r="R610" t="inlineStr">
        <is>
          <t xml:space="preserve">QL </t>
        </is>
      </c>
      <c r="S610" t="n">
        <v>3</v>
      </c>
      <c r="T610" t="n">
        <v>3</v>
      </c>
      <c r="U610" t="inlineStr">
        <is>
          <t>2001-02-20</t>
        </is>
      </c>
      <c r="V610" t="inlineStr">
        <is>
          <t>2001-02-20</t>
        </is>
      </c>
      <c r="W610" t="inlineStr">
        <is>
          <t>1997-07-25</t>
        </is>
      </c>
      <c r="X610" t="inlineStr">
        <is>
          <t>1997-07-25</t>
        </is>
      </c>
      <c r="Y610" t="n">
        <v>383</v>
      </c>
      <c r="Z610" t="n">
        <v>263</v>
      </c>
      <c r="AA610" t="n">
        <v>263</v>
      </c>
      <c r="AB610" t="n">
        <v>4</v>
      </c>
      <c r="AC610" t="n">
        <v>4</v>
      </c>
      <c r="AD610" t="n">
        <v>9</v>
      </c>
      <c r="AE610" t="n">
        <v>9</v>
      </c>
      <c r="AF610" t="n">
        <v>2</v>
      </c>
      <c r="AG610" t="n">
        <v>2</v>
      </c>
      <c r="AH610" t="n">
        <v>1</v>
      </c>
      <c r="AI610" t="n">
        <v>1</v>
      </c>
      <c r="AJ610" t="n">
        <v>3</v>
      </c>
      <c r="AK610" t="n">
        <v>3</v>
      </c>
      <c r="AL610" t="n">
        <v>3</v>
      </c>
      <c r="AM610" t="n">
        <v>3</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HYPERLINK("https://creighton-primo.hosted.exlibrisgroup.com/primo-explore/search?tab=default_tab&amp;search_scope=EVERYTHING&amp;vid=01CRU&amp;lang=en_US&amp;offset=0&amp;query=any,contains,991003379019702656","Catalog Record")</f>
        <v/>
      </c>
      <c r="AT610">
        <f>HYPERLINK("http://www.worldcat.org/oclc/915322","WorldCat Record")</f>
        <v/>
      </c>
      <c r="AU610" t="inlineStr">
        <is>
          <t>364304624:eng</t>
        </is>
      </c>
      <c r="AV610" t="inlineStr">
        <is>
          <t>915322</t>
        </is>
      </c>
      <c r="AW610" t="inlineStr">
        <is>
          <t>991003379019702656</t>
        </is>
      </c>
      <c r="AX610" t="inlineStr">
        <is>
          <t>991003379019702656</t>
        </is>
      </c>
      <c r="AY610" t="inlineStr">
        <is>
          <t>2264999440002656</t>
        </is>
      </c>
      <c r="AZ610" t="inlineStr">
        <is>
          <t>BOOK</t>
        </is>
      </c>
      <c r="BB610" t="inlineStr">
        <is>
          <t>9780123008503</t>
        </is>
      </c>
      <c r="BC610" t="inlineStr">
        <is>
          <t>32285002981545</t>
        </is>
      </c>
      <c r="BD610" t="inlineStr">
        <is>
          <t>893330258</t>
        </is>
      </c>
    </row>
    <row r="611">
      <c r="A611" t="inlineStr">
        <is>
          <t>No</t>
        </is>
      </c>
      <c r="B611" t="inlineStr">
        <is>
          <t>QL618.3 .E27 1978</t>
        </is>
      </c>
      <c r="C611" t="inlineStr">
        <is>
          <t>0                      QL 0618300E  27          1978</t>
        </is>
      </c>
      <c r="D611" t="inlineStr">
        <is>
          <t>Ecology of freshwater fish production / edited by Shelby D. Gerking.</t>
        </is>
      </c>
      <c r="F611" t="inlineStr">
        <is>
          <t>No</t>
        </is>
      </c>
      <c r="G611" t="inlineStr">
        <is>
          <t>1</t>
        </is>
      </c>
      <c r="H611" t="inlineStr">
        <is>
          <t>No</t>
        </is>
      </c>
      <c r="I611" t="inlineStr">
        <is>
          <t>No</t>
        </is>
      </c>
      <c r="J611" t="inlineStr">
        <is>
          <t>0</t>
        </is>
      </c>
      <c r="L611" t="inlineStr">
        <is>
          <t>New York : Wiley ; distributed by Halsted Press, [1978] c1977.</t>
        </is>
      </c>
      <c r="M611" t="inlineStr">
        <is>
          <t>1978</t>
        </is>
      </c>
      <c r="O611" t="inlineStr">
        <is>
          <t>eng</t>
        </is>
      </c>
      <c r="P611" t="inlineStr">
        <is>
          <t>nyu</t>
        </is>
      </c>
      <c r="R611" t="inlineStr">
        <is>
          <t xml:space="preserve">QL </t>
        </is>
      </c>
      <c r="S611" t="n">
        <v>11</v>
      </c>
      <c r="T611" t="n">
        <v>11</v>
      </c>
      <c r="U611" t="inlineStr">
        <is>
          <t>2001-02-22</t>
        </is>
      </c>
      <c r="V611" t="inlineStr">
        <is>
          <t>2001-02-22</t>
        </is>
      </c>
      <c r="W611" t="inlineStr">
        <is>
          <t>1993-02-11</t>
        </is>
      </c>
      <c r="X611" t="inlineStr">
        <is>
          <t>1993-02-11</t>
        </is>
      </c>
      <c r="Y611" t="n">
        <v>348</v>
      </c>
      <c r="Z611" t="n">
        <v>312</v>
      </c>
      <c r="AA611" t="n">
        <v>370</v>
      </c>
      <c r="AB611" t="n">
        <v>1</v>
      </c>
      <c r="AC611" t="n">
        <v>3</v>
      </c>
      <c r="AD611" t="n">
        <v>8</v>
      </c>
      <c r="AE611" t="n">
        <v>12</v>
      </c>
      <c r="AF611" t="n">
        <v>5</v>
      </c>
      <c r="AG611" t="n">
        <v>6</v>
      </c>
      <c r="AH611" t="n">
        <v>2</v>
      </c>
      <c r="AI611" t="n">
        <v>3</v>
      </c>
      <c r="AJ611" t="n">
        <v>3</v>
      </c>
      <c r="AK611" t="n">
        <v>4</v>
      </c>
      <c r="AL611" t="n">
        <v>0</v>
      </c>
      <c r="AM611" t="n">
        <v>2</v>
      </c>
      <c r="AN611" t="n">
        <v>0</v>
      </c>
      <c r="AO611" t="n">
        <v>0</v>
      </c>
      <c r="AP611" t="inlineStr">
        <is>
          <t>No</t>
        </is>
      </c>
      <c r="AQ611" t="inlineStr">
        <is>
          <t>Yes</t>
        </is>
      </c>
      <c r="AR611">
        <f>HYPERLINK("http://catalog.hathitrust.org/Record/000088414","HathiTrust Record")</f>
        <v/>
      </c>
      <c r="AS611">
        <f>HYPERLINK("https://creighton-primo.hosted.exlibrisgroup.com/primo-explore/search?tab=default_tab&amp;search_scope=EVERYTHING&amp;vid=01CRU&amp;lang=en_US&amp;offset=0&amp;query=any,contains,991004451439702656","Catalog Record")</f>
        <v/>
      </c>
      <c r="AT611">
        <f>HYPERLINK("http://www.worldcat.org/oclc/3516144","WorldCat Record")</f>
        <v/>
      </c>
      <c r="AU611" t="inlineStr">
        <is>
          <t>54201810:eng</t>
        </is>
      </c>
      <c r="AV611" t="inlineStr">
        <is>
          <t>3516144</t>
        </is>
      </c>
      <c r="AW611" t="inlineStr">
        <is>
          <t>991004451439702656</t>
        </is>
      </c>
      <c r="AX611" t="inlineStr">
        <is>
          <t>991004451439702656</t>
        </is>
      </c>
      <c r="AY611" t="inlineStr">
        <is>
          <t>2272256920002656</t>
        </is>
      </c>
      <c r="AZ611" t="inlineStr">
        <is>
          <t>BOOK</t>
        </is>
      </c>
      <c r="BB611" t="inlineStr">
        <is>
          <t>9780470993620</t>
        </is>
      </c>
      <c r="BC611" t="inlineStr">
        <is>
          <t>32285001532554</t>
        </is>
      </c>
      <c r="BD611" t="inlineStr">
        <is>
          <t>893325397</t>
        </is>
      </c>
    </row>
    <row r="612">
      <c r="A612" t="inlineStr">
        <is>
          <t>No</t>
        </is>
      </c>
      <c r="B612" t="inlineStr">
        <is>
          <t>QL619 .B47</t>
        </is>
      </c>
      <c r="C612" t="inlineStr">
        <is>
          <t>0                      QL 0619000B  47</t>
        </is>
      </c>
      <c r="D612" t="inlineStr">
        <is>
          <t>An atlas of distribution of the freshwater fish families of the world / Tim M. Berra ; foreword by R.M. McDowall.</t>
        </is>
      </c>
      <c r="F612" t="inlineStr">
        <is>
          <t>No</t>
        </is>
      </c>
      <c r="G612" t="inlineStr">
        <is>
          <t>1</t>
        </is>
      </c>
      <c r="H612" t="inlineStr">
        <is>
          <t>No</t>
        </is>
      </c>
      <c r="I612" t="inlineStr">
        <is>
          <t>No</t>
        </is>
      </c>
      <c r="J612" t="inlineStr">
        <is>
          <t>0</t>
        </is>
      </c>
      <c r="K612" t="inlineStr">
        <is>
          <t>Berra, Tim M., 1943-</t>
        </is>
      </c>
      <c r="L612" t="inlineStr">
        <is>
          <t>Lincoln : University of Nebraska Press, c1981.</t>
        </is>
      </c>
      <c r="M612" t="inlineStr">
        <is>
          <t>1981</t>
        </is>
      </c>
      <c r="O612" t="inlineStr">
        <is>
          <t>eng</t>
        </is>
      </c>
      <c r="P612" t="inlineStr">
        <is>
          <t>nbu</t>
        </is>
      </c>
      <c r="R612" t="inlineStr">
        <is>
          <t xml:space="preserve">QL </t>
        </is>
      </c>
      <c r="S612" t="n">
        <v>7</v>
      </c>
      <c r="T612" t="n">
        <v>7</v>
      </c>
      <c r="U612" t="inlineStr">
        <is>
          <t>2006-03-27</t>
        </is>
      </c>
      <c r="V612" t="inlineStr">
        <is>
          <t>2006-03-27</t>
        </is>
      </c>
      <c r="W612" t="inlineStr">
        <is>
          <t>1992-03-30</t>
        </is>
      </c>
      <c r="X612" t="inlineStr">
        <is>
          <t>1992-03-30</t>
        </is>
      </c>
      <c r="Y612" t="n">
        <v>408</v>
      </c>
      <c r="Z612" t="n">
        <v>326</v>
      </c>
      <c r="AA612" t="n">
        <v>327</v>
      </c>
      <c r="AB612" t="n">
        <v>5</v>
      </c>
      <c r="AC612" t="n">
        <v>5</v>
      </c>
      <c r="AD612" t="n">
        <v>8</v>
      </c>
      <c r="AE612" t="n">
        <v>8</v>
      </c>
      <c r="AF612" t="n">
        <v>3</v>
      </c>
      <c r="AG612" t="n">
        <v>3</v>
      </c>
      <c r="AH612" t="n">
        <v>2</v>
      </c>
      <c r="AI612" t="n">
        <v>2</v>
      </c>
      <c r="AJ612" t="n">
        <v>2</v>
      </c>
      <c r="AK612" t="n">
        <v>2</v>
      </c>
      <c r="AL612" t="n">
        <v>3</v>
      </c>
      <c r="AM612" t="n">
        <v>3</v>
      </c>
      <c r="AN612" t="n">
        <v>0</v>
      </c>
      <c r="AO612" t="n">
        <v>0</v>
      </c>
      <c r="AP612" t="inlineStr">
        <is>
          <t>No</t>
        </is>
      </c>
      <c r="AQ612" t="inlineStr">
        <is>
          <t>Yes</t>
        </is>
      </c>
      <c r="AR612">
        <f>HYPERLINK("http://catalog.hathitrust.org/Record/008336465","HathiTrust Record")</f>
        <v/>
      </c>
      <c r="AS612">
        <f>HYPERLINK("https://creighton-primo.hosted.exlibrisgroup.com/primo-explore/search?tab=default_tab&amp;search_scope=EVERYTHING&amp;vid=01CRU&amp;lang=en_US&amp;offset=0&amp;query=any,contains,991005043319702656","Catalog Record")</f>
        <v/>
      </c>
      <c r="AT612">
        <f>HYPERLINK("http://www.worldcat.org/oclc/6813535","WorldCat Record")</f>
        <v/>
      </c>
      <c r="AU612" t="inlineStr">
        <is>
          <t>455516:eng</t>
        </is>
      </c>
      <c r="AV612" t="inlineStr">
        <is>
          <t>6813535</t>
        </is>
      </c>
      <c r="AW612" t="inlineStr">
        <is>
          <t>991005043319702656</t>
        </is>
      </c>
      <c r="AX612" t="inlineStr">
        <is>
          <t>991005043319702656</t>
        </is>
      </c>
      <c r="AY612" t="inlineStr">
        <is>
          <t>2268482790002656</t>
        </is>
      </c>
      <c r="AZ612" t="inlineStr">
        <is>
          <t>BOOK</t>
        </is>
      </c>
      <c r="BB612" t="inlineStr">
        <is>
          <t>9780803214118</t>
        </is>
      </c>
      <c r="BC612" t="inlineStr">
        <is>
          <t>32285001041564</t>
        </is>
      </c>
      <c r="BD612" t="inlineStr">
        <is>
          <t>893260469</t>
        </is>
      </c>
    </row>
    <row r="613">
      <c r="A613" t="inlineStr">
        <is>
          <t>No</t>
        </is>
      </c>
      <c r="B613" t="inlineStr">
        <is>
          <t>QL620 .R68 1986</t>
        </is>
      </c>
      <c r="C613" t="inlineStr">
        <is>
          <t>0                      QL 0620000R  68          1986</t>
        </is>
      </c>
      <c r="D613" t="inlineStr">
        <is>
          <t>Dynamics of marine fish populations / Brian J. Rothschild.</t>
        </is>
      </c>
      <c r="F613" t="inlineStr">
        <is>
          <t>No</t>
        </is>
      </c>
      <c r="G613" t="inlineStr">
        <is>
          <t>1</t>
        </is>
      </c>
      <c r="H613" t="inlineStr">
        <is>
          <t>No</t>
        </is>
      </c>
      <c r="I613" t="inlineStr">
        <is>
          <t>No</t>
        </is>
      </c>
      <c r="J613" t="inlineStr">
        <is>
          <t>0</t>
        </is>
      </c>
      <c r="K613" t="inlineStr">
        <is>
          <t>Rothschild, Brian J., 1934-</t>
        </is>
      </c>
      <c r="L613" t="inlineStr">
        <is>
          <t>Cambridge, Mass. : Harvard University Press, 1986.</t>
        </is>
      </c>
      <c r="M613" t="inlineStr">
        <is>
          <t>1986</t>
        </is>
      </c>
      <c r="O613" t="inlineStr">
        <is>
          <t>eng</t>
        </is>
      </c>
      <c r="P613" t="inlineStr">
        <is>
          <t>mau</t>
        </is>
      </c>
      <c r="R613" t="inlineStr">
        <is>
          <t xml:space="preserve">QL </t>
        </is>
      </c>
      <c r="S613" t="n">
        <v>6</v>
      </c>
      <c r="T613" t="n">
        <v>6</v>
      </c>
      <c r="U613" t="inlineStr">
        <is>
          <t>1996-10-27</t>
        </is>
      </c>
      <c r="V613" t="inlineStr">
        <is>
          <t>1996-10-27</t>
        </is>
      </c>
      <c r="W613" t="inlineStr">
        <is>
          <t>1993-02-11</t>
        </is>
      </c>
      <c r="X613" t="inlineStr">
        <is>
          <t>1993-02-11</t>
        </is>
      </c>
      <c r="Y613" t="n">
        <v>373</v>
      </c>
      <c r="Z613" t="n">
        <v>288</v>
      </c>
      <c r="AA613" t="n">
        <v>289</v>
      </c>
      <c r="AB613" t="n">
        <v>2</v>
      </c>
      <c r="AC613" t="n">
        <v>2</v>
      </c>
      <c r="AD613" t="n">
        <v>8</v>
      </c>
      <c r="AE613" t="n">
        <v>8</v>
      </c>
      <c r="AF613" t="n">
        <v>3</v>
      </c>
      <c r="AG613" t="n">
        <v>3</v>
      </c>
      <c r="AH613" t="n">
        <v>3</v>
      </c>
      <c r="AI613" t="n">
        <v>3</v>
      </c>
      <c r="AJ613" t="n">
        <v>4</v>
      </c>
      <c r="AK613" t="n">
        <v>4</v>
      </c>
      <c r="AL613" t="n">
        <v>1</v>
      </c>
      <c r="AM613" t="n">
        <v>1</v>
      </c>
      <c r="AN613" t="n">
        <v>0</v>
      </c>
      <c r="AO613" t="n">
        <v>0</v>
      </c>
      <c r="AP613" t="inlineStr">
        <is>
          <t>No</t>
        </is>
      </c>
      <c r="AQ613" t="inlineStr">
        <is>
          <t>Yes</t>
        </is>
      </c>
      <c r="AR613">
        <f>HYPERLINK("http://catalog.hathitrust.org/Record/000489568","HathiTrust Record")</f>
        <v/>
      </c>
      <c r="AS613">
        <f>HYPERLINK("https://creighton-primo.hosted.exlibrisgroup.com/primo-explore/search?tab=default_tab&amp;search_scope=EVERYTHING&amp;vid=01CRU&amp;lang=en_US&amp;offset=0&amp;query=any,contains,991000839089702656","Catalog Record")</f>
        <v/>
      </c>
      <c r="AT613">
        <f>HYPERLINK("http://www.worldcat.org/oclc/13524524","WorldCat Record")</f>
        <v/>
      </c>
      <c r="AU613" t="inlineStr">
        <is>
          <t>7315838:eng</t>
        </is>
      </c>
      <c r="AV613" t="inlineStr">
        <is>
          <t>13524524</t>
        </is>
      </c>
      <c r="AW613" t="inlineStr">
        <is>
          <t>991000839089702656</t>
        </is>
      </c>
      <c r="AX613" t="inlineStr">
        <is>
          <t>991000839089702656</t>
        </is>
      </c>
      <c r="AY613" t="inlineStr">
        <is>
          <t>2264190680002656</t>
        </is>
      </c>
      <c r="AZ613" t="inlineStr">
        <is>
          <t>BOOK</t>
        </is>
      </c>
      <c r="BB613" t="inlineStr">
        <is>
          <t>9780674218796</t>
        </is>
      </c>
      <c r="BC613" t="inlineStr">
        <is>
          <t>32285001532562</t>
        </is>
      </c>
      <c r="BD613" t="inlineStr">
        <is>
          <t>893608327</t>
        </is>
      </c>
    </row>
    <row r="614">
      <c r="A614" t="inlineStr">
        <is>
          <t>No</t>
        </is>
      </c>
      <c r="B614" t="inlineStr">
        <is>
          <t>QL624 .S713 1973</t>
        </is>
      </c>
      <c r="C614" t="inlineStr">
        <is>
          <t>0                      QL 0624000S  713         1973</t>
        </is>
      </c>
      <c r="D614" t="inlineStr">
        <is>
          <t>Freshwater fishes of the world / translated and rev. by Denys W. Tucker.</t>
        </is>
      </c>
      <c r="E614" t="inlineStr">
        <is>
          <t>V.1</t>
        </is>
      </c>
      <c r="F614" t="inlineStr">
        <is>
          <t>Yes</t>
        </is>
      </c>
      <c r="G614" t="inlineStr">
        <is>
          <t>1</t>
        </is>
      </c>
      <c r="H614" t="inlineStr">
        <is>
          <t>No</t>
        </is>
      </c>
      <c r="I614" t="inlineStr">
        <is>
          <t>No</t>
        </is>
      </c>
      <c r="J614" t="inlineStr">
        <is>
          <t>0</t>
        </is>
      </c>
      <c r="K614" t="inlineStr">
        <is>
          <t>Sterba, Günther, 1922-</t>
        </is>
      </c>
      <c r="L614" t="inlineStr">
        <is>
          <t>Hong Kong : T. F. H. Publications : Distributed in the U.S.A. by T. F. H. Publications, Neptune City, N.J., [1973, c1966]</t>
        </is>
      </c>
      <c r="M614" t="inlineStr">
        <is>
          <t>1973</t>
        </is>
      </c>
      <c r="N614" t="inlineStr">
        <is>
          <t>[Rev. ed.]</t>
        </is>
      </c>
      <c r="O614" t="inlineStr">
        <is>
          <t>eng</t>
        </is>
      </c>
      <c r="P614" t="inlineStr">
        <is>
          <t xml:space="preserve">xx </t>
        </is>
      </c>
      <c r="R614" t="inlineStr">
        <is>
          <t xml:space="preserve">QL </t>
        </is>
      </c>
      <c r="S614" t="n">
        <v>12</v>
      </c>
      <c r="T614" t="n">
        <v>19</v>
      </c>
      <c r="U614" t="inlineStr">
        <is>
          <t>2001-02-18</t>
        </is>
      </c>
      <c r="V614" t="inlineStr">
        <is>
          <t>2006-03-23</t>
        </is>
      </c>
      <c r="W614" t="inlineStr">
        <is>
          <t>1990-10-25</t>
        </is>
      </c>
      <c r="X614" t="inlineStr">
        <is>
          <t>1990-10-25</t>
        </is>
      </c>
      <c r="Y614" t="n">
        <v>43</v>
      </c>
      <c r="Z614" t="n">
        <v>29</v>
      </c>
      <c r="AA614" t="n">
        <v>290</v>
      </c>
      <c r="AB614" t="n">
        <v>1</v>
      </c>
      <c r="AC614" t="n">
        <v>3</v>
      </c>
      <c r="AD614" t="n">
        <v>0</v>
      </c>
      <c r="AE614" t="n">
        <v>5</v>
      </c>
      <c r="AF614" t="n">
        <v>0</v>
      </c>
      <c r="AG614" t="n">
        <v>1</v>
      </c>
      <c r="AH614" t="n">
        <v>0</v>
      </c>
      <c r="AI614" t="n">
        <v>1</v>
      </c>
      <c r="AJ614" t="n">
        <v>0</v>
      </c>
      <c r="AK614" t="n">
        <v>2</v>
      </c>
      <c r="AL614" t="n">
        <v>0</v>
      </c>
      <c r="AM614" t="n">
        <v>1</v>
      </c>
      <c r="AN614" t="n">
        <v>0</v>
      </c>
      <c r="AO614" t="n">
        <v>0</v>
      </c>
      <c r="AP614" t="inlineStr">
        <is>
          <t>No</t>
        </is>
      </c>
      <c r="AQ614" t="inlineStr">
        <is>
          <t>Yes</t>
        </is>
      </c>
      <c r="AR614">
        <f>HYPERLINK("http://catalog.hathitrust.org/Record/008855298","HathiTrust Record")</f>
        <v/>
      </c>
      <c r="AS614">
        <f>HYPERLINK("https://creighton-primo.hosted.exlibrisgroup.com/primo-explore/search?tab=default_tab&amp;search_scope=EVERYTHING&amp;vid=01CRU&amp;lang=en_US&amp;offset=0&amp;query=any,contains,991003776329702656","Catalog Record")</f>
        <v/>
      </c>
      <c r="AT614">
        <f>HYPERLINK("http://www.worldcat.org/oclc/1484339","WorldCat Record")</f>
        <v/>
      </c>
      <c r="AU614" t="inlineStr">
        <is>
          <t>1102274282:eng</t>
        </is>
      </c>
      <c r="AV614" t="inlineStr">
        <is>
          <t>1484339</t>
        </is>
      </c>
      <c r="AW614" t="inlineStr">
        <is>
          <t>991003776329702656</t>
        </is>
      </c>
      <c r="AX614" t="inlineStr">
        <is>
          <t>991003776329702656</t>
        </is>
      </c>
      <c r="AY614" t="inlineStr">
        <is>
          <t>2272329860002656</t>
        </is>
      </c>
      <c r="AZ614" t="inlineStr">
        <is>
          <t>BOOK</t>
        </is>
      </c>
      <c r="BC614" t="inlineStr">
        <is>
          <t>32285000353952</t>
        </is>
      </c>
      <c r="BD614" t="inlineStr">
        <is>
          <t>893318397</t>
        </is>
      </c>
    </row>
    <row r="615">
      <c r="A615" t="inlineStr">
        <is>
          <t>No</t>
        </is>
      </c>
      <c r="B615" t="inlineStr">
        <is>
          <t>QL624 .S713 1973</t>
        </is>
      </c>
      <c r="C615" t="inlineStr">
        <is>
          <t>0                      QL 0624000S  713         1973</t>
        </is>
      </c>
      <c r="D615" t="inlineStr">
        <is>
          <t>Freshwater fishes of the world / translated and rev. by Denys W. Tucker.</t>
        </is>
      </c>
      <c r="E615" t="inlineStr">
        <is>
          <t>V.2</t>
        </is>
      </c>
      <c r="F615" t="inlineStr">
        <is>
          <t>Yes</t>
        </is>
      </c>
      <c r="G615" t="inlineStr">
        <is>
          <t>1</t>
        </is>
      </c>
      <c r="H615" t="inlineStr">
        <is>
          <t>No</t>
        </is>
      </c>
      <c r="I615" t="inlineStr">
        <is>
          <t>No</t>
        </is>
      </c>
      <c r="J615" t="inlineStr">
        <is>
          <t>0</t>
        </is>
      </c>
      <c r="K615" t="inlineStr">
        <is>
          <t>Sterba, Günther, 1922-</t>
        </is>
      </c>
      <c r="L615" t="inlineStr">
        <is>
          <t>Hong Kong : T. F. H. Publications : Distributed in the U.S.A. by T. F. H. Publications, Neptune City, N.J., [1973, c1966]</t>
        </is>
      </c>
      <c r="M615" t="inlineStr">
        <is>
          <t>1973</t>
        </is>
      </c>
      <c r="N615" t="inlineStr">
        <is>
          <t>[Rev. ed.]</t>
        </is>
      </c>
      <c r="O615" t="inlineStr">
        <is>
          <t>eng</t>
        </is>
      </c>
      <c r="P615" t="inlineStr">
        <is>
          <t xml:space="preserve">xx </t>
        </is>
      </c>
      <c r="R615" t="inlineStr">
        <is>
          <t xml:space="preserve">QL </t>
        </is>
      </c>
      <c r="S615" t="n">
        <v>7</v>
      </c>
      <c r="T615" t="n">
        <v>19</v>
      </c>
      <c r="U615" t="inlineStr">
        <is>
          <t>2006-03-23</t>
        </is>
      </c>
      <c r="V615" t="inlineStr">
        <is>
          <t>2006-03-23</t>
        </is>
      </c>
      <c r="W615" t="inlineStr">
        <is>
          <t>1990-10-25</t>
        </is>
      </c>
      <c r="X615" t="inlineStr">
        <is>
          <t>1990-10-25</t>
        </is>
      </c>
      <c r="Y615" t="n">
        <v>43</v>
      </c>
      <c r="Z615" t="n">
        <v>29</v>
      </c>
      <c r="AA615" t="n">
        <v>290</v>
      </c>
      <c r="AB615" t="n">
        <v>1</v>
      </c>
      <c r="AC615" t="n">
        <v>3</v>
      </c>
      <c r="AD615" t="n">
        <v>0</v>
      </c>
      <c r="AE615" t="n">
        <v>5</v>
      </c>
      <c r="AF615" t="n">
        <v>0</v>
      </c>
      <c r="AG615" t="n">
        <v>1</v>
      </c>
      <c r="AH615" t="n">
        <v>0</v>
      </c>
      <c r="AI615" t="n">
        <v>1</v>
      </c>
      <c r="AJ615" t="n">
        <v>0</v>
      </c>
      <c r="AK615" t="n">
        <v>2</v>
      </c>
      <c r="AL615" t="n">
        <v>0</v>
      </c>
      <c r="AM615" t="n">
        <v>1</v>
      </c>
      <c r="AN615" t="n">
        <v>0</v>
      </c>
      <c r="AO615" t="n">
        <v>0</v>
      </c>
      <c r="AP615" t="inlineStr">
        <is>
          <t>No</t>
        </is>
      </c>
      <c r="AQ615" t="inlineStr">
        <is>
          <t>Yes</t>
        </is>
      </c>
      <c r="AR615">
        <f>HYPERLINK("http://catalog.hathitrust.org/Record/008855298","HathiTrust Record")</f>
        <v/>
      </c>
      <c r="AS615">
        <f>HYPERLINK("https://creighton-primo.hosted.exlibrisgroup.com/primo-explore/search?tab=default_tab&amp;search_scope=EVERYTHING&amp;vid=01CRU&amp;lang=en_US&amp;offset=0&amp;query=any,contains,991003776329702656","Catalog Record")</f>
        <v/>
      </c>
      <c r="AT615">
        <f>HYPERLINK("http://www.worldcat.org/oclc/1484339","WorldCat Record")</f>
        <v/>
      </c>
      <c r="AU615" t="inlineStr">
        <is>
          <t>1102274282:eng</t>
        </is>
      </c>
      <c r="AV615" t="inlineStr">
        <is>
          <t>1484339</t>
        </is>
      </c>
      <c r="AW615" t="inlineStr">
        <is>
          <t>991003776329702656</t>
        </is>
      </c>
      <c r="AX615" t="inlineStr">
        <is>
          <t>991003776329702656</t>
        </is>
      </c>
      <c r="AY615" t="inlineStr">
        <is>
          <t>2272329860002656</t>
        </is>
      </c>
      <c r="AZ615" t="inlineStr">
        <is>
          <t>BOOK</t>
        </is>
      </c>
      <c r="BC615" t="inlineStr">
        <is>
          <t>32285000353960</t>
        </is>
      </c>
      <c r="BD615" t="inlineStr">
        <is>
          <t>893343003</t>
        </is>
      </c>
    </row>
    <row r="616">
      <c r="A616" t="inlineStr">
        <is>
          <t>No</t>
        </is>
      </c>
      <c r="B616" t="inlineStr">
        <is>
          <t>QL625 .C373</t>
        </is>
      </c>
      <c r="C616" t="inlineStr">
        <is>
          <t>0                      QL 0625000C  373</t>
        </is>
      </c>
      <c r="D616" t="inlineStr">
        <is>
          <t>Handbook of freshwater fishery biology [by] Kenneth D. Carlander.</t>
        </is>
      </c>
      <c r="F616" t="inlineStr">
        <is>
          <t>No</t>
        </is>
      </c>
      <c r="G616" t="inlineStr">
        <is>
          <t>1</t>
        </is>
      </c>
      <c r="H616" t="inlineStr">
        <is>
          <t>Yes</t>
        </is>
      </c>
      <c r="I616" t="inlineStr">
        <is>
          <t>No</t>
        </is>
      </c>
      <c r="J616" t="inlineStr">
        <is>
          <t>0</t>
        </is>
      </c>
      <c r="K616" t="inlineStr">
        <is>
          <t>Carlander, Kenneth D. (Kenneth Dixon), 1915-</t>
        </is>
      </c>
      <c r="L616" t="inlineStr">
        <is>
          <t>Ames, Iowa State University Press [1969-&lt;1977 &gt;</t>
        </is>
      </c>
      <c r="M616" t="inlineStr">
        <is>
          <t>1969</t>
        </is>
      </c>
      <c r="N616" t="inlineStr">
        <is>
          <t>[3d ed.]</t>
        </is>
      </c>
      <c r="O616" t="inlineStr">
        <is>
          <t>eng</t>
        </is>
      </c>
      <c r="P616" t="inlineStr">
        <is>
          <t>iau</t>
        </is>
      </c>
      <c r="R616" t="inlineStr">
        <is>
          <t xml:space="preserve">QL </t>
        </is>
      </c>
      <c r="S616" t="n">
        <v>6</v>
      </c>
      <c r="T616" t="n">
        <v>8</v>
      </c>
      <c r="U616" t="inlineStr">
        <is>
          <t>2001-07-24</t>
        </is>
      </c>
      <c r="V616" t="inlineStr">
        <is>
          <t>2001-07-24</t>
        </is>
      </c>
      <c r="W616" t="inlineStr">
        <is>
          <t>1997-02-12</t>
        </is>
      </c>
      <c r="X616" t="inlineStr">
        <is>
          <t>1997-02-12</t>
        </is>
      </c>
      <c r="Y616" t="n">
        <v>610</v>
      </c>
      <c r="Z616" t="n">
        <v>547</v>
      </c>
      <c r="AA616" t="n">
        <v>583</v>
      </c>
      <c r="AB616" t="n">
        <v>6</v>
      </c>
      <c r="AC616" t="n">
        <v>6</v>
      </c>
      <c r="AD616" t="n">
        <v>17</v>
      </c>
      <c r="AE616" t="n">
        <v>17</v>
      </c>
      <c r="AF616" t="n">
        <v>6</v>
      </c>
      <c r="AG616" t="n">
        <v>6</v>
      </c>
      <c r="AH616" t="n">
        <v>2</v>
      </c>
      <c r="AI616" t="n">
        <v>2</v>
      </c>
      <c r="AJ616" t="n">
        <v>4</v>
      </c>
      <c r="AK616" t="n">
        <v>4</v>
      </c>
      <c r="AL616" t="n">
        <v>5</v>
      </c>
      <c r="AM616" t="n">
        <v>5</v>
      </c>
      <c r="AN616" t="n">
        <v>0</v>
      </c>
      <c r="AO616" t="n">
        <v>0</v>
      </c>
      <c r="AP616" t="inlineStr">
        <is>
          <t>No</t>
        </is>
      </c>
      <c r="AQ616" t="inlineStr">
        <is>
          <t>Yes</t>
        </is>
      </c>
      <c r="AR616">
        <f>HYPERLINK("http://catalog.hathitrust.org/Record/000237378","HathiTrust Record")</f>
        <v/>
      </c>
      <c r="AS616">
        <f>HYPERLINK("https://creighton-primo.hosted.exlibrisgroup.com/primo-explore/search?tab=default_tab&amp;search_scope=EVERYTHING&amp;vid=01CRU&amp;lang=en_US&amp;offset=0&amp;query=any,contains,991000103629702656","Catalog Record")</f>
        <v/>
      </c>
      <c r="AT616">
        <f>HYPERLINK("http://www.worldcat.org/oclc/45551","WorldCat Record")</f>
        <v/>
      </c>
      <c r="AU616" t="inlineStr">
        <is>
          <t>1214995:eng</t>
        </is>
      </c>
      <c r="AV616" t="inlineStr">
        <is>
          <t>45551</t>
        </is>
      </c>
      <c r="AW616" t="inlineStr">
        <is>
          <t>991000103629702656</t>
        </is>
      </c>
      <c r="AX616" t="inlineStr">
        <is>
          <t>991000103629702656</t>
        </is>
      </c>
      <c r="AY616" t="inlineStr">
        <is>
          <t>2261630310002656</t>
        </is>
      </c>
      <c r="AZ616" t="inlineStr">
        <is>
          <t>BOOK</t>
        </is>
      </c>
      <c r="BB616" t="inlineStr">
        <is>
          <t>9780813807096</t>
        </is>
      </c>
      <c r="BC616" t="inlineStr">
        <is>
          <t>32285002436623</t>
        </is>
      </c>
      <c r="BD616" t="inlineStr">
        <is>
          <t>893438007</t>
        </is>
      </c>
    </row>
    <row r="617">
      <c r="A617" t="inlineStr">
        <is>
          <t>No</t>
        </is>
      </c>
      <c r="B617" t="inlineStr">
        <is>
          <t>QL625 .C373 V.2</t>
        </is>
      </c>
      <c r="C617" t="inlineStr">
        <is>
          <t>0                      QL 0625000C  373                                                     V.2</t>
        </is>
      </c>
      <c r="D617" t="inlineStr">
        <is>
          <t>Handbook of freshwater fishery biology [by] Kenneth D. Carlander.</t>
        </is>
      </c>
      <c r="E617" t="inlineStr">
        <is>
          <t>V.2*</t>
        </is>
      </c>
      <c r="F617" t="inlineStr">
        <is>
          <t>No</t>
        </is>
      </c>
      <c r="G617" t="inlineStr">
        <is>
          <t>1</t>
        </is>
      </c>
      <c r="H617" t="inlineStr">
        <is>
          <t>No</t>
        </is>
      </c>
      <c r="I617" t="inlineStr">
        <is>
          <t>No</t>
        </is>
      </c>
      <c r="J617" t="inlineStr">
        <is>
          <t>0</t>
        </is>
      </c>
      <c r="K617" t="inlineStr">
        <is>
          <t>Carlander, Kenneth D. (Kenneth Dixon), 1915-</t>
        </is>
      </c>
      <c r="L617" t="inlineStr">
        <is>
          <t>Ames, Iowa State University Press [1969-&lt;1977 &gt;</t>
        </is>
      </c>
      <c r="M617" t="inlineStr">
        <is>
          <t>1969</t>
        </is>
      </c>
      <c r="N617" t="inlineStr">
        <is>
          <t>[3d ed.]</t>
        </is>
      </c>
      <c r="O617" t="inlineStr">
        <is>
          <t>eng</t>
        </is>
      </c>
      <c r="P617" t="inlineStr">
        <is>
          <t>iau</t>
        </is>
      </c>
      <c r="R617" t="inlineStr">
        <is>
          <t xml:space="preserve">QL </t>
        </is>
      </c>
      <c r="S617" t="n">
        <v>2</v>
      </c>
      <c r="T617" t="n">
        <v>8</v>
      </c>
      <c r="U617" t="inlineStr">
        <is>
          <t>1996-10-22</t>
        </is>
      </c>
      <c r="V617" t="inlineStr">
        <is>
          <t>2001-07-24</t>
        </is>
      </c>
      <c r="W617" t="inlineStr">
        <is>
          <t>1996-10-22</t>
        </is>
      </c>
      <c r="X617" t="inlineStr">
        <is>
          <t>1997-02-12</t>
        </is>
      </c>
      <c r="Y617" t="n">
        <v>610</v>
      </c>
      <c r="Z617" t="n">
        <v>547</v>
      </c>
      <c r="AA617" t="n">
        <v>583</v>
      </c>
      <c r="AB617" t="n">
        <v>6</v>
      </c>
      <c r="AC617" t="n">
        <v>6</v>
      </c>
      <c r="AD617" t="n">
        <v>17</v>
      </c>
      <c r="AE617" t="n">
        <v>17</v>
      </c>
      <c r="AF617" t="n">
        <v>6</v>
      </c>
      <c r="AG617" t="n">
        <v>6</v>
      </c>
      <c r="AH617" t="n">
        <v>2</v>
      </c>
      <c r="AI617" t="n">
        <v>2</v>
      </c>
      <c r="AJ617" t="n">
        <v>4</v>
      </c>
      <c r="AK617" t="n">
        <v>4</v>
      </c>
      <c r="AL617" t="n">
        <v>5</v>
      </c>
      <c r="AM617" t="n">
        <v>5</v>
      </c>
      <c r="AN617" t="n">
        <v>0</v>
      </c>
      <c r="AO617" t="n">
        <v>0</v>
      </c>
      <c r="AP617" t="inlineStr">
        <is>
          <t>No</t>
        </is>
      </c>
      <c r="AQ617" t="inlineStr">
        <is>
          <t>Yes</t>
        </is>
      </c>
      <c r="AR617">
        <f>HYPERLINK("http://catalog.hathitrust.org/Record/000237378","HathiTrust Record")</f>
        <v/>
      </c>
      <c r="AS617">
        <f>HYPERLINK("https://creighton-primo.hosted.exlibrisgroup.com/primo-explore/search?tab=default_tab&amp;search_scope=EVERYTHING&amp;vid=01CRU&amp;lang=en_US&amp;offset=0&amp;query=any,contains,991000103629702656","Catalog Record")</f>
        <v/>
      </c>
      <c r="AT617">
        <f>HYPERLINK("http://www.worldcat.org/oclc/45551","WorldCat Record")</f>
        <v/>
      </c>
      <c r="AU617" t="inlineStr">
        <is>
          <t>1214995:eng</t>
        </is>
      </c>
      <c r="AV617" t="inlineStr">
        <is>
          <t>45551</t>
        </is>
      </c>
      <c r="AW617" t="inlineStr">
        <is>
          <t>991000103629702656</t>
        </is>
      </c>
      <c r="AX617" t="inlineStr">
        <is>
          <t>991000103629702656</t>
        </is>
      </c>
      <c r="AY617" t="inlineStr">
        <is>
          <t>2261630310002656</t>
        </is>
      </c>
      <c r="AZ617" t="inlineStr">
        <is>
          <t>BOOK</t>
        </is>
      </c>
      <c r="BB617" t="inlineStr">
        <is>
          <t>9780813807096</t>
        </is>
      </c>
      <c r="BC617" t="inlineStr">
        <is>
          <t>32285002364486</t>
        </is>
      </c>
      <c r="BD617" t="inlineStr">
        <is>
          <t>893425430</t>
        </is>
      </c>
    </row>
    <row r="618">
      <c r="A618" t="inlineStr">
        <is>
          <t>No</t>
        </is>
      </c>
      <c r="B618" t="inlineStr">
        <is>
          <t>QL625 .D57 1984</t>
        </is>
      </c>
      <c r="C618" t="inlineStr">
        <is>
          <t>0                      QL 0625000D  57          1984</t>
        </is>
      </c>
      <c r="D618" t="inlineStr">
        <is>
          <t>Distribution, biology, and management of exotic fishes / edited by Walter R. Courtenay, Jr. and Jay R. Stauffer, Jr.</t>
        </is>
      </c>
      <c r="F618" t="inlineStr">
        <is>
          <t>No</t>
        </is>
      </c>
      <c r="G618" t="inlineStr">
        <is>
          <t>1</t>
        </is>
      </c>
      <c r="H618" t="inlineStr">
        <is>
          <t>No</t>
        </is>
      </c>
      <c r="I618" t="inlineStr">
        <is>
          <t>No</t>
        </is>
      </c>
      <c r="J618" t="inlineStr">
        <is>
          <t>0</t>
        </is>
      </c>
      <c r="L618" t="inlineStr">
        <is>
          <t>Baltimore : Johns Hopkins University Press, 1984.</t>
        </is>
      </c>
      <c r="M618" t="inlineStr">
        <is>
          <t>1984</t>
        </is>
      </c>
      <c r="O618" t="inlineStr">
        <is>
          <t>eng</t>
        </is>
      </c>
      <c r="P618" t="inlineStr">
        <is>
          <t>mdu</t>
        </is>
      </c>
      <c r="R618" t="inlineStr">
        <is>
          <t xml:space="preserve">QL </t>
        </is>
      </c>
      <c r="S618" t="n">
        <v>6</v>
      </c>
      <c r="T618" t="n">
        <v>6</v>
      </c>
      <c r="U618" t="inlineStr">
        <is>
          <t>2007-02-23</t>
        </is>
      </c>
      <c r="V618" t="inlineStr">
        <is>
          <t>2007-02-23</t>
        </is>
      </c>
      <c r="W618" t="inlineStr">
        <is>
          <t>1992-03-10</t>
        </is>
      </c>
      <c r="X618" t="inlineStr">
        <is>
          <t>1992-03-10</t>
        </is>
      </c>
      <c r="Y618" t="n">
        <v>340</v>
      </c>
      <c r="Z618" t="n">
        <v>275</v>
      </c>
      <c r="AA618" t="n">
        <v>277</v>
      </c>
      <c r="AB618" t="n">
        <v>4</v>
      </c>
      <c r="AC618" t="n">
        <v>4</v>
      </c>
      <c r="AD618" t="n">
        <v>9</v>
      </c>
      <c r="AE618" t="n">
        <v>9</v>
      </c>
      <c r="AF618" t="n">
        <v>3</v>
      </c>
      <c r="AG618" t="n">
        <v>3</v>
      </c>
      <c r="AH618" t="n">
        <v>2</v>
      </c>
      <c r="AI618" t="n">
        <v>2</v>
      </c>
      <c r="AJ618" t="n">
        <v>2</v>
      </c>
      <c r="AK618" t="n">
        <v>2</v>
      </c>
      <c r="AL618" t="n">
        <v>3</v>
      </c>
      <c r="AM618" t="n">
        <v>3</v>
      </c>
      <c r="AN618" t="n">
        <v>0</v>
      </c>
      <c r="AO618" t="n">
        <v>0</v>
      </c>
      <c r="AP618" t="inlineStr">
        <is>
          <t>No</t>
        </is>
      </c>
      <c r="AQ618" t="inlineStr">
        <is>
          <t>Yes</t>
        </is>
      </c>
      <c r="AR618">
        <f>HYPERLINK("http://catalog.hathitrust.org/Record/000120798","HathiTrust Record")</f>
        <v/>
      </c>
      <c r="AS618">
        <f>HYPERLINK("https://creighton-primo.hosted.exlibrisgroup.com/primo-explore/search?tab=default_tab&amp;search_scope=EVERYTHING&amp;vid=01CRU&amp;lang=en_US&amp;offset=0&amp;query=any,contains,991000275129702656","Catalog Record")</f>
        <v/>
      </c>
      <c r="AT618">
        <f>HYPERLINK("http://www.worldcat.org/oclc/9894378","WorldCat Record")</f>
        <v/>
      </c>
      <c r="AU618" t="inlineStr">
        <is>
          <t>428505292:eng</t>
        </is>
      </c>
      <c r="AV618" t="inlineStr">
        <is>
          <t>9894378</t>
        </is>
      </c>
      <c r="AW618" t="inlineStr">
        <is>
          <t>991000275129702656</t>
        </is>
      </c>
      <c r="AX618" t="inlineStr">
        <is>
          <t>991000275129702656</t>
        </is>
      </c>
      <c r="AY618" t="inlineStr">
        <is>
          <t>2262639390002656</t>
        </is>
      </c>
      <c r="AZ618" t="inlineStr">
        <is>
          <t>BOOK</t>
        </is>
      </c>
      <c r="BB618" t="inlineStr">
        <is>
          <t>9780801830372</t>
        </is>
      </c>
      <c r="BC618" t="inlineStr">
        <is>
          <t>32285000995604</t>
        </is>
      </c>
      <c r="BD618" t="inlineStr">
        <is>
          <t>893237207</t>
        </is>
      </c>
    </row>
    <row r="619">
      <c r="A619" t="inlineStr">
        <is>
          <t>No</t>
        </is>
      </c>
      <c r="B619" t="inlineStr">
        <is>
          <t>QL625 .N33</t>
        </is>
      </c>
      <c r="C619" t="inlineStr">
        <is>
          <t>0                      QL 0625000N  33</t>
        </is>
      </c>
      <c r="D619" t="inlineStr">
        <is>
          <t>Wondrous world of fishes / [editor-in-chief, Melville Bell Grosvenor.</t>
        </is>
      </c>
      <c r="F619" t="inlineStr">
        <is>
          <t>No</t>
        </is>
      </c>
      <c r="G619" t="inlineStr">
        <is>
          <t>1</t>
        </is>
      </c>
      <c r="H619" t="inlineStr">
        <is>
          <t>No</t>
        </is>
      </c>
      <c r="I619" t="inlineStr">
        <is>
          <t>No</t>
        </is>
      </c>
      <c r="J619" t="inlineStr">
        <is>
          <t>0</t>
        </is>
      </c>
      <c r="K619" t="inlineStr">
        <is>
          <t>National Geographic Society (U.S.).</t>
        </is>
      </c>
      <c r="M619" t="inlineStr">
        <is>
          <t>1965</t>
        </is>
      </c>
      <c r="O619" t="inlineStr">
        <is>
          <t>eng</t>
        </is>
      </c>
      <c r="P619" t="inlineStr">
        <is>
          <t>dcu</t>
        </is>
      </c>
      <c r="Q619" t="inlineStr">
        <is>
          <t>Its Natural science library</t>
        </is>
      </c>
      <c r="R619" t="inlineStr">
        <is>
          <t xml:space="preserve">QL </t>
        </is>
      </c>
      <c r="S619" t="n">
        <v>5</v>
      </c>
      <c r="T619" t="n">
        <v>5</v>
      </c>
      <c r="U619" t="inlineStr">
        <is>
          <t>1994-04-05</t>
        </is>
      </c>
      <c r="V619" t="inlineStr">
        <is>
          <t>1994-04-05</t>
        </is>
      </c>
      <c r="W619" t="inlineStr">
        <is>
          <t>1990-10-25</t>
        </is>
      </c>
      <c r="X619" t="inlineStr">
        <is>
          <t>1990-10-25</t>
        </is>
      </c>
      <c r="Y619" t="n">
        <v>528</v>
      </c>
      <c r="Z619" t="n">
        <v>493</v>
      </c>
      <c r="AA619" t="n">
        <v>772</v>
      </c>
      <c r="AB619" t="n">
        <v>6</v>
      </c>
      <c r="AC619" t="n">
        <v>8</v>
      </c>
      <c r="AD619" t="n">
        <v>9</v>
      </c>
      <c r="AE619" t="n">
        <v>13</v>
      </c>
      <c r="AF619" t="n">
        <v>3</v>
      </c>
      <c r="AG619" t="n">
        <v>4</v>
      </c>
      <c r="AH619" t="n">
        <v>2</v>
      </c>
      <c r="AI619" t="n">
        <v>4</v>
      </c>
      <c r="AJ619" t="n">
        <v>3</v>
      </c>
      <c r="AK619" t="n">
        <v>3</v>
      </c>
      <c r="AL619" t="n">
        <v>3</v>
      </c>
      <c r="AM619" t="n">
        <v>4</v>
      </c>
      <c r="AN619" t="n">
        <v>0</v>
      </c>
      <c r="AO619" t="n">
        <v>0</v>
      </c>
      <c r="AP619" t="inlineStr">
        <is>
          <t>No</t>
        </is>
      </c>
      <c r="AQ619" t="inlineStr">
        <is>
          <t>Yes</t>
        </is>
      </c>
      <c r="AR619">
        <f>HYPERLINK("http://catalog.hathitrust.org/Record/001500805","HathiTrust Record")</f>
        <v/>
      </c>
      <c r="AS619">
        <f>HYPERLINK("https://creighton-primo.hosted.exlibrisgroup.com/primo-explore/search?tab=default_tab&amp;search_scope=EVERYTHING&amp;vid=01CRU&amp;lang=en_US&amp;offset=0&amp;query=any,contains,991003179079702656","Catalog Record")</f>
        <v/>
      </c>
      <c r="AT619">
        <f>HYPERLINK("http://www.worldcat.org/oclc/711371","WorldCat Record")</f>
        <v/>
      </c>
      <c r="AU619" t="inlineStr">
        <is>
          <t>377231039:eng</t>
        </is>
      </c>
      <c r="AV619" t="inlineStr">
        <is>
          <t>711371</t>
        </is>
      </c>
      <c r="AW619" t="inlineStr">
        <is>
          <t>991003179079702656</t>
        </is>
      </c>
      <c r="AX619" t="inlineStr">
        <is>
          <t>991003179079702656</t>
        </is>
      </c>
      <c r="AY619" t="inlineStr">
        <is>
          <t>2264017450002656</t>
        </is>
      </c>
      <c r="AZ619" t="inlineStr">
        <is>
          <t>BOOK</t>
        </is>
      </c>
      <c r="BC619" t="inlineStr">
        <is>
          <t>32285000353978</t>
        </is>
      </c>
      <c r="BD619" t="inlineStr">
        <is>
          <t>893246095</t>
        </is>
      </c>
    </row>
    <row r="620">
      <c r="A620" t="inlineStr">
        <is>
          <t>No</t>
        </is>
      </c>
      <c r="B620" t="inlineStr">
        <is>
          <t>QL625 .S9 1978</t>
        </is>
      </c>
      <c r="C620" t="inlineStr">
        <is>
          <t>0                      QL 0625000S  9           1978</t>
        </is>
      </c>
      <c r="D620" t="inlineStr">
        <is>
          <t>Selected coolwater fishes of North America : proceedings of a symposium held in St. Paul, Minnesota March 7-9, 1978 / Robert L. Kendall, editor.</t>
        </is>
      </c>
      <c r="F620" t="inlineStr">
        <is>
          <t>No</t>
        </is>
      </c>
      <c r="G620" t="inlineStr">
        <is>
          <t>1</t>
        </is>
      </c>
      <c r="H620" t="inlineStr">
        <is>
          <t>No</t>
        </is>
      </c>
      <c r="I620" t="inlineStr">
        <is>
          <t>No</t>
        </is>
      </c>
      <c r="J620" t="inlineStr">
        <is>
          <t>0</t>
        </is>
      </c>
      <c r="K620" t="inlineStr">
        <is>
          <t>Symposium on Selected Coolwater Fishes of North America (1978 : Saint Paul, Minn.)</t>
        </is>
      </c>
      <c r="L620" t="inlineStr">
        <is>
          <t>Washington : American Fisheries Society, 1978.</t>
        </is>
      </c>
      <c r="M620" t="inlineStr">
        <is>
          <t>1978</t>
        </is>
      </c>
      <c r="O620" t="inlineStr">
        <is>
          <t>eng</t>
        </is>
      </c>
      <c r="P620" t="inlineStr">
        <is>
          <t xml:space="preserve">xx </t>
        </is>
      </c>
      <c r="Q620" t="inlineStr">
        <is>
          <t>Special publication ; no. 11</t>
        </is>
      </c>
      <c r="R620" t="inlineStr">
        <is>
          <t xml:space="preserve">QL </t>
        </is>
      </c>
      <c r="S620" t="n">
        <v>8</v>
      </c>
      <c r="T620" t="n">
        <v>8</v>
      </c>
      <c r="U620" t="inlineStr">
        <is>
          <t>1999-03-01</t>
        </is>
      </c>
      <c r="V620" t="inlineStr">
        <is>
          <t>1999-03-01</t>
        </is>
      </c>
      <c r="W620" t="inlineStr">
        <is>
          <t>1993-02-11</t>
        </is>
      </c>
      <c r="X620" t="inlineStr">
        <is>
          <t>1993-02-11</t>
        </is>
      </c>
      <c r="Y620" t="n">
        <v>443</v>
      </c>
      <c r="Z620" t="n">
        <v>371</v>
      </c>
      <c r="AA620" t="n">
        <v>381</v>
      </c>
      <c r="AB620" t="n">
        <v>4</v>
      </c>
      <c r="AC620" t="n">
        <v>4</v>
      </c>
      <c r="AD620" t="n">
        <v>10</v>
      </c>
      <c r="AE620" t="n">
        <v>10</v>
      </c>
      <c r="AF620" t="n">
        <v>5</v>
      </c>
      <c r="AG620" t="n">
        <v>5</v>
      </c>
      <c r="AH620" t="n">
        <v>3</v>
      </c>
      <c r="AI620" t="n">
        <v>3</v>
      </c>
      <c r="AJ620" t="n">
        <v>3</v>
      </c>
      <c r="AK620" t="n">
        <v>3</v>
      </c>
      <c r="AL620" t="n">
        <v>2</v>
      </c>
      <c r="AM620" t="n">
        <v>2</v>
      </c>
      <c r="AN620" t="n">
        <v>0</v>
      </c>
      <c r="AO620" t="n">
        <v>0</v>
      </c>
      <c r="AP620" t="inlineStr">
        <is>
          <t>No</t>
        </is>
      </c>
      <c r="AQ620" t="inlineStr">
        <is>
          <t>Yes</t>
        </is>
      </c>
      <c r="AR620">
        <f>HYPERLINK("http://catalog.hathitrust.org/Record/000257746","HathiTrust Record")</f>
        <v/>
      </c>
      <c r="AS620">
        <f>HYPERLINK("https://creighton-primo.hosted.exlibrisgroup.com/primo-explore/search?tab=default_tab&amp;search_scope=EVERYTHING&amp;vid=01CRU&amp;lang=en_US&amp;offset=0&amp;query=any,contains,991004673809702656","Catalog Record")</f>
        <v/>
      </c>
      <c r="AT620">
        <f>HYPERLINK("http://www.worldcat.org/oclc/15133326","WorldCat Record")</f>
        <v/>
      </c>
      <c r="AU620" t="inlineStr">
        <is>
          <t>819984652:eng</t>
        </is>
      </c>
      <c r="AV620" t="inlineStr">
        <is>
          <t>15133326</t>
        </is>
      </c>
      <c r="AW620" t="inlineStr">
        <is>
          <t>991004673809702656</t>
        </is>
      </c>
      <c r="AX620" t="inlineStr">
        <is>
          <t>991004673809702656</t>
        </is>
      </c>
      <c r="AY620" t="inlineStr">
        <is>
          <t>2272490150002656</t>
        </is>
      </c>
      <c r="AZ620" t="inlineStr">
        <is>
          <t>BOOK</t>
        </is>
      </c>
      <c r="BC620" t="inlineStr">
        <is>
          <t>32285001532570</t>
        </is>
      </c>
      <c r="BD620" t="inlineStr">
        <is>
          <t>893319511</t>
        </is>
      </c>
    </row>
    <row r="621">
      <c r="A621" t="inlineStr">
        <is>
          <t>No</t>
        </is>
      </c>
      <c r="B621" t="inlineStr">
        <is>
          <t>QL625 .Z66 1986</t>
        </is>
      </c>
      <c r="C621" t="inlineStr">
        <is>
          <t>0                      QL 0625000Z  66          1986</t>
        </is>
      </c>
      <c r="D621" t="inlineStr">
        <is>
          <t>The Zoogeography of North American freshwater fishes / edited by Charles H. Hocutt, E.O. Wiley.</t>
        </is>
      </c>
      <c r="F621" t="inlineStr">
        <is>
          <t>No</t>
        </is>
      </c>
      <c r="G621" t="inlineStr">
        <is>
          <t>1</t>
        </is>
      </c>
      <c r="H621" t="inlineStr">
        <is>
          <t>No</t>
        </is>
      </c>
      <c r="I621" t="inlineStr">
        <is>
          <t>No</t>
        </is>
      </c>
      <c r="J621" t="inlineStr">
        <is>
          <t>0</t>
        </is>
      </c>
      <c r="L621" t="inlineStr">
        <is>
          <t>New York : Wiley, c1986.</t>
        </is>
      </c>
      <c r="M621" t="inlineStr">
        <is>
          <t>1986</t>
        </is>
      </c>
      <c r="O621" t="inlineStr">
        <is>
          <t>eng</t>
        </is>
      </c>
      <c r="P621" t="inlineStr">
        <is>
          <t>nyu</t>
        </is>
      </c>
      <c r="R621" t="inlineStr">
        <is>
          <t xml:space="preserve">QL </t>
        </is>
      </c>
      <c r="S621" t="n">
        <v>9</v>
      </c>
      <c r="T621" t="n">
        <v>9</v>
      </c>
      <c r="U621" t="inlineStr">
        <is>
          <t>2007-02-23</t>
        </is>
      </c>
      <c r="V621" t="inlineStr">
        <is>
          <t>2007-02-23</t>
        </is>
      </c>
      <c r="W621" t="inlineStr">
        <is>
          <t>1993-02-11</t>
        </is>
      </c>
      <c r="X621" t="inlineStr">
        <is>
          <t>1993-02-11</t>
        </is>
      </c>
      <c r="Y621" t="n">
        <v>406</v>
      </c>
      <c r="Z621" t="n">
        <v>347</v>
      </c>
      <c r="AA621" t="n">
        <v>349</v>
      </c>
      <c r="AB621" t="n">
        <v>5</v>
      </c>
      <c r="AC621" t="n">
        <v>5</v>
      </c>
      <c r="AD621" t="n">
        <v>14</v>
      </c>
      <c r="AE621" t="n">
        <v>14</v>
      </c>
      <c r="AF621" t="n">
        <v>5</v>
      </c>
      <c r="AG621" t="n">
        <v>5</v>
      </c>
      <c r="AH621" t="n">
        <v>1</v>
      </c>
      <c r="AI621" t="n">
        <v>1</v>
      </c>
      <c r="AJ621" t="n">
        <v>4</v>
      </c>
      <c r="AK621" t="n">
        <v>4</v>
      </c>
      <c r="AL621" t="n">
        <v>4</v>
      </c>
      <c r="AM621" t="n">
        <v>4</v>
      </c>
      <c r="AN621" t="n">
        <v>0</v>
      </c>
      <c r="AO621" t="n">
        <v>0</v>
      </c>
      <c r="AP621" t="inlineStr">
        <is>
          <t>No</t>
        </is>
      </c>
      <c r="AQ621" t="inlineStr">
        <is>
          <t>Yes</t>
        </is>
      </c>
      <c r="AR621">
        <f>HYPERLINK("http://catalog.hathitrust.org/Record/000475280","HathiTrust Record")</f>
        <v/>
      </c>
      <c r="AS621">
        <f>HYPERLINK("https://creighton-primo.hosted.exlibrisgroup.com/primo-explore/search?tab=default_tab&amp;search_scope=EVERYTHING&amp;vid=01CRU&amp;lang=en_US&amp;offset=0&amp;query=any,contains,991000630909702656","Catalog Record")</f>
        <v/>
      </c>
      <c r="AT621">
        <f>HYPERLINK("http://www.worldcat.org/oclc/12052357","WorldCat Record")</f>
        <v/>
      </c>
      <c r="AU621" t="inlineStr">
        <is>
          <t>355965889:eng</t>
        </is>
      </c>
      <c r="AV621" t="inlineStr">
        <is>
          <t>12052357</t>
        </is>
      </c>
      <c r="AW621" t="inlineStr">
        <is>
          <t>991000630909702656</t>
        </is>
      </c>
      <c r="AX621" t="inlineStr">
        <is>
          <t>991000630909702656</t>
        </is>
      </c>
      <c r="AY621" t="inlineStr">
        <is>
          <t>2258225130002656</t>
        </is>
      </c>
      <c r="AZ621" t="inlineStr">
        <is>
          <t>BOOK</t>
        </is>
      </c>
      <c r="BB621" t="inlineStr">
        <is>
          <t>9780471864196</t>
        </is>
      </c>
      <c r="BC621" t="inlineStr">
        <is>
          <t>32285001532588</t>
        </is>
      </c>
      <c r="BD621" t="inlineStr">
        <is>
          <t>893708551</t>
        </is>
      </c>
    </row>
    <row r="622">
      <c r="A622" t="inlineStr">
        <is>
          <t>No</t>
        </is>
      </c>
      <c r="B622" t="inlineStr">
        <is>
          <t>QL627 .E4</t>
        </is>
      </c>
      <c r="C622" t="inlineStr">
        <is>
          <t>0                      QL 0627000E  4</t>
        </is>
      </c>
      <c r="D622" t="inlineStr">
        <is>
          <t>How to know the freshwater fishes : pictured-keys for identifying all of the freshwater fishes of the United States, and also including a number of marine species which often enter freshwater.</t>
        </is>
      </c>
      <c r="F622" t="inlineStr">
        <is>
          <t>No</t>
        </is>
      </c>
      <c r="G622" t="inlineStr">
        <is>
          <t>1</t>
        </is>
      </c>
      <c r="H622" t="inlineStr">
        <is>
          <t>No</t>
        </is>
      </c>
      <c r="I622" t="inlineStr">
        <is>
          <t>No</t>
        </is>
      </c>
      <c r="J622" t="inlineStr">
        <is>
          <t>0</t>
        </is>
      </c>
      <c r="K622" t="inlineStr">
        <is>
          <t>Eddy, Samuel, 1897-1972.</t>
        </is>
      </c>
      <c r="L622" t="inlineStr">
        <is>
          <t>Dubuque, Iowa : W. C. Brown Co., [c1957]</t>
        </is>
      </c>
      <c r="M622" t="inlineStr">
        <is>
          <t>1957</t>
        </is>
      </c>
      <c r="O622" t="inlineStr">
        <is>
          <t>eng</t>
        </is>
      </c>
      <c r="P622" t="inlineStr">
        <is>
          <t>iau</t>
        </is>
      </c>
      <c r="Q622" t="inlineStr">
        <is>
          <t>Pictured key nature series</t>
        </is>
      </c>
      <c r="R622" t="inlineStr">
        <is>
          <t xml:space="preserve">QL </t>
        </is>
      </c>
      <c r="S622" t="n">
        <v>8</v>
      </c>
      <c r="T622" t="n">
        <v>8</v>
      </c>
      <c r="U622" t="inlineStr">
        <is>
          <t>2001-02-22</t>
        </is>
      </c>
      <c r="V622" t="inlineStr">
        <is>
          <t>2001-02-22</t>
        </is>
      </c>
      <c r="W622" t="inlineStr">
        <is>
          <t>1992-04-14</t>
        </is>
      </c>
      <c r="X622" t="inlineStr">
        <is>
          <t>1992-04-14</t>
        </is>
      </c>
      <c r="Y622" t="n">
        <v>526</v>
      </c>
      <c r="Z622" t="n">
        <v>490</v>
      </c>
      <c r="AA622" t="n">
        <v>504</v>
      </c>
      <c r="AB622" t="n">
        <v>3</v>
      </c>
      <c r="AC622" t="n">
        <v>3</v>
      </c>
      <c r="AD622" t="n">
        <v>12</v>
      </c>
      <c r="AE622" t="n">
        <v>12</v>
      </c>
      <c r="AF622" t="n">
        <v>5</v>
      </c>
      <c r="AG622" t="n">
        <v>5</v>
      </c>
      <c r="AH622" t="n">
        <v>3</v>
      </c>
      <c r="AI622" t="n">
        <v>3</v>
      </c>
      <c r="AJ622" t="n">
        <v>5</v>
      </c>
      <c r="AK622" t="n">
        <v>5</v>
      </c>
      <c r="AL622" t="n">
        <v>1</v>
      </c>
      <c r="AM622" t="n">
        <v>1</v>
      </c>
      <c r="AN622" t="n">
        <v>0</v>
      </c>
      <c r="AO622" t="n">
        <v>0</v>
      </c>
      <c r="AP622" t="inlineStr">
        <is>
          <t>Yes</t>
        </is>
      </c>
      <c r="AQ622" t="inlineStr">
        <is>
          <t>No</t>
        </is>
      </c>
      <c r="AR622">
        <f>HYPERLINK("http://catalog.hathitrust.org/Record/001515792","HathiTrust Record")</f>
        <v/>
      </c>
      <c r="AS622">
        <f>HYPERLINK("https://creighton-primo.hosted.exlibrisgroup.com/primo-explore/search?tab=default_tab&amp;search_scope=EVERYTHING&amp;vid=01CRU&amp;lang=en_US&amp;offset=0&amp;query=any,contains,991002731209702656","Catalog Record")</f>
        <v/>
      </c>
      <c r="AT622">
        <f>HYPERLINK("http://www.worldcat.org/oclc/416566","WorldCat Record")</f>
        <v/>
      </c>
      <c r="AU622" t="inlineStr">
        <is>
          <t>4097834961:eng</t>
        </is>
      </c>
      <c r="AV622" t="inlineStr">
        <is>
          <t>416566</t>
        </is>
      </c>
      <c r="AW622" t="inlineStr">
        <is>
          <t>991002731209702656</t>
        </is>
      </c>
      <c r="AX622" t="inlineStr">
        <is>
          <t>991002731209702656</t>
        </is>
      </c>
      <c r="AY622" t="inlineStr">
        <is>
          <t>2266447690002656</t>
        </is>
      </c>
      <c r="AZ622" t="inlineStr">
        <is>
          <t>BOOK</t>
        </is>
      </c>
      <c r="BC622" t="inlineStr">
        <is>
          <t>32285001059665</t>
        </is>
      </c>
      <c r="BD622" t="inlineStr">
        <is>
          <t>893409452</t>
        </is>
      </c>
    </row>
    <row r="623">
      <c r="A623" t="inlineStr">
        <is>
          <t>No</t>
        </is>
      </c>
      <c r="B623" t="inlineStr">
        <is>
          <t>QL627 .P34 1991</t>
        </is>
      </c>
      <c r="C623" t="inlineStr">
        <is>
          <t>0                      QL 0627000P  34          1991</t>
        </is>
      </c>
      <c r="D623" t="inlineStr">
        <is>
          <t>A field guide to freshwater fishes : North America north of Mexico / Lawrence M. Page, Brooks M. Burr ; illustrations by Eugene C. Beckham III, John Parker Sherrod, Craig W. Ronto.</t>
        </is>
      </c>
      <c r="F623" t="inlineStr">
        <is>
          <t>No</t>
        </is>
      </c>
      <c r="G623" t="inlineStr">
        <is>
          <t>1</t>
        </is>
      </c>
      <c r="H623" t="inlineStr">
        <is>
          <t>No</t>
        </is>
      </c>
      <c r="I623" t="inlineStr">
        <is>
          <t>No</t>
        </is>
      </c>
      <c r="J623" t="inlineStr">
        <is>
          <t>0</t>
        </is>
      </c>
      <c r="K623" t="inlineStr">
        <is>
          <t>Page, Lawrence M.</t>
        </is>
      </c>
      <c r="L623" t="inlineStr">
        <is>
          <t>Boston : Houghton Mifflin, 1991.</t>
        </is>
      </c>
      <c r="M623" t="inlineStr">
        <is>
          <t>1991</t>
        </is>
      </c>
      <c r="O623" t="inlineStr">
        <is>
          <t>eng</t>
        </is>
      </c>
      <c r="P623" t="inlineStr">
        <is>
          <t>mau</t>
        </is>
      </c>
      <c r="Q623" t="inlineStr">
        <is>
          <t>The Peterson field guide series ; 42</t>
        </is>
      </c>
      <c r="R623" t="inlineStr">
        <is>
          <t xml:space="preserve">QL </t>
        </is>
      </c>
      <c r="S623" t="n">
        <v>14</v>
      </c>
      <c r="T623" t="n">
        <v>14</v>
      </c>
      <c r="U623" t="inlineStr">
        <is>
          <t>2006-07-02</t>
        </is>
      </c>
      <c r="V623" t="inlineStr">
        <is>
          <t>2006-07-02</t>
        </is>
      </c>
      <c r="W623" t="inlineStr">
        <is>
          <t>1992-01-22</t>
        </is>
      </c>
      <c r="X623" t="inlineStr">
        <is>
          <t>1992-01-22</t>
        </is>
      </c>
      <c r="Y623" t="n">
        <v>1518</v>
      </c>
      <c r="Z623" t="n">
        <v>1430</v>
      </c>
      <c r="AA623" t="n">
        <v>1441</v>
      </c>
      <c r="AB623" t="n">
        <v>11</v>
      </c>
      <c r="AC623" t="n">
        <v>11</v>
      </c>
      <c r="AD623" t="n">
        <v>20</v>
      </c>
      <c r="AE623" t="n">
        <v>20</v>
      </c>
      <c r="AF623" t="n">
        <v>5</v>
      </c>
      <c r="AG623" t="n">
        <v>5</v>
      </c>
      <c r="AH623" t="n">
        <v>3</v>
      </c>
      <c r="AI623" t="n">
        <v>3</v>
      </c>
      <c r="AJ623" t="n">
        <v>9</v>
      </c>
      <c r="AK623" t="n">
        <v>9</v>
      </c>
      <c r="AL623" t="n">
        <v>5</v>
      </c>
      <c r="AM623" t="n">
        <v>5</v>
      </c>
      <c r="AN623" t="n">
        <v>0</v>
      </c>
      <c r="AO623" t="n">
        <v>0</v>
      </c>
      <c r="AP623" t="inlineStr">
        <is>
          <t>No</t>
        </is>
      </c>
      <c r="AQ623" t="inlineStr">
        <is>
          <t>Yes</t>
        </is>
      </c>
      <c r="AR623">
        <f>HYPERLINK("http://catalog.hathitrust.org/Record/002498916","HathiTrust Record")</f>
        <v/>
      </c>
      <c r="AS623">
        <f>HYPERLINK("https://creighton-primo.hosted.exlibrisgroup.com/primo-explore/search?tab=default_tab&amp;search_scope=EVERYTHING&amp;vid=01CRU&amp;lang=en_US&amp;offset=0&amp;query=any,contains,991001738879702656","Catalog Record")</f>
        <v/>
      </c>
      <c r="AT623">
        <f>HYPERLINK("http://www.worldcat.org/oclc/21976263","WorldCat Record")</f>
        <v/>
      </c>
      <c r="AU623" t="inlineStr">
        <is>
          <t>364035821:eng</t>
        </is>
      </c>
      <c r="AV623" t="inlineStr">
        <is>
          <t>21976263</t>
        </is>
      </c>
      <c r="AW623" t="inlineStr">
        <is>
          <t>991001738879702656</t>
        </is>
      </c>
      <c r="AX623" t="inlineStr">
        <is>
          <t>991001738879702656</t>
        </is>
      </c>
      <c r="AY623" t="inlineStr">
        <is>
          <t>2270307160002656</t>
        </is>
      </c>
      <c r="AZ623" t="inlineStr">
        <is>
          <t>BOOK</t>
        </is>
      </c>
      <c r="BB623" t="inlineStr">
        <is>
          <t>9780395539330</t>
        </is>
      </c>
      <c r="BC623" t="inlineStr">
        <is>
          <t>32285000865740</t>
        </is>
      </c>
      <c r="BD623" t="inlineStr">
        <is>
          <t>893250433</t>
        </is>
      </c>
    </row>
    <row r="624">
      <c r="A624" t="inlineStr">
        <is>
          <t>No</t>
        </is>
      </c>
      <c r="B624" t="inlineStr">
        <is>
          <t>QL627 .R48</t>
        </is>
      </c>
      <c r="C624" t="inlineStr">
        <is>
          <t>0                      QL 0627000R  48</t>
        </is>
      </c>
      <c r="D624" t="inlineStr">
        <is>
          <t>Reservoir fisheries and limnology. Gordon E. Hall, editor.</t>
        </is>
      </c>
      <c r="F624" t="inlineStr">
        <is>
          <t>No</t>
        </is>
      </c>
      <c r="G624" t="inlineStr">
        <is>
          <t>1</t>
        </is>
      </c>
      <c r="H624" t="inlineStr">
        <is>
          <t>No</t>
        </is>
      </c>
      <c r="I624" t="inlineStr">
        <is>
          <t>No</t>
        </is>
      </c>
      <c r="J624" t="inlineStr">
        <is>
          <t>0</t>
        </is>
      </c>
      <c r="L624" t="inlineStr">
        <is>
          <t>Washington, American Fisheries Society [1971]</t>
        </is>
      </c>
      <c r="M624" t="inlineStr">
        <is>
          <t>1971</t>
        </is>
      </c>
      <c r="O624" t="inlineStr">
        <is>
          <t>eng</t>
        </is>
      </c>
      <c r="P624" t="inlineStr">
        <is>
          <t>dcu</t>
        </is>
      </c>
      <c r="Q624" t="inlineStr">
        <is>
          <t>American Fisheries Society. Special publication no. 8</t>
        </is>
      </c>
      <c r="R624" t="inlineStr">
        <is>
          <t xml:space="preserve">QL </t>
        </is>
      </c>
      <c r="S624" t="n">
        <v>1</v>
      </c>
      <c r="T624" t="n">
        <v>1</v>
      </c>
      <c r="U624" t="inlineStr">
        <is>
          <t>1999-02-25</t>
        </is>
      </c>
      <c r="V624" t="inlineStr">
        <is>
          <t>1999-02-25</t>
        </is>
      </c>
      <c r="W624" t="inlineStr">
        <is>
          <t>1997-07-25</t>
        </is>
      </c>
      <c r="X624" t="inlineStr">
        <is>
          <t>1997-07-25</t>
        </is>
      </c>
      <c r="Y624" t="n">
        <v>430</v>
      </c>
      <c r="Z624" t="n">
        <v>355</v>
      </c>
      <c r="AA624" t="n">
        <v>363</v>
      </c>
      <c r="AB624" t="n">
        <v>3</v>
      </c>
      <c r="AC624" t="n">
        <v>3</v>
      </c>
      <c r="AD624" t="n">
        <v>8</v>
      </c>
      <c r="AE624" t="n">
        <v>8</v>
      </c>
      <c r="AF624" t="n">
        <v>4</v>
      </c>
      <c r="AG624" t="n">
        <v>4</v>
      </c>
      <c r="AH624" t="n">
        <v>1</v>
      </c>
      <c r="AI624" t="n">
        <v>1</v>
      </c>
      <c r="AJ624" t="n">
        <v>3</v>
      </c>
      <c r="AK624" t="n">
        <v>3</v>
      </c>
      <c r="AL624" t="n">
        <v>1</v>
      </c>
      <c r="AM624" t="n">
        <v>1</v>
      </c>
      <c r="AN624" t="n">
        <v>0</v>
      </c>
      <c r="AO624" t="n">
        <v>0</v>
      </c>
      <c r="AP624" t="inlineStr">
        <is>
          <t>No</t>
        </is>
      </c>
      <c r="AQ624" t="inlineStr">
        <is>
          <t>Yes</t>
        </is>
      </c>
      <c r="AR624">
        <f>HYPERLINK("http://catalog.hathitrust.org/Record/000003013","HathiTrust Record")</f>
        <v/>
      </c>
      <c r="AS624">
        <f>HYPERLINK("https://creighton-primo.hosted.exlibrisgroup.com/primo-explore/search?tab=default_tab&amp;search_scope=EVERYTHING&amp;vid=01CRU&amp;lang=en_US&amp;offset=0&amp;query=any,contains,991001238639702656","Catalog Record")</f>
        <v/>
      </c>
      <c r="AT624">
        <f>HYPERLINK("http://www.worldcat.org/oclc/207487","WorldCat Record")</f>
        <v/>
      </c>
      <c r="AU624" t="inlineStr">
        <is>
          <t>57509967:eng</t>
        </is>
      </c>
      <c r="AV624" t="inlineStr">
        <is>
          <t>207487</t>
        </is>
      </c>
      <c r="AW624" t="inlineStr">
        <is>
          <t>991001238639702656</t>
        </is>
      </c>
      <c r="AX624" t="inlineStr">
        <is>
          <t>991001238639702656</t>
        </is>
      </c>
      <c r="AY624" t="inlineStr">
        <is>
          <t>2267218140002656</t>
        </is>
      </c>
      <c r="AZ624" t="inlineStr">
        <is>
          <t>BOOK</t>
        </is>
      </c>
      <c r="BC624" t="inlineStr">
        <is>
          <t>32285002981586</t>
        </is>
      </c>
      <c r="BD624" t="inlineStr">
        <is>
          <t>893509496</t>
        </is>
      </c>
    </row>
    <row r="625">
      <c r="A625" t="inlineStr">
        <is>
          <t>No</t>
        </is>
      </c>
      <c r="B625" t="inlineStr">
        <is>
          <t>QL627 .S625 1994</t>
        </is>
      </c>
      <c r="C625" t="inlineStr">
        <is>
          <t>0                      QL 0627000S  625         1994</t>
        </is>
      </c>
      <c r="D625" t="inlineStr">
        <is>
          <t>Fish watching : an outdoor guide to freshwater fishes / C. Lavett Smith.</t>
        </is>
      </c>
      <c r="F625" t="inlineStr">
        <is>
          <t>No</t>
        </is>
      </c>
      <c r="G625" t="inlineStr">
        <is>
          <t>1</t>
        </is>
      </c>
      <c r="H625" t="inlineStr">
        <is>
          <t>No</t>
        </is>
      </c>
      <c r="I625" t="inlineStr">
        <is>
          <t>No</t>
        </is>
      </c>
      <c r="J625" t="inlineStr">
        <is>
          <t>0</t>
        </is>
      </c>
      <c r="K625" t="inlineStr">
        <is>
          <t>Smith, C. Lavett, 1927-</t>
        </is>
      </c>
      <c r="L625" t="inlineStr">
        <is>
          <t>Ithaca : Comstock Pub. Associates, 1994.</t>
        </is>
      </c>
      <c r="M625" t="inlineStr">
        <is>
          <t>1994</t>
        </is>
      </c>
      <c r="O625" t="inlineStr">
        <is>
          <t>eng</t>
        </is>
      </c>
      <c r="P625" t="inlineStr">
        <is>
          <t>nyu</t>
        </is>
      </c>
      <c r="R625" t="inlineStr">
        <is>
          <t xml:space="preserve">QL </t>
        </is>
      </c>
      <c r="S625" t="n">
        <v>6</v>
      </c>
      <c r="T625" t="n">
        <v>6</v>
      </c>
      <c r="U625" t="inlineStr">
        <is>
          <t>2001-03-13</t>
        </is>
      </c>
      <c r="V625" t="inlineStr">
        <is>
          <t>2001-03-13</t>
        </is>
      </c>
      <c r="W625" t="inlineStr">
        <is>
          <t>1995-03-01</t>
        </is>
      </c>
      <c r="X625" t="inlineStr">
        <is>
          <t>1995-03-01</t>
        </is>
      </c>
      <c r="Y625" t="n">
        <v>467</v>
      </c>
      <c r="Z625" t="n">
        <v>441</v>
      </c>
      <c r="AA625" t="n">
        <v>447</v>
      </c>
      <c r="AB625" t="n">
        <v>3</v>
      </c>
      <c r="AC625" t="n">
        <v>3</v>
      </c>
      <c r="AD625" t="n">
        <v>9</v>
      </c>
      <c r="AE625" t="n">
        <v>9</v>
      </c>
      <c r="AF625" t="n">
        <v>4</v>
      </c>
      <c r="AG625" t="n">
        <v>4</v>
      </c>
      <c r="AH625" t="n">
        <v>1</v>
      </c>
      <c r="AI625" t="n">
        <v>1</v>
      </c>
      <c r="AJ625" t="n">
        <v>4</v>
      </c>
      <c r="AK625" t="n">
        <v>4</v>
      </c>
      <c r="AL625" t="n">
        <v>2</v>
      </c>
      <c r="AM625" t="n">
        <v>2</v>
      </c>
      <c r="AN625" t="n">
        <v>0</v>
      </c>
      <c r="AO625" t="n">
        <v>0</v>
      </c>
      <c r="AP625" t="inlineStr">
        <is>
          <t>No</t>
        </is>
      </c>
      <c r="AQ625" t="inlineStr">
        <is>
          <t>Yes</t>
        </is>
      </c>
      <c r="AR625">
        <f>HYPERLINK("http://catalog.hathitrust.org/Record/002957871","HathiTrust Record")</f>
        <v/>
      </c>
      <c r="AS625">
        <f>HYPERLINK("https://creighton-primo.hosted.exlibrisgroup.com/primo-explore/search?tab=default_tab&amp;search_scope=EVERYTHING&amp;vid=01CRU&amp;lang=en_US&amp;offset=0&amp;query=any,contains,991002245719702656","Catalog Record")</f>
        <v/>
      </c>
      <c r="AT625">
        <f>HYPERLINK("http://www.worldcat.org/oclc/28964729","WorldCat Record")</f>
        <v/>
      </c>
      <c r="AU625" t="inlineStr">
        <is>
          <t>353809114:eng</t>
        </is>
      </c>
      <c r="AV625" t="inlineStr">
        <is>
          <t>28964729</t>
        </is>
      </c>
      <c r="AW625" t="inlineStr">
        <is>
          <t>991002245719702656</t>
        </is>
      </c>
      <c r="AX625" t="inlineStr">
        <is>
          <t>991002245719702656</t>
        </is>
      </c>
      <c r="AY625" t="inlineStr">
        <is>
          <t>2255401180002656</t>
        </is>
      </c>
      <c r="AZ625" t="inlineStr">
        <is>
          <t>BOOK</t>
        </is>
      </c>
      <c r="BB625" t="inlineStr">
        <is>
          <t>9780801428272</t>
        </is>
      </c>
      <c r="BC625" t="inlineStr">
        <is>
          <t>32285002000585</t>
        </is>
      </c>
      <c r="BD625" t="inlineStr">
        <is>
          <t>893779589</t>
        </is>
      </c>
    </row>
    <row r="626">
      <c r="A626" t="inlineStr">
        <is>
          <t>No</t>
        </is>
      </c>
      <c r="B626" t="inlineStr">
        <is>
          <t>QL628.M6 E3 1947</t>
        </is>
      </c>
      <c r="C626" t="inlineStr">
        <is>
          <t>0                      QL 0628000M  6                  E  3           1947</t>
        </is>
      </c>
      <c r="D626" t="inlineStr">
        <is>
          <t>Northern fishes, with special reference to the Upper Mississippi Valley [by] Samuel Eddy and Thaddeus Surber.</t>
        </is>
      </c>
      <c r="F626" t="inlineStr">
        <is>
          <t>No</t>
        </is>
      </c>
      <c r="G626" t="inlineStr">
        <is>
          <t>1</t>
        </is>
      </c>
      <c r="H626" t="inlineStr">
        <is>
          <t>No</t>
        </is>
      </c>
      <c r="I626" t="inlineStr">
        <is>
          <t>No</t>
        </is>
      </c>
      <c r="J626" t="inlineStr">
        <is>
          <t>0</t>
        </is>
      </c>
      <c r="K626" t="inlineStr">
        <is>
          <t>Eddy, Samuel, 1897-1972.</t>
        </is>
      </c>
      <c r="L626" t="inlineStr">
        <is>
          <t>Minneapolis, University of Minnesota Press [1947]</t>
        </is>
      </c>
      <c r="M626" t="inlineStr">
        <is>
          <t>1947</t>
        </is>
      </c>
      <c r="N626" t="inlineStr">
        <is>
          <t>Rev. [i.e. 2d] ed.</t>
        </is>
      </c>
      <c r="O626" t="inlineStr">
        <is>
          <t>eng</t>
        </is>
      </c>
      <c r="P626" t="inlineStr">
        <is>
          <t xml:space="preserve">xx </t>
        </is>
      </c>
      <c r="R626" t="inlineStr">
        <is>
          <t xml:space="preserve">QL </t>
        </is>
      </c>
      <c r="S626" t="n">
        <v>5</v>
      </c>
      <c r="T626" t="n">
        <v>5</v>
      </c>
      <c r="U626" t="inlineStr">
        <is>
          <t>2001-02-20</t>
        </is>
      </c>
      <c r="V626" t="inlineStr">
        <is>
          <t>2001-02-20</t>
        </is>
      </c>
      <c r="W626" t="inlineStr">
        <is>
          <t>1997-07-25</t>
        </is>
      </c>
      <c r="X626" t="inlineStr">
        <is>
          <t>1997-07-25</t>
        </is>
      </c>
      <c r="Y626" t="n">
        <v>175</v>
      </c>
      <c r="Z626" t="n">
        <v>165</v>
      </c>
      <c r="AA626" t="n">
        <v>984</v>
      </c>
      <c r="AB626" t="n">
        <v>3</v>
      </c>
      <c r="AC626" t="n">
        <v>8</v>
      </c>
      <c r="AD626" t="n">
        <v>4</v>
      </c>
      <c r="AE626" t="n">
        <v>34</v>
      </c>
      <c r="AF626" t="n">
        <v>2</v>
      </c>
      <c r="AG626" t="n">
        <v>13</v>
      </c>
      <c r="AH626" t="n">
        <v>1</v>
      </c>
      <c r="AI626" t="n">
        <v>9</v>
      </c>
      <c r="AJ626" t="n">
        <v>2</v>
      </c>
      <c r="AK626" t="n">
        <v>12</v>
      </c>
      <c r="AL626" t="n">
        <v>1</v>
      </c>
      <c r="AM626" t="n">
        <v>6</v>
      </c>
      <c r="AN626" t="n">
        <v>0</v>
      </c>
      <c r="AO626" t="n">
        <v>1</v>
      </c>
      <c r="AP626" t="inlineStr">
        <is>
          <t>No</t>
        </is>
      </c>
      <c r="AQ626" t="inlineStr">
        <is>
          <t>No</t>
        </is>
      </c>
      <c r="AS626">
        <f>HYPERLINK("https://creighton-primo.hosted.exlibrisgroup.com/primo-explore/search?tab=default_tab&amp;search_scope=EVERYTHING&amp;vid=01CRU&amp;lang=en_US&amp;offset=0&amp;query=any,contains,991003586539702656","Catalog Record")</f>
        <v/>
      </c>
      <c r="AT626">
        <f>HYPERLINK("http://www.worldcat.org/oclc/1167303","WorldCat Record")</f>
        <v/>
      </c>
      <c r="AU626" t="inlineStr">
        <is>
          <t>54030825:eng</t>
        </is>
      </c>
      <c r="AV626" t="inlineStr">
        <is>
          <t>1167303</t>
        </is>
      </c>
      <c r="AW626" t="inlineStr">
        <is>
          <t>991003586539702656</t>
        </is>
      </c>
      <c r="AX626" t="inlineStr">
        <is>
          <t>991003586539702656</t>
        </is>
      </c>
      <c r="AY626" t="inlineStr">
        <is>
          <t>2267927150002656</t>
        </is>
      </c>
      <c r="AZ626" t="inlineStr">
        <is>
          <t>BOOK</t>
        </is>
      </c>
      <c r="BC626" t="inlineStr">
        <is>
          <t>32285002981594</t>
        </is>
      </c>
      <c r="BD626" t="inlineStr">
        <is>
          <t>893705391</t>
        </is>
      </c>
    </row>
    <row r="627">
      <c r="A627" t="inlineStr">
        <is>
          <t>No</t>
        </is>
      </c>
      <c r="B627" t="inlineStr">
        <is>
          <t>QL628.M6 E6 no.1</t>
        </is>
      </c>
      <c r="C627" t="inlineStr">
        <is>
          <t>0                      QL 0628000M  6                  E  6                                 no.1</t>
        </is>
      </c>
      <c r="D627" t="inlineStr">
        <is>
          <t>Seasonal and distributional patterns of icthyoplankton in the Missouri River / by Lee G. Harrow, Igor Cherko, Allen B. Schlesinger. --</t>
        </is>
      </c>
      <c r="E627" t="inlineStr">
        <is>
          <t>no.1*</t>
        </is>
      </c>
      <c r="F627" t="inlineStr">
        <is>
          <t>No</t>
        </is>
      </c>
      <c r="G627" t="inlineStr">
        <is>
          <t>1</t>
        </is>
      </c>
      <c r="H627" t="inlineStr">
        <is>
          <t>No</t>
        </is>
      </c>
      <c r="I627" t="inlineStr">
        <is>
          <t>No</t>
        </is>
      </c>
      <c r="J627" t="inlineStr">
        <is>
          <t>0</t>
        </is>
      </c>
      <c r="K627" t="inlineStr">
        <is>
          <t>Harrow, Lee G.</t>
        </is>
      </c>
      <c r="L627" t="inlineStr">
        <is>
          <t>[Omaha, Neb. : Omaha Public Power District], 1975.</t>
        </is>
      </c>
      <c r="M627" t="inlineStr">
        <is>
          <t>1975</t>
        </is>
      </c>
      <c r="O627" t="inlineStr">
        <is>
          <t>eng</t>
        </is>
      </c>
      <c r="P627" t="inlineStr">
        <is>
          <t>neu</t>
        </is>
      </c>
      <c r="Q627" t="inlineStr">
        <is>
          <t>Environmental series bulletin ; no. 1</t>
        </is>
      </c>
      <c r="R627" t="inlineStr">
        <is>
          <t xml:space="preserve">QL </t>
        </is>
      </c>
      <c r="S627" t="n">
        <v>3</v>
      </c>
      <c r="T627" t="n">
        <v>3</v>
      </c>
      <c r="U627" t="inlineStr">
        <is>
          <t>1998-09-01</t>
        </is>
      </c>
      <c r="V627" t="inlineStr">
        <is>
          <t>1998-09-01</t>
        </is>
      </c>
      <c r="W627" t="inlineStr">
        <is>
          <t>1993-02-11</t>
        </is>
      </c>
      <c r="X627" t="inlineStr">
        <is>
          <t>1993-02-11</t>
        </is>
      </c>
      <c r="Y627" t="n">
        <v>13</v>
      </c>
      <c r="Z627" t="n">
        <v>13</v>
      </c>
      <c r="AA627" t="n">
        <v>13</v>
      </c>
      <c r="AB627" t="n">
        <v>7</v>
      </c>
      <c r="AC627" t="n">
        <v>7</v>
      </c>
      <c r="AD627" t="n">
        <v>5</v>
      </c>
      <c r="AE627" t="n">
        <v>5</v>
      </c>
      <c r="AF627" t="n">
        <v>0</v>
      </c>
      <c r="AG627" t="n">
        <v>0</v>
      </c>
      <c r="AH627" t="n">
        <v>0</v>
      </c>
      <c r="AI627" t="n">
        <v>0</v>
      </c>
      <c r="AJ627" t="n">
        <v>0</v>
      </c>
      <c r="AK627" t="n">
        <v>0</v>
      </c>
      <c r="AL627" t="n">
        <v>5</v>
      </c>
      <c r="AM627" t="n">
        <v>5</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HYPERLINK("https://creighton-primo.hosted.exlibrisgroup.com/primo-explore/search?tab=default_tab&amp;search_scope=EVERYTHING&amp;vid=01CRU&amp;lang=en_US&amp;offset=0&amp;query=any,contains,991004464979702656","Catalog Record")</f>
        <v/>
      </c>
      <c r="AT627">
        <f>HYPERLINK("http://www.worldcat.org/oclc/3562805","WorldCat Record")</f>
        <v/>
      </c>
      <c r="AU627" t="inlineStr">
        <is>
          <t>10677705:eng</t>
        </is>
      </c>
      <c r="AV627" t="inlineStr">
        <is>
          <t>3562805</t>
        </is>
      </c>
      <c r="AW627" t="inlineStr">
        <is>
          <t>991004464979702656</t>
        </is>
      </c>
      <c r="AX627" t="inlineStr">
        <is>
          <t>991004464979702656</t>
        </is>
      </c>
      <c r="AY627" t="inlineStr">
        <is>
          <t>2268230470002656</t>
        </is>
      </c>
      <c r="AZ627" t="inlineStr">
        <is>
          <t>BOOK</t>
        </is>
      </c>
      <c r="BC627" t="inlineStr">
        <is>
          <t>32285001532596</t>
        </is>
      </c>
      <c r="BD627" t="inlineStr">
        <is>
          <t>893235520</t>
        </is>
      </c>
    </row>
    <row r="628">
      <c r="A628" t="inlineStr">
        <is>
          <t>No</t>
        </is>
      </c>
      <c r="B628" t="inlineStr">
        <is>
          <t>QL628.M6 E6 no.2</t>
        </is>
      </c>
      <c r="C628" t="inlineStr">
        <is>
          <t>0                      QL 0628000M  6                  E  6                                 no.2</t>
        </is>
      </c>
      <c r="D628" t="inlineStr">
        <is>
          <t>Missouri River monitoring : fisheries &amp; drift population effects of the Fort Calhoun Station ; [Annual report to Omaha Public Power District / prepared and submitted by NALCO Environmental Sciences ; Stephen R. Carter, editor]</t>
        </is>
      </c>
      <c r="E628" t="inlineStr">
        <is>
          <t>no.2*</t>
        </is>
      </c>
      <c r="F628" t="inlineStr">
        <is>
          <t>No</t>
        </is>
      </c>
      <c r="G628" t="inlineStr">
        <is>
          <t>1</t>
        </is>
      </c>
      <c r="H628" t="inlineStr">
        <is>
          <t>No</t>
        </is>
      </c>
      <c r="I628" t="inlineStr">
        <is>
          <t>No</t>
        </is>
      </c>
      <c r="J628" t="inlineStr">
        <is>
          <t>0</t>
        </is>
      </c>
      <c r="L628" t="inlineStr">
        <is>
          <t>Omaha, Neb. : Omaha Public Power District, 1977.</t>
        </is>
      </c>
      <c r="M628" t="inlineStr">
        <is>
          <t>1977</t>
        </is>
      </c>
      <c r="O628" t="inlineStr">
        <is>
          <t>eng</t>
        </is>
      </c>
      <c r="P628" t="inlineStr">
        <is>
          <t>nbu</t>
        </is>
      </c>
      <c r="Q628" t="inlineStr">
        <is>
          <t>Environmental series bulletin ; no. 2</t>
        </is>
      </c>
      <c r="R628" t="inlineStr">
        <is>
          <t xml:space="preserve">QL </t>
        </is>
      </c>
      <c r="S628" t="n">
        <v>2</v>
      </c>
      <c r="T628" t="n">
        <v>2</v>
      </c>
      <c r="U628" t="inlineStr">
        <is>
          <t>1993-09-28</t>
        </is>
      </c>
      <c r="V628" t="inlineStr">
        <is>
          <t>1993-09-28</t>
        </is>
      </c>
      <c r="W628" t="inlineStr">
        <is>
          <t>1993-02-11</t>
        </is>
      </c>
      <c r="X628" t="inlineStr">
        <is>
          <t>1993-02-11</t>
        </is>
      </c>
      <c r="Y628" t="n">
        <v>11</v>
      </c>
      <c r="Z628" t="n">
        <v>11</v>
      </c>
      <c r="AA628" t="n">
        <v>11</v>
      </c>
      <c r="AB628" t="n">
        <v>6</v>
      </c>
      <c r="AC628" t="n">
        <v>6</v>
      </c>
      <c r="AD628" t="n">
        <v>3</v>
      </c>
      <c r="AE628" t="n">
        <v>3</v>
      </c>
      <c r="AF628" t="n">
        <v>0</v>
      </c>
      <c r="AG628" t="n">
        <v>0</v>
      </c>
      <c r="AH628" t="n">
        <v>0</v>
      </c>
      <c r="AI628" t="n">
        <v>0</v>
      </c>
      <c r="AJ628" t="n">
        <v>0</v>
      </c>
      <c r="AK628" t="n">
        <v>0</v>
      </c>
      <c r="AL628" t="n">
        <v>3</v>
      </c>
      <c r="AM628" t="n">
        <v>3</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HYPERLINK("https://creighton-primo.hosted.exlibrisgroup.com/primo-explore/search?tab=default_tab&amp;search_scope=EVERYTHING&amp;vid=01CRU&amp;lang=en_US&amp;offset=0&amp;query=any,contains,991004615039702656","Catalog Record")</f>
        <v/>
      </c>
      <c r="AT628">
        <f>HYPERLINK("http://www.worldcat.org/oclc/4245363","WorldCat Record")</f>
        <v/>
      </c>
      <c r="AU628" t="inlineStr">
        <is>
          <t>14613761:eng</t>
        </is>
      </c>
      <c r="AV628" t="inlineStr">
        <is>
          <t>4245363</t>
        </is>
      </c>
      <c r="AW628" t="inlineStr">
        <is>
          <t>991004615039702656</t>
        </is>
      </c>
      <c r="AX628" t="inlineStr">
        <is>
          <t>991004615039702656</t>
        </is>
      </c>
      <c r="AY628" t="inlineStr">
        <is>
          <t>2263979450002656</t>
        </is>
      </c>
      <c r="AZ628" t="inlineStr">
        <is>
          <t>BOOK</t>
        </is>
      </c>
      <c r="BC628" t="inlineStr">
        <is>
          <t>32285001532604</t>
        </is>
      </c>
      <c r="BD628" t="inlineStr">
        <is>
          <t>893350203</t>
        </is>
      </c>
    </row>
    <row r="629">
      <c r="A629" t="inlineStr">
        <is>
          <t>No</t>
        </is>
      </c>
      <c r="B629" t="inlineStr">
        <is>
          <t>QL628.M6 E6 no.3</t>
        </is>
      </c>
      <c r="C629" t="inlineStr">
        <is>
          <t>0                      QL 0628000M  6                  E  6                                 no.3</t>
        </is>
      </c>
      <c r="D629" t="inlineStr">
        <is>
          <t>The effects of entrainment and impingement at the Fort Calhoun Station on the fisheries of the channelized Missouri River / edited by Lee G. Harrow; contributing authors, Ronald G. King...[et. al.].</t>
        </is>
      </c>
      <c r="E629" t="inlineStr">
        <is>
          <t>no.3*</t>
        </is>
      </c>
      <c r="F629" t="inlineStr">
        <is>
          <t>No</t>
        </is>
      </c>
      <c r="G629" t="inlineStr">
        <is>
          <t>1</t>
        </is>
      </c>
      <c r="H629" t="inlineStr">
        <is>
          <t>No</t>
        </is>
      </c>
      <c r="I629" t="inlineStr">
        <is>
          <t>No</t>
        </is>
      </c>
      <c r="J629" t="inlineStr">
        <is>
          <t>0</t>
        </is>
      </c>
      <c r="K629" t="inlineStr">
        <is>
          <t>Harrow, Lee G., editor.</t>
        </is>
      </c>
      <c r="L629" t="inlineStr">
        <is>
          <t>[Omaha, Neb. : Omaha Public Power District], 1977.</t>
        </is>
      </c>
      <c r="M629" t="inlineStr">
        <is>
          <t>1977</t>
        </is>
      </c>
      <c r="O629" t="inlineStr">
        <is>
          <t>eng</t>
        </is>
      </c>
      <c r="P629" t="inlineStr">
        <is>
          <t>neu</t>
        </is>
      </c>
      <c r="Q629" t="inlineStr">
        <is>
          <t>Environmental series bulletin ; no. 3</t>
        </is>
      </c>
      <c r="R629" t="inlineStr">
        <is>
          <t xml:space="preserve">QL </t>
        </is>
      </c>
      <c r="S629" t="n">
        <v>2</v>
      </c>
      <c r="T629" t="n">
        <v>2</v>
      </c>
      <c r="U629" t="inlineStr">
        <is>
          <t>2005-03-29</t>
        </is>
      </c>
      <c r="V629" t="inlineStr">
        <is>
          <t>2005-03-29</t>
        </is>
      </c>
      <c r="W629" t="inlineStr">
        <is>
          <t>1999-07-23</t>
        </is>
      </c>
      <c r="X629" t="inlineStr">
        <is>
          <t>1999-07-23</t>
        </is>
      </c>
      <c r="Y629" t="n">
        <v>10</v>
      </c>
      <c r="Z629" t="n">
        <v>10</v>
      </c>
      <c r="AA629" t="n">
        <v>10</v>
      </c>
      <c r="AB629" t="n">
        <v>5</v>
      </c>
      <c r="AC629" t="n">
        <v>5</v>
      </c>
      <c r="AD629" t="n">
        <v>3</v>
      </c>
      <c r="AE629" t="n">
        <v>3</v>
      </c>
      <c r="AF629" t="n">
        <v>0</v>
      </c>
      <c r="AG629" t="n">
        <v>0</v>
      </c>
      <c r="AH629" t="n">
        <v>0</v>
      </c>
      <c r="AI629" t="n">
        <v>0</v>
      </c>
      <c r="AJ629" t="n">
        <v>0</v>
      </c>
      <c r="AK629" t="n">
        <v>0</v>
      </c>
      <c r="AL629" t="n">
        <v>3</v>
      </c>
      <c r="AM629" t="n">
        <v>3</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HYPERLINK("https://creighton-primo.hosted.exlibrisgroup.com/primo-explore/search?tab=default_tab&amp;search_scope=EVERYTHING&amp;vid=01CRU&amp;lang=en_US&amp;offset=0&amp;query=any,contains,991004465009702656","Catalog Record")</f>
        <v/>
      </c>
      <c r="AT629">
        <f>HYPERLINK("http://www.worldcat.org/oclc/3562916","WorldCat Record")</f>
        <v/>
      </c>
      <c r="AU629" t="inlineStr">
        <is>
          <t>10680676:eng</t>
        </is>
      </c>
      <c r="AV629" t="inlineStr">
        <is>
          <t>3562916</t>
        </is>
      </c>
      <c r="AW629" t="inlineStr">
        <is>
          <t>991004465009702656</t>
        </is>
      </c>
      <c r="AX629" t="inlineStr">
        <is>
          <t>991004465009702656</t>
        </is>
      </c>
      <c r="AY629" t="inlineStr">
        <is>
          <t>2268244280002656</t>
        </is>
      </c>
      <c r="AZ629" t="inlineStr">
        <is>
          <t>BOOK</t>
        </is>
      </c>
      <c r="BC629" t="inlineStr">
        <is>
          <t>32285001532612</t>
        </is>
      </c>
      <c r="BD629" t="inlineStr">
        <is>
          <t>893712629</t>
        </is>
      </c>
    </row>
    <row r="630">
      <c r="A630" t="inlineStr">
        <is>
          <t>No</t>
        </is>
      </c>
      <c r="B630" t="inlineStr">
        <is>
          <t>QL628.N42 F57 1987</t>
        </is>
      </c>
      <c r="C630" t="inlineStr">
        <is>
          <t>0                      QL 0628000N  42                 F  57          1987</t>
        </is>
      </c>
      <c r="D630" t="inlineStr">
        <is>
          <t>The Fish book.</t>
        </is>
      </c>
      <c r="F630" t="inlineStr">
        <is>
          <t>No</t>
        </is>
      </c>
      <c r="G630" t="inlineStr">
        <is>
          <t>1</t>
        </is>
      </c>
      <c r="H630" t="inlineStr">
        <is>
          <t>No</t>
        </is>
      </c>
      <c r="I630" t="inlineStr">
        <is>
          <t>No</t>
        </is>
      </c>
      <c r="J630" t="inlineStr">
        <is>
          <t>0</t>
        </is>
      </c>
      <c r="L630" t="inlineStr">
        <is>
          <t>Lincoln : Nebraska Game and Parks Commission, 1987.</t>
        </is>
      </c>
      <c r="M630" t="inlineStr">
        <is>
          <t>1987</t>
        </is>
      </c>
      <c r="O630" t="inlineStr">
        <is>
          <t>eng</t>
        </is>
      </c>
      <c r="P630" t="inlineStr">
        <is>
          <t>nbu</t>
        </is>
      </c>
      <c r="Q630" t="inlineStr">
        <is>
          <t>Nebraskaland, 0028-1964 ; v. 65, no. 1</t>
        </is>
      </c>
      <c r="R630" t="inlineStr">
        <is>
          <t xml:space="preserve">QL </t>
        </is>
      </c>
      <c r="S630" t="n">
        <v>12</v>
      </c>
      <c r="T630" t="n">
        <v>12</v>
      </c>
      <c r="U630" t="inlineStr">
        <is>
          <t>2001-03-13</t>
        </is>
      </c>
      <c r="V630" t="inlineStr">
        <is>
          <t>2001-03-13</t>
        </is>
      </c>
      <c r="W630" t="inlineStr">
        <is>
          <t>1992-03-04</t>
        </is>
      </c>
      <c r="X630" t="inlineStr">
        <is>
          <t>1992-03-04</t>
        </is>
      </c>
      <c r="Y630" t="n">
        <v>38</v>
      </c>
      <c r="Z630" t="n">
        <v>36</v>
      </c>
      <c r="AA630" t="n">
        <v>36</v>
      </c>
      <c r="AB630" t="n">
        <v>29</v>
      </c>
      <c r="AC630" t="n">
        <v>29</v>
      </c>
      <c r="AD630" t="n">
        <v>4</v>
      </c>
      <c r="AE630" t="n">
        <v>4</v>
      </c>
      <c r="AF630" t="n">
        <v>0</v>
      </c>
      <c r="AG630" t="n">
        <v>0</v>
      </c>
      <c r="AH630" t="n">
        <v>0</v>
      </c>
      <c r="AI630" t="n">
        <v>0</v>
      </c>
      <c r="AJ630" t="n">
        <v>0</v>
      </c>
      <c r="AK630" t="n">
        <v>0</v>
      </c>
      <c r="AL630" t="n">
        <v>4</v>
      </c>
      <c r="AM630" t="n">
        <v>4</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HYPERLINK("https://creighton-primo.hosted.exlibrisgroup.com/primo-explore/search?tab=default_tab&amp;search_scope=EVERYTHING&amp;vid=01CRU&amp;lang=en_US&amp;offset=0&amp;query=any,contains,991001030729702656","Catalog Record")</f>
        <v/>
      </c>
      <c r="AT630">
        <f>HYPERLINK("http://www.worldcat.org/oclc/15514171","WorldCat Record")</f>
        <v/>
      </c>
      <c r="AU630" t="inlineStr">
        <is>
          <t>10049983:eng</t>
        </is>
      </c>
      <c r="AV630" t="inlineStr">
        <is>
          <t>15514171</t>
        </is>
      </c>
      <c r="AW630" t="inlineStr">
        <is>
          <t>991001030729702656</t>
        </is>
      </c>
      <c r="AX630" t="inlineStr">
        <is>
          <t>991001030729702656</t>
        </is>
      </c>
      <c r="AY630" t="inlineStr">
        <is>
          <t>2271547940002656</t>
        </is>
      </c>
      <c r="AZ630" t="inlineStr">
        <is>
          <t>BOOK</t>
        </is>
      </c>
      <c r="BC630" t="inlineStr">
        <is>
          <t>32285000992148</t>
        </is>
      </c>
      <c r="BD630" t="inlineStr">
        <is>
          <t>893772242</t>
        </is>
      </c>
    </row>
    <row r="631">
      <c r="A631" t="inlineStr">
        <is>
          <t>No</t>
        </is>
      </c>
      <c r="B631" t="inlineStr">
        <is>
          <t>QL628.W39 S96 2004</t>
        </is>
      </c>
      <c r="C631" t="inlineStr">
        <is>
          <t>0                      QL 0628000W  39                 S  96          2004</t>
        </is>
      </c>
      <c r="D631" t="inlineStr">
        <is>
          <t>Status, distribution, and conservation of native freshwater fishes of western North America : a symposium proceedings / edited by Mark J. Brouder and Julie A. Scheurer.</t>
        </is>
      </c>
      <c r="F631" t="inlineStr">
        <is>
          <t>No</t>
        </is>
      </c>
      <c r="G631" t="inlineStr">
        <is>
          <t>1</t>
        </is>
      </c>
      <c r="H631" t="inlineStr">
        <is>
          <t>No</t>
        </is>
      </c>
      <c r="I631" t="inlineStr">
        <is>
          <t>No</t>
        </is>
      </c>
      <c r="J631" t="inlineStr">
        <is>
          <t>0</t>
        </is>
      </c>
      <c r="K631" t="inlineStr">
        <is>
          <t>Symposium: "Status, Distribution, and Conservation of Native Freshwater Fishes of Western North America" (2004 : Salt Lake City, Utah)</t>
        </is>
      </c>
      <c r="L631" t="inlineStr">
        <is>
          <t>Bethesda, Md. : American Fisheries Society, 2007.</t>
        </is>
      </c>
      <c r="M631" t="inlineStr">
        <is>
          <t>2007</t>
        </is>
      </c>
      <c r="O631" t="inlineStr">
        <is>
          <t>eng</t>
        </is>
      </c>
      <c r="P631" t="inlineStr">
        <is>
          <t>mdu</t>
        </is>
      </c>
      <c r="Q631" t="inlineStr">
        <is>
          <t>American Fisheries Society symposium ; 53</t>
        </is>
      </c>
      <c r="R631" t="inlineStr">
        <is>
          <t xml:space="preserve">QL </t>
        </is>
      </c>
      <c r="S631" t="n">
        <v>1</v>
      </c>
      <c r="T631" t="n">
        <v>1</v>
      </c>
      <c r="U631" t="inlineStr">
        <is>
          <t>2008-03-24</t>
        </is>
      </c>
      <c r="V631" t="inlineStr">
        <is>
          <t>2008-03-24</t>
        </is>
      </c>
      <c r="W631" t="inlineStr">
        <is>
          <t>2008-03-24</t>
        </is>
      </c>
      <c r="X631" t="inlineStr">
        <is>
          <t>2008-03-24</t>
        </is>
      </c>
      <c r="Y631" t="n">
        <v>118</v>
      </c>
      <c r="Z631" t="n">
        <v>97</v>
      </c>
      <c r="AA631" t="n">
        <v>98</v>
      </c>
      <c r="AB631" t="n">
        <v>2</v>
      </c>
      <c r="AC631" t="n">
        <v>2</v>
      </c>
      <c r="AD631" t="n">
        <v>3</v>
      </c>
      <c r="AE631" t="n">
        <v>3</v>
      </c>
      <c r="AF631" t="n">
        <v>2</v>
      </c>
      <c r="AG631" t="n">
        <v>2</v>
      </c>
      <c r="AH631" t="n">
        <v>0</v>
      </c>
      <c r="AI631" t="n">
        <v>0</v>
      </c>
      <c r="AJ631" t="n">
        <v>1</v>
      </c>
      <c r="AK631" t="n">
        <v>1</v>
      </c>
      <c r="AL631" t="n">
        <v>1</v>
      </c>
      <c r="AM631" t="n">
        <v>1</v>
      </c>
      <c r="AN631" t="n">
        <v>0</v>
      </c>
      <c r="AO631" t="n">
        <v>0</v>
      </c>
      <c r="AP631" t="inlineStr">
        <is>
          <t>No</t>
        </is>
      </c>
      <c r="AQ631" t="inlineStr">
        <is>
          <t>Yes</t>
        </is>
      </c>
      <c r="AR631">
        <f>HYPERLINK("http://catalog.hathitrust.org/Record/005649556","HathiTrust Record")</f>
        <v/>
      </c>
      <c r="AS631">
        <f>HYPERLINK("https://creighton-primo.hosted.exlibrisgroup.com/primo-explore/search?tab=default_tab&amp;search_scope=EVERYTHING&amp;vid=01CRU&amp;lang=en_US&amp;offset=0&amp;query=any,contains,991005183989702656","Catalog Record")</f>
        <v/>
      </c>
      <c r="AT631">
        <f>HYPERLINK("http://www.worldcat.org/oclc/169899729","WorldCat Record")</f>
        <v/>
      </c>
      <c r="AU631" t="inlineStr">
        <is>
          <t>292594520:eng</t>
        </is>
      </c>
      <c r="AV631" t="inlineStr">
        <is>
          <t>169899729</t>
        </is>
      </c>
      <c r="AW631" t="inlineStr">
        <is>
          <t>991005183989702656</t>
        </is>
      </c>
      <c r="AX631" t="inlineStr">
        <is>
          <t>991005183989702656</t>
        </is>
      </c>
      <c r="AY631" t="inlineStr">
        <is>
          <t>2269760350002656</t>
        </is>
      </c>
      <c r="AZ631" t="inlineStr">
        <is>
          <t>BOOK</t>
        </is>
      </c>
      <c r="BB631" t="inlineStr">
        <is>
          <t>9781888569896</t>
        </is>
      </c>
      <c r="BC631" t="inlineStr">
        <is>
          <t>32285005398176</t>
        </is>
      </c>
      <c r="BD631" t="inlineStr">
        <is>
          <t>893628604</t>
        </is>
      </c>
    </row>
    <row r="632">
      <c r="A632" t="inlineStr">
        <is>
          <t>No</t>
        </is>
      </c>
      <c r="B632" t="inlineStr">
        <is>
          <t>QL629 .M55 2005</t>
        </is>
      </c>
      <c r="C632" t="inlineStr">
        <is>
          <t>0                      QL 0629000M  55          2005</t>
        </is>
      </c>
      <c r="D632" t="inlineStr">
        <is>
          <t>Freshwater fishes of México / Robert Rush Miller ; with the collaboration of W.L. Minckley and Steven Mark Norris ; with maps by Martha Hall Gach.</t>
        </is>
      </c>
      <c r="F632" t="inlineStr">
        <is>
          <t>No</t>
        </is>
      </c>
      <c r="G632" t="inlineStr">
        <is>
          <t>1</t>
        </is>
      </c>
      <c r="H632" t="inlineStr">
        <is>
          <t>No</t>
        </is>
      </c>
      <c r="I632" t="inlineStr">
        <is>
          <t>No</t>
        </is>
      </c>
      <c r="J632" t="inlineStr">
        <is>
          <t>0</t>
        </is>
      </c>
      <c r="K632" t="inlineStr">
        <is>
          <t>Miller, Robert Rush, 1916-2003.</t>
        </is>
      </c>
      <c r="L632" t="inlineStr">
        <is>
          <t>Chicago : University of Chicago Press, 2005.</t>
        </is>
      </c>
      <c r="M632" t="inlineStr">
        <is>
          <t>2005</t>
        </is>
      </c>
      <c r="O632" t="inlineStr">
        <is>
          <t>eng</t>
        </is>
      </c>
      <c r="P632" t="inlineStr">
        <is>
          <t>ilu</t>
        </is>
      </c>
      <c r="R632" t="inlineStr">
        <is>
          <t xml:space="preserve">QL </t>
        </is>
      </c>
      <c r="S632" t="n">
        <v>1</v>
      </c>
      <c r="T632" t="n">
        <v>1</v>
      </c>
      <c r="U632" t="inlineStr">
        <is>
          <t>2008-04-15</t>
        </is>
      </c>
      <c r="V632" t="inlineStr">
        <is>
          <t>2008-04-15</t>
        </is>
      </c>
      <c r="W632" t="inlineStr">
        <is>
          <t>2008-04-15</t>
        </is>
      </c>
      <c r="X632" t="inlineStr">
        <is>
          <t>2008-04-15</t>
        </is>
      </c>
      <c r="Y632" t="n">
        <v>285</v>
      </c>
      <c r="Z632" t="n">
        <v>253</v>
      </c>
      <c r="AA632" t="n">
        <v>258</v>
      </c>
      <c r="AB632" t="n">
        <v>2</v>
      </c>
      <c r="AC632" t="n">
        <v>2</v>
      </c>
      <c r="AD632" t="n">
        <v>8</v>
      </c>
      <c r="AE632" t="n">
        <v>8</v>
      </c>
      <c r="AF632" t="n">
        <v>4</v>
      </c>
      <c r="AG632" t="n">
        <v>4</v>
      </c>
      <c r="AH632" t="n">
        <v>1</v>
      </c>
      <c r="AI632" t="n">
        <v>1</v>
      </c>
      <c r="AJ632" t="n">
        <v>5</v>
      </c>
      <c r="AK632" t="n">
        <v>5</v>
      </c>
      <c r="AL632" t="n">
        <v>1</v>
      </c>
      <c r="AM632" t="n">
        <v>1</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HYPERLINK("https://creighton-primo.hosted.exlibrisgroup.com/primo-explore/search?tab=default_tab&amp;search_scope=EVERYTHING&amp;vid=01CRU&amp;lang=en_US&amp;offset=0&amp;query=any,contains,991005202759702656","Catalog Record")</f>
        <v/>
      </c>
      <c r="AT632">
        <f>HYPERLINK("http://www.worldcat.org/oclc/55960747","WorldCat Record")</f>
        <v/>
      </c>
      <c r="AU632" t="inlineStr">
        <is>
          <t>972055:eng</t>
        </is>
      </c>
      <c r="AV632" t="inlineStr">
        <is>
          <t>55960747</t>
        </is>
      </c>
      <c r="AW632" t="inlineStr">
        <is>
          <t>991005202759702656</t>
        </is>
      </c>
      <c r="AX632" t="inlineStr">
        <is>
          <t>991005202759702656</t>
        </is>
      </c>
      <c r="AY632" t="inlineStr">
        <is>
          <t>2265622780002656</t>
        </is>
      </c>
      <c r="AZ632" t="inlineStr">
        <is>
          <t>BOOK</t>
        </is>
      </c>
      <c r="BB632" t="inlineStr">
        <is>
          <t>9780226526041</t>
        </is>
      </c>
      <c r="BC632" t="inlineStr">
        <is>
          <t>32285005403075</t>
        </is>
      </c>
      <c r="BD632" t="inlineStr">
        <is>
          <t>893260718</t>
        </is>
      </c>
    </row>
    <row r="633">
      <c r="A633" t="inlineStr">
        <is>
          <t>No</t>
        </is>
      </c>
      <c r="B633" t="inlineStr">
        <is>
          <t>QL629 .T56</t>
        </is>
      </c>
      <c r="C633" t="inlineStr">
        <is>
          <t>0                      QL 0629000T  56</t>
        </is>
      </c>
      <c r="D633" t="inlineStr">
        <is>
          <t>Reef fishes of the Sea of Cortez : the rocky-shore fishes of the Gulf of California / Donald A. Thomson, Lloyd T. Findley, Alex N. Kerstitch ; illustrated by Alex N. Kerstitch, Tor Hansen, Chris van Dyck.</t>
        </is>
      </c>
      <c r="F633" t="inlineStr">
        <is>
          <t>No</t>
        </is>
      </c>
      <c r="G633" t="inlineStr">
        <is>
          <t>1</t>
        </is>
      </c>
      <c r="H633" t="inlineStr">
        <is>
          <t>No</t>
        </is>
      </c>
      <c r="I633" t="inlineStr">
        <is>
          <t>No</t>
        </is>
      </c>
      <c r="J633" t="inlineStr">
        <is>
          <t>0</t>
        </is>
      </c>
      <c r="K633" t="inlineStr">
        <is>
          <t>Thomson, Donald A.</t>
        </is>
      </c>
      <c r="L633" t="inlineStr">
        <is>
          <t>New York : Wiley, c1979.</t>
        </is>
      </c>
      <c r="M633" t="inlineStr">
        <is>
          <t>1979</t>
        </is>
      </c>
      <c r="O633" t="inlineStr">
        <is>
          <t>eng</t>
        </is>
      </c>
      <c r="P633" t="inlineStr">
        <is>
          <t>nyu</t>
        </is>
      </c>
      <c r="R633" t="inlineStr">
        <is>
          <t xml:space="preserve">QL </t>
        </is>
      </c>
      <c r="S633" t="n">
        <v>19</v>
      </c>
      <c r="T633" t="n">
        <v>19</v>
      </c>
      <c r="U633" t="inlineStr">
        <is>
          <t>2003-02-20</t>
        </is>
      </c>
      <c r="V633" t="inlineStr">
        <is>
          <t>2003-02-20</t>
        </is>
      </c>
      <c r="W633" t="inlineStr">
        <is>
          <t>1993-02-11</t>
        </is>
      </c>
      <c r="X633" t="inlineStr">
        <is>
          <t>1993-02-11</t>
        </is>
      </c>
      <c r="Y633" t="n">
        <v>285</v>
      </c>
      <c r="Z633" t="n">
        <v>235</v>
      </c>
      <c r="AA633" t="n">
        <v>342</v>
      </c>
      <c r="AB633" t="n">
        <v>2</v>
      </c>
      <c r="AC633" t="n">
        <v>2</v>
      </c>
      <c r="AD633" t="n">
        <v>3</v>
      </c>
      <c r="AE633" t="n">
        <v>4</v>
      </c>
      <c r="AF633" t="n">
        <v>1</v>
      </c>
      <c r="AG633" t="n">
        <v>1</v>
      </c>
      <c r="AH633" t="n">
        <v>0</v>
      </c>
      <c r="AI633" t="n">
        <v>0</v>
      </c>
      <c r="AJ633" t="n">
        <v>2</v>
      </c>
      <c r="AK633" t="n">
        <v>3</v>
      </c>
      <c r="AL633" t="n">
        <v>1</v>
      </c>
      <c r="AM633" t="n">
        <v>1</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HYPERLINK("https://creighton-primo.hosted.exlibrisgroup.com/primo-explore/search?tab=default_tab&amp;search_scope=EVERYTHING&amp;vid=01CRU&amp;lang=en_US&amp;offset=0&amp;query=any,contains,991004550039702656","Catalog Record")</f>
        <v/>
      </c>
      <c r="AT633">
        <f>HYPERLINK("http://www.worldcat.org/oclc/3933231","WorldCat Record")</f>
        <v/>
      </c>
      <c r="AU633" t="inlineStr">
        <is>
          <t>8820374:eng</t>
        </is>
      </c>
      <c r="AV633" t="inlineStr">
        <is>
          <t>3933231</t>
        </is>
      </c>
      <c r="AW633" t="inlineStr">
        <is>
          <t>991004550039702656</t>
        </is>
      </c>
      <c r="AX633" t="inlineStr">
        <is>
          <t>991004550039702656</t>
        </is>
      </c>
      <c r="AY633" t="inlineStr">
        <is>
          <t>2266539410002656</t>
        </is>
      </c>
      <c r="AZ633" t="inlineStr">
        <is>
          <t>BOOK</t>
        </is>
      </c>
      <c r="BB633" t="inlineStr">
        <is>
          <t>9780471861621</t>
        </is>
      </c>
      <c r="BC633" t="inlineStr">
        <is>
          <t>32285001532638</t>
        </is>
      </c>
      <c r="BD633" t="inlineStr">
        <is>
          <t>893417765</t>
        </is>
      </c>
    </row>
    <row r="634">
      <c r="A634" t="inlineStr">
        <is>
          <t>No</t>
        </is>
      </c>
      <c r="B634" t="inlineStr">
        <is>
          <t>QL630.A1 H86 2004</t>
        </is>
      </c>
      <c r="C634" t="inlineStr">
        <is>
          <t>0                      QL 0630000A  1                  H  86          2004</t>
        </is>
      </c>
      <c r="D634" t="inlineStr">
        <is>
          <t>Reef fish identification : Baja to Panama / Paul Humann, Ned DeLoach.</t>
        </is>
      </c>
      <c r="F634" t="inlineStr">
        <is>
          <t>No</t>
        </is>
      </c>
      <c r="G634" t="inlineStr">
        <is>
          <t>1</t>
        </is>
      </c>
      <c r="H634" t="inlineStr">
        <is>
          <t>No</t>
        </is>
      </c>
      <c r="I634" t="inlineStr">
        <is>
          <t>No</t>
        </is>
      </c>
      <c r="J634" t="inlineStr">
        <is>
          <t>0</t>
        </is>
      </c>
      <c r="K634" t="inlineStr">
        <is>
          <t>Humann, Paul.</t>
        </is>
      </c>
      <c r="L634" t="inlineStr">
        <is>
          <t>Jacksonville, Fla. : New World, 2004.</t>
        </is>
      </c>
      <c r="M634" t="inlineStr">
        <is>
          <t>2004</t>
        </is>
      </c>
      <c r="N634" t="inlineStr">
        <is>
          <t>1st ed.</t>
        </is>
      </c>
      <c r="O634" t="inlineStr">
        <is>
          <t>eng</t>
        </is>
      </c>
      <c r="P634" t="inlineStr">
        <is>
          <t>flu</t>
        </is>
      </c>
      <c r="R634" t="inlineStr">
        <is>
          <t xml:space="preserve">QL </t>
        </is>
      </c>
      <c r="S634" t="n">
        <v>4</v>
      </c>
      <c r="T634" t="n">
        <v>4</v>
      </c>
      <c r="U634" t="inlineStr">
        <is>
          <t>2009-02-23</t>
        </is>
      </c>
      <c r="V634" t="inlineStr">
        <is>
          <t>2009-02-23</t>
        </is>
      </c>
      <c r="W634" t="inlineStr">
        <is>
          <t>2005-10-12</t>
        </is>
      </c>
      <c r="X634" t="inlineStr">
        <is>
          <t>2005-10-12</t>
        </is>
      </c>
      <c r="Y634" t="n">
        <v>95</v>
      </c>
      <c r="Z634" t="n">
        <v>90</v>
      </c>
      <c r="AA634" t="n">
        <v>92</v>
      </c>
      <c r="AB634" t="n">
        <v>2</v>
      </c>
      <c r="AC634" t="n">
        <v>2</v>
      </c>
      <c r="AD634" t="n">
        <v>8</v>
      </c>
      <c r="AE634" t="n">
        <v>8</v>
      </c>
      <c r="AF634" t="n">
        <v>6</v>
      </c>
      <c r="AG634" t="n">
        <v>6</v>
      </c>
      <c r="AH634" t="n">
        <v>1</v>
      </c>
      <c r="AI634" t="n">
        <v>1</v>
      </c>
      <c r="AJ634" t="n">
        <v>3</v>
      </c>
      <c r="AK634" t="n">
        <v>3</v>
      </c>
      <c r="AL634" t="n">
        <v>1</v>
      </c>
      <c r="AM634" t="n">
        <v>1</v>
      </c>
      <c r="AN634" t="n">
        <v>0</v>
      </c>
      <c r="AO634" t="n">
        <v>0</v>
      </c>
      <c r="AP634" t="inlineStr">
        <is>
          <t>No</t>
        </is>
      </c>
      <c r="AQ634" t="inlineStr">
        <is>
          <t>Yes</t>
        </is>
      </c>
      <c r="AR634">
        <f>HYPERLINK("http://catalog.hathitrust.org/Record/005222448","HathiTrust Record")</f>
        <v/>
      </c>
      <c r="AS634">
        <f>HYPERLINK("https://creighton-primo.hosted.exlibrisgroup.com/primo-explore/search?tab=default_tab&amp;search_scope=EVERYTHING&amp;vid=01CRU&amp;lang=en_US&amp;offset=0&amp;query=any,contains,991004627539702656","Catalog Record")</f>
        <v/>
      </c>
      <c r="AT634">
        <f>HYPERLINK("http://www.worldcat.org/oclc/56980668","WorldCat Record")</f>
        <v/>
      </c>
      <c r="AU634" t="inlineStr">
        <is>
          <t>3859595978:eng</t>
        </is>
      </c>
      <c r="AV634" t="inlineStr">
        <is>
          <t>56980668</t>
        </is>
      </c>
      <c r="AW634" t="inlineStr">
        <is>
          <t>991004627539702656</t>
        </is>
      </c>
      <c r="AX634" t="inlineStr">
        <is>
          <t>991004627539702656</t>
        </is>
      </c>
      <c r="AY634" t="inlineStr">
        <is>
          <t>2268243970002656</t>
        </is>
      </c>
      <c r="AZ634" t="inlineStr">
        <is>
          <t>BOOK</t>
        </is>
      </c>
      <c r="BB634" t="inlineStr">
        <is>
          <t>9781878348388</t>
        </is>
      </c>
      <c r="BC634" t="inlineStr">
        <is>
          <t>32285005088892</t>
        </is>
      </c>
      <c r="BD634" t="inlineStr">
        <is>
          <t>893526323</t>
        </is>
      </c>
    </row>
    <row r="635">
      <c r="A635" t="inlineStr">
        <is>
          <t>No</t>
        </is>
      </c>
      <c r="B635" t="inlineStr">
        <is>
          <t>QL632.B8 G68</t>
        </is>
      </c>
      <c r="C635" t="inlineStr">
        <is>
          <t>0                      QL 0632000B  8                  G  68</t>
        </is>
      </c>
      <c r="D635" t="inlineStr">
        <is>
          <t>The fishes and the forest : explorations in Amazonian natural history / Michael Goulding.</t>
        </is>
      </c>
      <c r="F635" t="inlineStr">
        <is>
          <t>No</t>
        </is>
      </c>
      <c r="G635" t="inlineStr">
        <is>
          <t>1</t>
        </is>
      </c>
      <c r="H635" t="inlineStr">
        <is>
          <t>No</t>
        </is>
      </c>
      <c r="I635" t="inlineStr">
        <is>
          <t>No</t>
        </is>
      </c>
      <c r="J635" t="inlineStr">
        <is>
          <t>0</t>
        </is>
      </c>
      <c r="K635" t="inlineStr">
        <is>
          <t>Goulding, Michael, 1949-</t>
        </is>
      </c>
      <c r="L635" t="inlineStr">
        <is>
          <t>Berkeley : University of California Press, c1980.</t>
        </is>
      </c>
      <c r="M635" t="inlineStr">
        <is>
          <t>1980</t>
        </is>
      </c>
      <c r="O635" t="inlineStr">
        <is>
          <t>eng</t>
        </is>
      </c>
      <c r="P635" t="inlineStr">
        <is>
          <t>cau</t>
        </is>
      </c>
      <c r="R635" t="inlineStr">
        <is>
          <t xml:space="preserve">QL </t>
        </is>
      </c>
      <c r="S635" t="n">
        <v>10</v>
      </c>
      <c r="T635" t="n">
        <v>10</v>
      </c>
      <c r="U635" t="inlineStr">
        <is>
          <t>2010-10-15</t>
        </is>
      </c>
      <c r="V635" t="inlineStr">
        <is>
          <t>2010-10-15</t>
        </is>
      </c>
      <c r="W635" t="inlineStr">
        <is>
          <t>1992-02-21</t>
        </is>
      </c>
      <c r="X635" t="inlineStr">
        <is>
          <t>1992-02-21</t>
        </is>
      </c>
      <c r="Y635" t="n">
        <v>446</v>
      </c>
      <c r="Z635" t="n">
        <v>362</v>
      </c>
      <c r="AA635" t="n">
        <v>374</v>
      </c>
      <c r="AB635" t="n">
        <v>3</v>
      </c>
      <c r="AC635" t="n">
        <v>3</v>
      </c>
      <c r="AD635" t="n">
        <v>11</v>
      </c>
      <c r="AE635" t="n">
        <v>11</v>
      </c>
      <c r="AF635" t="n">
        <v>2</v>
      </c>
      <c r="AG635" t="n">
        <v>2</v>
      </c>
      <c r="AH635" t="n">
        <v>3</v>
      </c>
      <c r="AI635" t="n">
        <v>3</v>
      </c>
      <c r="AJ635" t="n">
        <v>6</v>
      </c>
      <c r="AK635" t="n">
        <v>6</v>
      </c>
      <c r="AL635" t="n">
        <v>2</v>
      </c>
      <c r="AM635" t="n">
        <v>2</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HYPERLINK("https://creighton-primo.hosted.exlibrisgroup.com/primo-explore/search?tab=default_tab&amp;search_scope=EVERYTHING&amp;vid=01CRU&amp;lang=en_US&amp;offset=0&amp;query=any,contains,991004985709702656","Catalog Record")</f>
        <v/>
      </c>
      <c r="AT635">
        <f>HYPERLINK("http://www.worldcat.org/oclc/6447800","WorldCat Record")</f>
        <v/>
      </c>
      <c r="AU635" t="inlineStr">
        <is>
          <t>365419107:eng</t>
        </is>
      </c>
      <c r="AV635" t="inlineStr">
        <is>
          <t>6447800</t>
        </is>
      </c>
      <c r="AW635" t="inlineStr">
        <is>
          <t>991004985709702656</t>
        </is>
      </c>
      <c r="AX635" t="inlineStr">
        <is>
          <t>991004985709702656</t>
        </is>
      </c>
      <c r="AY635" t="inlineStr">
        <is>
          <t>2257091110002656</t>
        </is>
      </c>
      <c r="AZ635" t="inlineStr">
        <is>
          <t>BOOK</t>
        </is>
      </c>
      <c r="BB635" t="inlineStr">
        <is>
          <t>9780520041318</t>
        </is>
      </c>
      <c r="BC635" t="inlineStr">
        <is>
          <t>32285000972892</t>
        </is>
      </c>
      <c r="BD635" t="inlineStr">
        <is>
          <t>893707081</t>
        </is>
      </c>
    </row>
    <row r="636">
      <c r="A636" t="inlineStr">
        <is>
          <t>No</t>
        </is>
      </c>
      <c r="B636" t="inlineStr">
        <is>
          <t>QL633.R8 A73</t>
        </is>
      </c>
      <c r="C636" t="inlineStr">
        <is>
          <t>0                      QL 0633000R  8                  A  73</t>
        </is>
      </c>
      <c r="D636" t="inlineStr">
        <is>
          <t>Fishes of the northern seas of the U.S.S.R. (Ryby severnykh morei SSSR) [by] A.P. Andriyashev. Translated from Russian [by Michael Artman; edited by Derek Orlans].</t>
        </is>
      </c>
      <c r="F636" t="inlineStr">
        <is>
          <t>No</t>
        </is>
      </c>
      <c r="G636" t="inlineStr">
        <is>
          <t>1</t>
        </is>
      </c>
      <c r="H636" t="inlineStr">
        <is>
          <t>No</t>
        </is>
      </c>
      <c r="I636" t="inlineStr">
        <is>
          <t>No</t>
        </is>
      </c>
      <c r="J636" t="inlineStr">
        <is>
          <t>0</t>
        </is>
      </c>
      <c r="K636" t="inlineStr">
        <is>
          <t>Andrii͡ashev, A. P.</t>
        </is>
      </c>
      <c r="L636" t="inlineStr">
        <is>
          <t>Jerusalem, Israel Program for Scientific Translations; [available from the Office of Technical Services, U.S. Dept. of Commerce, Washington] 1964.</t>
        </is>
      </c>
      <c r="M636" t="inlineStr">
        <is>
          <t>1964</t>
        </is>
      </c>
      <c r="O636" t="inlineStr">
        <is>
          <t>eng</t>
        </is>
      </c>
      <c r="P636" t="inlineStr">
        <is>
          <t xml:space="preserve">is </t>
        </is>
      </c>
      <c r="R636" t="inlineStr">
        <is>
          <t xml:space="preserve">QL </t>
        </is>
      </c>
      <c r="S636" t="n">
        <v>2</v>
      </c>
      <c r="T636" t="n">
        <v>2</v>
      </c>
      <c r="U636" t="inlineStr">
        <is>
          <t>2001-03-13</t>
        </is>
      </c>
      <c r="V636" t="inlineStr">
        <is>
          <t>2001-03-13</t>
        </is>
      </c>
      <c r="W636" t="inlineStr">
        <is>
          <t>1997-07-25</t>
        </is>
      </c>
      <c r="X636" t="inlineStr">
        <is>
          <t>1997-07-25</t>
        </is>
      </c>
      <c r="Y636" t="n">
        <v>217</v>
      </c>
      <c r="Z636" t="n">
        <v>192</v>
      </c>
      <c r="AA636" t="n">
        <v>194</v>
      </c>
      <c r="AB636" t="n">
        <v>2</v>
      </c>
      <c r="AC636" t="n">
        <v>2</v>
      </c>
      <c r="AD636" t="n">
        <v>6</v>
      </c>
      <c r="AE636" t="n">
        <v>6</v>
      </c>
      <c r="AF636" t="n">
        <v>0</v>
      </c>
      <c r="AG636" t="n">
        <v>0</v>
      </c>
      <c r="AH636" t="n">
        <v>2</v>
      </c>
      <c r="AI636" t="n">
        <v>2</v>
      </c>
      <c r="AJ636" t="n">
        <v>4</v>
      </c>
      <c r="AK636" t="n">
        <v>4</v>
      </c>
      <c r="AL636" t="n">
        <v>1</v>
      </c>
      <c r="AM636" t="n">
        <v>1</v>
      </c>
      <c r="AN636" t="n">
        <v>0</v>
      </c>
      <c r="AO636" t="n">
        <v>0</v>
      </c>
      <c r="AP636" t="inlineStr">
        <is>
          <t>No</t>
        </is>
      </c>
      <c r="AQ636" t="inlineStr">
        <is>
          <t>Yes</t>
        </is>
      </c>
      <c r="AR636">
        <f>HYPERLINK("http://catalog.hathitrust.org/Record/002012810","HathiTrust Record")</f>
        <v/>
      </c>
      <c r="AS636">
        <f>HYPERLINK("https://creighton-primo.hosted.exlibrisgroup.com/primo-explore/search?tab=default_tab&amp;search_scope=EVERYTHING&amp;vid=01CRU&amp;lang=en_US&amp;offset=0&amp;query=any,contains,991003923679702656","Catalog Record")</f>
        <v/>
      </c>
      <c r="AT636">
        <f>HYPERLINK("http://www.worldcat.org/oclc/1877847","WorldCat Record")</f>
        <v/>
      </c>
      <c r="AU636" t="inlineStr">
        <is>
          <t>2806392:eng</t>
        </is>
      </c>
      <c r="AV636" t="inlineStr">
        <is>
          <t>1877847</t>
        </is>
      </c>
      <c r="AW636" t="inlineStr">
        <is>
          <t>991003923679702656</t>
        </is>
      </c>
      <c r="AX636" t="inlineStr">
        <is>
          <t>991003923679702656</t>
        </is>
      </c>
      <c r="AY636" t="inlineStr">
        <is>
          <t>2259878140002656</t>
        </is>
      </c>
      <c r="AZ636" t="inlineStr">
        <is>
          <t>BOOK</t>
        </is>
      </c>
      <c r="BC636" t="inlineStr">
        <is>
          <t>32285002981602</t>
        </is>
      </c>
      <c r="BD636" t="inlineStr">
        <is>
          <t>893869060</t>
        </is>
      </c>
    </row>
    <row r="637">
      <c r="A637" t="inlineStr">
        <is>
          <t>No</t>
        </is>
      </c>
      <c r="B637" t="inlineStr">
        <is>
          <t>QL633.R8 B52</t>
        </is>
      </c>
      <c r="C637" t="inlineStr">
        <is>
          <t>0                      QL 0633000R  8                  B  52</t>
        </is>
      </c>
      <c r="D637" t="inlineStr">
        <is>
          <t>Freshwater fishes of the U.S.S.R. and adjacent countries : Ryby presnykh vod SSSR i sopredelʹnykh stran.</t>
        </is>
      </c>
      <c r="E637" t="inlineStr">
        <is>
          <t>V.1</t>
        </is>
      </c>
      <c r="F637" t="inlineStr">
        <is>
          <t>Yes</t>
        </is>
      </c>
      <c r="G637" t="inlineStr">
        <is>
          <t>1</t>
        </is>
      </c>
      <c r="H637" t="inlineStr">
        <is>
          <t>No</t>
        </is>
      </c>
      <c r="I637" t="inlineStr">
        <is>
          <t>No</t>
        </is>
      </c>
      <c r="J637" t="inlineStr">
        <is>
          <t>0</t>
        </is>
      </c>
      <c r="K637" t="inlineStr">
        <is>
          <t>Berg, L. S. (Lev Semenovich), 1876-1950.</t>
        </is>
      </c>
      <c r="L637" t="inlineStr">
        <is>
          <t>Jerusalem : Israel Program for Scientific Translations; [available from the Office of Technical Services, U.S. Dept. of Commerce, Washington], 1962-65.</t>
        </is>
      </c>
      <c r="M637" t="inlineStr">
        <is>
          <t>1962</t>
        </is>
      </c>
      <c r="N637" t="inlineStr">
        <is>
          <t>4th ed., improved and augm., translated from Russian.</t>
        </is>
      </c>
      <c r="O637" t="inlineStr">
        <is>
          <t>eng</t>
        </is>
      </c>
      <c r="P637" t="inlineStr">
        <is>
          <t xml:space="preserve">is </t>
        </is>
      </c>
      <c r="R637" t="inlineStr">
        <is>
          <t xml:space="preserve">QL </t>
        </is>
      </c>
      <c r="S637" t="n">
        <v>0</v>
      </c>
      <c r="T637" t="n">
        <v>1</v>
      </c>
      <c r="V637" t="inlineStr">
        <is>
          <t>2001-02-20</t>
        </is>
      </c>
      <c r="W637" t="inlineStr">
        <is>
          <t>2000-02-07</t>
        </is>
      </c>
      <c r="X637" t="inlineStr">
        <is>
          <t>2000-02-07</t>
        </is>
      </c>
      <c r="Y637" t="n">
        <v>249</v>
      </c>
      <c r="Z637" t="n">
        <v>218</v>
      </c>
      <c r="AA637" t="n">
        <v>242</v>
      </c>
      <c r="AB637" t="n">
        <v>2</v>
      </c>
      <c r="AC637" t="n">
        <v>2</v>
      </c>
      <c r="AD637" t="n">
        <v>5</v>
      </c>
      <c r="AE637" t="n">
        <v>5</v>
      </c>
      <c r="AF637" t="n">
        <v>0</v>
      </c>
      <c r="AG637" t="n">
        <v>0</v>
      </c>
      <c r="AH637" t="n">
        <v>1</v>
      </c>
      <c r="AI637" t="n">
        <v>1</v>
      </c>
      <c r="AJ637" t="n">
        <v>3</v>
      </c>
      <c r="AK637" t="n">
        <v>3</v>
      </c>
      <c r="AL637" t="n">
        <v>1</v>
      </c>
      <c r="AM637" t="n">
        <v>1</v>
      </c>
      <c r="AN637" t="n">
        <v>0</v>
      </c>
      <c r="AO637" t="n">
        <v>0</v>
      </c>
      <c r="AP637" t="inlineStr">
        <is>
          <t>No</t>
        </is>
      </c>
      <c r="AQ637" t="inlineStr">
        <is>
          <t>Yes</t>
        </is>
      </c>
      <c r="AR637">
        <f>HYPERLINK("http://catalog.hathitrust.org/Record/000837910","HathiTrust Record")</f>
        <v/>
      </c>
      <c r="AS637">
        <f>HYPERLINK("https://creighton-primo.hosted.exlibrisgroup.com/primo-explore/search?tab=default_tab&amp;search_scope=EVERYTHING&amp;vid=01CRU&amp;lang=en_US&amp;offset=0&amp;query=any,contains,991002983929702656","Catalog Record")</f>
        <v/>
      </c>
      <c r="AT637">
        <f>HYPERLINK("http://www.worldcat.org/oclc/556373","WorldCat Record")</f>
        <v/>
      </c>
      <c r="AU637" t="inlineStr">
        <is>
          <t>3980242916:eng</t>
        </is>
      </c>
      <c r="AV637" t="inlineStr">
        <is>
          <t>556373</t>
        </is>
      </c>
      <c r="AW637" t="inlineStr">
        <is>
          <t>991002983929702656</t>
        </is>
      </c>
      <c r="AX637" t="inlineStr">
        <is>
          <t>991002983929702656</t>
        </is>
      </c>
      <c r="AY637" t="inlineStr">
        <is>
          <t>2259919860002656</t>
        </is>
      </c>
      <c r="AZ637" t="inlineStr">
        <is>
          <t>BOOK</t>
        </is>
      </c>
      <c r="BC637" t="inlineStr">
        <is>
          <t>32285003659751</t>
        </is>
      </c>
      <c r="BD637" t="inlineStr">
        <is>
          <t>893317512</t>
        </is>
      </c>
    </row>
    <row r="638">
      <c r="A638" t="inlineStr">
        <is>
          <t>No</t>
        </is>
      </c>
      <c r="B638" t="inlineStr">
        <is>
          <t>QL633.R8 B52</t>
        </is>
      </c>
      <c r="C638" t="inlineStr">
        <is>
          <t>0                      QL 0633000R  8                  B  52</t>
        </is>
      </c>
      <c r="D638" t="inlineStr">
        <is>
          <t>Freshwater fishes of the U.S.S.R. and adjacent countries : Ryby presnykh vod SSSR i sopredelʹnykh stran.</t>
        </is>
      </c>
      <c r="E638" t="inlineStr">
        <is>
          <t>V.3</t>
        </is>
      </c>
      <c r="F638" t="inlineStr">
        <is>
          <t>Yes</t>
        </is>
      </c>
      <c r="G638" t="inlineStr">
        <is>
          <t>1</t>
        </is>
      </c>
      <c r="H638" t="inlineStr">
        <is>
          <t>No</t>
        </is>
      </c>
      <c r="I638" t="inlineStr">
        <is>
          <t>No</t>
        </is>
      </c>
      <c r="J638" t="inlineStr">
        <is>
          <t>0</t>
        </is>
      </c>
      <c r="K638" t="inlineStr">
        <is>
          <t>Berg, L. S. (Lev Semenovich), 1876-1950.</t>
        </is>
      </c>
      <c r="L638" t="inlineStr">
        <is>
          <t>Jerusalem : Israel Program for Scientific Translations; [available from the Office of Technical Services, U.S. Dept. of Commerce, Washington], 1962-65.</t>
        </is>
      </c>
      <c r="M638" t="inlineStr">
        <is>
          <t>1962</t>
        </is>
      </c>
      <c r="N638" t="inlineStr">
        <is>
          <t>4th ed., improved and augm., translated from Russian.</t>
        </is>
      </c>
      <c r="O638" t="inlineStr">
        <is>
          <t>eng</t>
        </is>
      </c>
      <c r="P638" t="inlineStr">
        <is>
          <t xml:space="preserve">is </t>
        </is>
      </c>
      <c r="R638" t="inlineStr">
        <is>
          <t xml:space="preserve">QL </t>
        </is>
      </c>
      <c r="S638" t="n">
        <v>1</v>
      </c>
      <c r="T638" t="n">
        <v>1</v>
      </c>
      <c r="U638" t="inlineStr">
        <is>
          <t>2001-02-20</t>
        </is>
      </c>
      <c r="V638" t="inlineStr">
        <is>
          <t>2001-02-20</t>
        </is>
      </c>
      <c r="W638" t="inlineStr">
        <is>
          <t>2000-02-07</t>
        </is>
      </c>
      <c r="X638" t="inlineStr">
        <is>
          <t>2000-02-07</t>
        </is>
      </c>
      <c r="Y638" t="n">
        <v>249</v>
      </c>
      <c r="Z638" t="n">
        <v>218</v>
      </c>
      <c r="AA638" t="n">
        <v>242</v>
      </c>
      <c r="AB638" t="n">
        <v>2</v>
      </c>
      <c r="AC638" t="n">
        <v>2</v>
      </c>
      <c r="AD638" t="n">
        <v>5</v>
      </c>
      <c r="AE638" t="n">
        <v>5</v>
      </c>
      <c r="AF638" t="n">
        <v>0</v>
      </c>
      <c r="AG638" t="n">
        <v>0</v>
      </c>
      <c r="AH638" t="n">
        <v>1</v>
      </c>
      <c r="AI638" t="n">
        <v>1</v>
      </c>
      <c r="AJ638" t="n">
        <v>3</v>
      </c>
      <c r="AK638" t="n">
        <v>3</v>
      </c>
      <c r="AL638" t="n">
        <v>1</v>
      </c>
      <c r="AM638" t="n">
        <v>1</v>
      </c>
      <c r="AN638" t="n">
        <v>0</v>
      </c>
      <c r="AO638" t="n">
        <v>0</v>
      </c>
      <c r="AP638" t="inlineStr">
        <is>
          <t>No</t>
        </is>
      </c>
      <c r="AQ638" t="inlineStr">
        <is>
          <t>Yes</t>
        </is>
      </c>
      <c r="AR638">
        <f>HYPERLINK("http://catalog.hathitrust.org/Record/000837910","HathiTrust Record")</f>
        <v/>
      </c>
      <c r="AS638">
        <f>HYPERLINK("https://creighton-primo.hosted.exlibrisgroup.com/primo-explore/search?tab=default_tab&amp;search_scope=EVERYTHING&amp;vid=01CRU&amp;lang=en_US&amp;offset=0&amp;query=any,contains,991002983929702656","Catalog Record")</f>
        <v/>
      </c>
      <c r="AT638">
        <f>HYPERLINK("http://www.worldcat.org/oclc/556373","WorldCat Record")</f>
        <v/>
      </c>
      <c r="AU638" t="inlineStr">
        <is>
          <t>3980242916:eng</t>
        </is>
      </c>
      <c r="AV638" t="inlineStr">
        <is>
          <t>556373</t>
        </is>
      </c>
      <c r="AW638" t="inlineStr">
        <is>
          <t>991002983929702656</t>
        </is>
      </c>
      <c r="AX638" t="inlineStr">
        <is>
          <t>991002983929702656</t>
        </is>
      </c>
      <c r="AY638" t="inlineStr">
        <is>
          <t>2259919860002656</t>
        </is>
      </c>
      <c r="AZ638" t="inlineStr">
        <is>
          <t>BOOK</t>
        </is>
      </c>
      <c r="BC638" t="inlineStr">
        <is>
          <t>32285003659777</t>
        </is>
      </c>
      <c r="BD638" t="inlineStr">
        <is>
          <t>893348199</t>
        </is>
      </c>
    </row>
    <row r="639">
      <c r="A639" t="inlineStr">
        <is>
          <t>No</t>
        </is>
      </c>
      <c r="B639" t="inlineStr">
        <is>
          <t>QL633.R8 B52</t>
        </is>
      </c>
      <c r="C639" t="inlineStr">
        <is>
          <t>0                      QL 0633000R  8                  B  52</t>
        </is>
      </c>
      <c r="D639" t="inlineStr">
        <is>
          <t>Freshwater fishes of the U.S.S.R. and adjacent countries : Ryby presnykh vod SSSR i sopredelʹnykh stran.</t>
        </is>
      </c>
      <c r="E639" t="inlineStr">
        <is>
          <t>V.2</t>
        </is>
      </c>
      <c r="F639" t="inlineStr">
        <is>
          <t>Yes</t>
        </is>
      </c>
      <c r="G639" t="inlineStr">
        <is>
          <t>1</t>
        </is>
      </c>
      <c r="H639" t="inlineStr">
        <is>
          <t>No</t>
        </is>
      </c>
      <c r="I639" t="inlineStr">
        <is>
          <t>No</t>
        </is>
      </c>
      <c r="J639" t="inlineStr">
        <is>
          <t>0</t>
        </is>
      </c>
      <c r="K639" t="inlineStr">
        <is>
          <t>Berg, L. S. (Lev Semenovich), 1876-1950.</t>
        </is>
      </c>
      <c r="L639" t="inlineStr">
        <is>
          <t>Jerusalem : Israel Program for Scientific Translations; [available from the Office of Technical Services, U.S. Dept. of Commerce, Washington], 1962-65.</t>
        </is>
      </c>
      <c r="M639" t="inlineStr">
        <is>
          <t>1962</t>
        </is>
      </c>
      <c r="N639" t="inlineStr">
        <is>
          <t>4th ed., improved and augm., translated from Russian.</t>
        </is>
      </c>
      <c r="O639" t="inlineStr">
        <is>
          <t>eng</t>
        </is>
      </c>
      <c r="P639" t="inlineStr">
        <is>
          <t xml:space="preserve">is </t>
        </is>
      </c>
      <c r="R639" t="inlineStr">
        <is>
          <t xml:space="preserve">QL </t>
        </is>
      </c>
      <c r="S639" t="n">
        <v>0</v>
      </c>
      <c r="T639" t="n">
        <v>1</v>
      </c>
      <c r="V639" t="inlineStr">
        <is>
          <t>2001-02-20</t>
        </is>
      </c>
      <c r="W639" t="inlineStr">
        <is>
          <t>2000-02-07</t>
        </is>
      </c>
      <c r="X639" t="inlineStr">
        <is>
          <t>2000-02-07</t>
        </is>
      </c>
      <c r="Y639" t="n">
        <v>249</v>
      </c>
      <c r="Z639" t="n">
        <v>218</v>
      </c>
      <c r="AA639" t="n">
        <v>242</v>
      </c>
      <c r="AB639" t="n">
        <v>2</v>
      </c>
      <c r="AC639" t="n">
        <v>2</v>
      </c>
      <c r="AD639" t="n">
        <v>5</v>
      </c>
      <c r="AE639" t="n">
        <v>5</v>
      </c>
      <c r="AF639" t="n">
        <v>0</v>
      </c>
      <c r="AG639" t="n">
        <v>0</v>
      </c>
      <c r="AH639" t="n">
        <v>1</v>
      </c>
      <c r="AI639" t="n">
        <v>1</v>
      </c>
      <c r="AJ639" t="n">
        <v>3</v>
      </c>
      <c r="AK639" t="n">
        <v>3</v>
      </c>
      <c r="AL639" t="n">
        <v>1</v>
      </c>
      <c r="AM639" t="n">
        <v>1</v>
      </c>
      <c r="AN639" t="n">
        <v>0</v>
      </c>
      <c r="AO639" t="n">
        <v>0</v>
      </c>
      <c r="AP639" t="inlineStr">
        <is>
          <t>No</t>
        </is>
      </c>
      <c r="AQ639" t="inlineStr">
        <is>
          <t>Yes</t>
        </is>
      </c>
      <c r="AR639">
        <f>HYPERLINK("http://catalog.hathitrust.org/Record/000837910","HathiTrust Record")</f>
        <v/>
      </c>
      <c r="AS639">
        <f>HYPERLINK("https://creighton-primo.hosted.exlibrisgroup.com/primo-explore/search?tab=default_tab&amp;search_scope=EVERYTHING&amp;vid=01CRU&amp;lang=en_US&amp;offset=0&amp;query=any,contains,991002983929702656","Catalog Record")</f>
        <v/>
      </c>
      <c r="AT639">
        <f>HYPERLINK("http://www.worldcat.org/oclc/556373","WorldCat Record")</f>
        <v/>
      </c>
      <c r="AU639" t="inlineStr">
        <is>
          <t>3980242916:eng</t>
        </is>
      </c>
      <c r="AV639" t="inlineStr">
        <is>
          <t>556373</t>
        </is>
      </c>
      <c r="AW639" t="inlineStr">
        <is>
          <t>991002983929702656</t>
        </is>
      </c>
      <c r="AX639" t="inlineStr">
        <is>
          <t>991002983929702656</t>
        </is>
      </c>
      <c r="AY639" t="inlineStr">
        <is>
          <t>2259919860002656</t>
        </is>
      </c>
      <c r="AZ639" t="inlineStr">
        <is>
          <t>BOOK</t>
        </is>
      </c>
      <c r="BC639" t="inlineStr">
        <is>
          <t>32285003659769</t>
        </is>
      </c>
      <c r="BD639" t="inlineStr">
        <is>
          <t>893317511</t>
        </is>
      </c>
    </row>
    <row r="640">
      <c r="A640" t="inlineStr">
        <is>
          <t>No</t>
        </is>
      </c>
      <c r="B640" t="inlineStr">
        <is>
          <t>QL636 .L33</t>
        </is>
      </c>
      <c r="C640" t="inlineStr">
        <is>
          <t>0                      QL 0636000L  33</t>
        </is>
      </c>
      <c r="D640" t="inlineStr">
        <is>
          <t>Australian freshwater fishes : an illustrated field guide / John S. Lake.</t>
        </is>
      </c>
      <c r="F640" t="inlineStr">
        <is>
          <t>No</t>
        </is>
      </c>
      <c r="G640" t="inlineStr">
        <is>
          <t>1</t>
        </is>
      </c>
      <c r="H640" t="inlineStr">
        <is>
          <t>No</t>
        </is>
      </c>
      <c r="I640" t="inlineStr">
        <is>
          <t>No</t>
        </is>
      </c>
      <c r="J640" t="inlineStr">
        <is>
          <t>0</t>
        </is>
      </c>
      <c r="K640" t="inlineStr">
        <is>
          <t>Lake, John S. (John Sydney)</t>
        </is>
      </c>
      <c r="L640" t="inlineStr">
        <is>
          <t>West Melbourne : Nelson, 1978.</t>
        </is>
      </c>
      <c r="M640" t="inlineStr">
        <is>
          <t>1978</t>
        </is>
      </c>
      <c r="O640" t="inlineStr">
        <is>
          <t>eng</t>
        </is>
      </c>
      <c r="P640" t="inlineStr">
        <is>
          <t xml:space="preserve">at </t>
        </is>
      </c>
      <c r="Q640" t="inlineStr">
        <is>
          <t>Nelson field guides</t>
        </is>
      </c>
      <c r="R640" t="inlineStr">
        <is>
          <t xml:space="preserve">QL </t>
        </is>
      </c>
      <c r="S640" t="n">
        <v>4</v>
      </c>
      <c r="T640" t="n">
        <v>4</v>
      </c>
      <c r="U640" t="inlineStr">
        <is>
          <t>1997-02-26</t>
        </is>
      </c>
      <c r="V640" t="inlineStr">
        <is>
          <t>1997-02-26</t>
        </is>
      </c>
      <c r="W640" t="inlineStr">
        <is>
          <t>1992-08-31</t>
        </is>
      </c>
      <c r="X640" t="inlineStr">
        <is>
          <t>1992-08-31</t>
        </is>
      </c>
      <c r="Y640" t="n">
        <v>32</v>
      </c>
      <c r="Z640" t="n">
        <v>9</v>
      </c>
      <c r="AA640" t="n">
        <v>9</v>
      </c>
      <c r="AB640" t="n">
        <v>1</v>
      </c>
      <c r="AC640" t="n">
        <v>1</v>
      </c>
      <c r="AD640" t="n">
        <v>0</v>
      </c>
      <c r="AE640" t="n">
        <v>0</v>
      </c>
      <c r="AF640" t="n">
        <v>0</v>
      </c>
      <c r="AG640" t="n">
        <v>0</v>
      </c>
      <c r="AH640" t="n">
        <v>0</v>
      </c>
      <c r="AI640" t="n">
        <v>0</v>
      </c>
      <c r="AJ640" t="n">
        <v>0</v>
      </c>
      <c r="AK640" t="n">
        <v>0</v>
      </c>
      <c r="AL640" t="n">
        <v>0</v>
      </c>
      <c r="AM640" t="n">
        <v>0</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HYPERLINK("https://creighton-primo.hosted.exlibrisgroup.com/primo-explore/search?tab=default_tab&amp;search_scope=EVERYTHING&amp;vid=01CRU&amp;lang=en_US&amp;offset=0&amp;query=any,contains,991004787859702656","Catalog Record")</f>
        <v/>
      </c>
      <c r="AT640">
        <f>HYPERLINK("http://www.worldcat.org/oclc/5156889","WorldCat Record")</f>
        <v/>
      </c>
      <c r="AU640" t="inlineStr">
        <is>
          <t>30904006:eng</t>
        </is>
      </c>
      <c r="AV640" t="inlineStr">
        <is>
          <t>5156889</t>
        </is>
      </c>
      <c r="AW640" t="inlineStr">
        <is>
          <t>991004787859702656</t>
        </is>
      </c>
      <c r="AX640" t="inlineStr">
        <is>
          <t>991004787859702656</t>
        </is>
      </c>
      <c r="AY640" t="inlineStr">
        <is>
          <t>2272466350002656</t>
        </is>
      </c>
      <c r="AZ640" t="inlineStr">
        <is>
          <t>BOOK</t>
        </is>
      </c>
      <c r="BB640" t="inlineStr">
        <is>
          <t>9780170052467</t>
        </is>
      </c>
      <c r="BC640" t="inlineStr">
        <is>
          <t>32285001275220</t>
        </is>
      </c>
      <c r="BD640" t="inlineStr">
        <is>
          <t>893229830</t>
        </is>
      </c>
    </row>
    <row r="641">
      <c r="A641" t="inlineStr">
        <is>
          <t>No</t>
        </is>
      </c>
      <c r="B641" t="inlineStr">
        <is>
          <t>QL638.12 .H37</t>
        </is>
      </c>
      <c r="C641" t="inlineStr">
        <is>
          <t>0                      QL 0638120H  37</t>
        </is>
      </c>
      <c r="D641" t="inlineStr">
        <is>
          <t>Biology of the cyclostomes / M. W. Hardisty.</t>
        </is>
      </c>
      <c r="F641" t="inlineStr">
        <is>
          <t>No</t>
        </is>
      </c>
      <c r="G641" t="inlineStr">
        <is>
          <t>1</t>
        </is>
      </c>
      <c r="H641" t="inlineStr">
        <is>
          <t>No</t>
        </is>
      </c>
      <c r="I641" t="inlineStr">
        <is>
          <t>No</t>
        </is>
      </c>
      <c r="J641" t="inlineStr">
        <is>
          <t>0</t>
        </is>
      </c>
      <c r="K641" t="inlineStr">
        <is>
          <t>Hardisty, M. W.</t>
        </is>
      </c>
      <c r="L641" t="inlineStr">
        <is>
          <t>London : Chapman and Hall, 1979.</t>
        </is>
      </c>
      <c r="M641" t="inlineStr">
        <is>
          <t>1979</t>
        </is>
      </c>
      <c r="O641" t="inlineStr">
        <is>
          <t>eng</t>
        </is>
      </c>
      <c r="P641" t="inlineStr">
        <is>
          <t>enk</t>
        </is>
      </c>
      <c r="R641" t="inlineStr">
        <is>
          <t xml:space="preserve">QL </t>
        </is>
      </c>
      <c r="S641" t="n">
        <v>3</v>
      </c>
      <c r="T641" t="n">
        <v>3</v>
      </c>
      <c r="U641" t="inlineStr">
        <is>
          <t>2001-03-21</t>
        </is>
      </c>
      <c r="V641" t="inlineStr">
        <is>
          <t>2001-03-21</t>
        </is>
      </c>
      <c r="W641" t="inlineStr">
        <is>
          <t>1993-02-11</t>
        </is>
      </c>
      <c r="X641" t="inlineStr">
        <is>
          <t>1993-02-11</t>
        </is>
      </c>
      <c r="Y641" t="n">
        <v>345</v>
      </c>
      <c r="Z641" t="n">
        <v>247</v>
      </c>
      <c r="AA641" t="n">
        <v>266</v>
      </c>
      <c r="AB641" t="n">
        <v>3</v>
      </c>
      <c r="AC641" t="n">
        <v>3</v>
      </c>
      <c r="AD641" t="n">
        <v>8</v>
      </c>
      <c r="AE641" t="n">
        <v>9</v>
      </c>
      <c r="AF641" t="n">
        <v>1</v>
      </c>
      <c r="AG641" t="n">
        <v>2</v>
      </c>
      <c r="AH641" t="n">
        <v>4</v>
      </c>
      <c r="AI641" t="n">
        <v>4</v>
      </c>
      <c r="AJ641" t="n">
        <v>4</v>
      </c>
      <c r="AK641" t="n">
        <v>5</v>
      </c>
      <c r="AL641" t="n">
        <v>2</v>
      </c>
      <c r="AM641" t="n">
        <v>2</v>
      </c>
      <c r="AN641" t="n">
        <v>0</v>
      </c>
      <c r="AO641" t="n">
        <v>0</v>
      </c>
      <c r="AP641" t="inlineStr">
        <is>
          <t>No</t>
        </is>
      </c>
      <c r="AQ641" t="inlineStr">
        <is>
          <t>Yes</t>
        </is>
      </c>
      <c r="AR641">
        <f>HYPERLINK("http://catalog.hathitrust.org/Record/000712066","HathiTrust Record")</f>
        <v/>
      </c>
      <c r="AS641">
        <f>HYPERLINK("https://creighton-primo.hosted.exlibrisgroup.com/primo-explore/search?tab=default_tab&amp;search_scope=EVERYTHING&amp;vid=01CRU&amp;lang=en_US&amp;offset=0&amp;query=any,contains,991004851489702656","Catalog Record")</f>
        <v/>
      </c>
      <c r="AT641">
        <f>HYPERLINK("http://www.worldcat.org/oclc/5614145","WorldCat Record")</f>
        <v/>
      </c>
      <c r="AU641" t="inlineStr">
        <is>
          <t>18479684:eng</t>
        </is>
      </c>
      <c r="AV641" t="inlineStr">
        <is>
          <t>5614145</t>
        </is>
      </c>
      <c r="AW641" t="inlineStr">
        <is>
          <t>991004851489702656</t>
        </is>
      </c>
      <c r="AX641" t="inlineStr">
        <is>
          <t>991004851489702656</t>
        </is>
      </c>
      <c r="AY641" t="inlineStr">
        <is>
          <t>2259815210002656</t>
        </is>
      </c>
      <c r="AZ641" t="inlineStr">
        <is>
          <t>BOOK</t>
        </is>
      </c>
      <c r="BB641" t="inlineStr">
        <is>
          <t>9780412141201</t>
        </is>
      </c>
      <c r="BC641" t="inlineStr">
        <is>
          <t>32285001532679</t>
        </is>
      </c>
      <c r="BD641" t="inlineStr">
        <is>
          <t>893418086</t>
        </is>
      </c>
    </row>
    <row r="642">
      <c r="A642" t="inlineStr">
        <is>
          <t>No</t>
        </is>
      </c>
      <c r="B642" t="inlineStr">
        <is>
          <t>QL638.9 .D33</t>
        </is>
      </c>
      <c r="C642" t="inlineStr">
        <is>
          <t>0                      QL 0638900D  33</t>
        </is>
      </c>
      <c r="D642" t="inlineStr">
        <is>
          <t>The elasmobranch fishes, by J. Frank Daniel.</t>
        </is>
      </c>
      <c r="F642" t="inlineStr">
        <is>
          <t>No</t>
        </is>
      </c>
      <c r="G642" t="inlineStr">
        <is>
          <t>1</t>
        </is>
      </c>
      <c r="H642" t="inlineStr">
        <is>
          <t>No</t>
        </is>
      </c>
      <c r="I642" t="inlineStr">
        <is>
          <t>No</t>
        </is>
      </c>
      <c r="J642" t="inlineStr">
        <is>
          <t>0</t>
        </is>
      </c>
      <c r="K642" t="inlineStr">
        <is>
          <t>Daniel, J. Frank (John Franklin), 1873-1942.</t>
        </is>
      </c>
      <c r="L642" t="inlineStr">
        <is>
          <t>Berkeley, University of California Press, 1922.</t>
        </is>
      </c>
      <c r="M642" t="inlineStr">
        <is>
          <t>1922</t>
        </is>
      </c>
      <c r="O642" t="inlineStr">
        <is>
          <t>eng</t>
        </is>
      </c>
      <c r="P642" t="inlineStr">
        <is>
          <t>cau</t>
        </is>
      </c>
      <c r="R642" t="inlineStr">
        <is>
          <t xml:space="preserve">QL </t>
        </is>
      </c>
      <c r="S642" t="n">
        <v>5</v>
      </c>
      <c r="T642" t="n">
        <v>5</v>
      </c>
      <c r="U642" t="inlineStr">
        <is>
          <t>2008-02-21</t>
        </is>
      </c>
      <c r="V642" t="inlineStr">
        <is>
          <t>2008-02-21</t>
        </is>
      </c>
      <c r="W642" t="inlineStr">
        <is>
          <t>1997-07-25</t>
        </is>
      </c>
      <c r="X642" t="inlineStr">
        <is>
          <t>1997-07-25</t>
        </is>
      </c>
      <c r="Y642" t="n">
        <v>102</v>
      </c>
      <c r="Z642" t="n">
        <v>90</v>
      </c>
      <c r="AA642" t="n">
        <v>335</v>
      </c>
      <c r="AB642" t="n">
        <v>1</v>
      </c>
      <c r="AC642" t="n">
        <v>2</v>
      </c>
      <c r="AD642" t="n">
        <v>3</v>
      </c>
      <c r="AE642" t="n">
        <v>16</v>
      </c>
      <c r="AF642" t="n">
        <v>2</v>
      </c>
      <c r="AG642" t="n">
        <v>7</v>
      </c>
      <c r="AH642" t="n">
        <v>0</v>
      </c>
      <c r="AI642" t="n">
        <v>1</v>
      </c>
      <c r="AJ642" t="n">
        <v>1</v>
      </c>
      <c r="AK642" t="n">
        <v>10</v>
      </c>
      <c r="AL642" t="n">
        <v>0</v>
      </c>
      <c r="AM642" t="n">
        <v>1</v>
      </c>
      <c r="AN642" t="n">
        <v>0</v>
      </c>
      <c r="AO642" t="n">
        <v>0</v>
      </c>
      <c r="AP642" t="inlineStr">
        <is>
          <t>Yes</t>
        </is>
      </c>
      <c r="AQ642" t="inlineStr">
        <is>
          <t>No</t>
        </is>
      </c>
      <c r="AR642">
        <f>HYPERLINK("http://catalog.hathitrust.org/Record/001500996","HathiTrust Record")</f>
        <v/>
      </c>
      <c r="AS642">
        <f>HYPERLINK("https://creighton-primo.hosted.exlibrisgroup.com/primo-explore/search?tab=default_tab&amp;search_scope=EVERYTHING&amp;vid=01CRU&amp;lang=en_US&amp;offset=0&amp;query=any,contains,991004164619702656","Catalog Record")</f>
        <v/>
      </c>
      <c r="AT642">
        <f>HYPERLINK("http://www.worldcat.org/oclc/2562822","WorldCat Record")</f>
        <v/>
      </c>
      <c r="AU642" t="inlineStr">
        <is>
          <t>1801936:eng</t>
        </is>
      </c>
      <c r="AV642" t="inlineStr">
        <is>
          <t>2562822</t>
        </is>
      </c>
      <c r="AW642" t="inlineStr">
        <is>
          <t>991004164619702656</t>
        </is>
      </c>
      <c r="AX642" t="inlineStr">
        <is>
          <t>991004164619702656</t>
        </is>
      </c>
      <c r="AY642" t="inlineStr">
        <is>
          <t>2259443970002656</t>
        </is>
      </c>
      <c r="AZ642" t="inlineStr">
        <is>
          <t>BOOK</t>
        </is>
      </c>
      <c r="BC642" t="inlineStr">
        <is>
          <t>32285002981644</t>
        </is>
      </c>
      <c r="BD642" t="inlineStr">
        <is>
          <t>893888370</t>
        </is>
      </c>
    </row>
    <row r="643">
      <c r="A643" t="inlineStr">
        <is>
          <t>No</t>
        </is>
      </c>
      <c r="B643" t="inlineStr">
        <is>
          <t>QL638.9 .L38</t>
        </is>
      </c>
      <c r="C643" t="inlineStr">
        <is>
          <t>0                      QL 0638900L  38</t>
        </is>
      </c>
      <c r="D643" t="inlineStr">
        <is>
          <t>Anatomy of the dogfish / by E. L. Lazier.</t>
        </is>
      </c>
      <c r="F643" t="inlineStr">
        <is>
          <t>No</t>
        </is>
      </c>
      <c r="G643" t="inlineStr">
        <is>
          <t>1</t>
        </is>
      </c>
      <c r="H643" t="inlineStr">
        <is>
          <t>No</t>
        </is>
      </c>
      <c r="I643" t="inlineStr">
        <is>
          <t>No</t>
        </is>
      </c>
      <c r="J643" t="inlineStr">
        <is>
          <t>0</t>
        </is>
      </c>
      <c r="K643" t="inlineStr">
        <is>
          <t>Lazier, Edgar Locke, 1899-1973.</t>
        </is>
      </c>
      <c r="L643" t="inlineStr">
        <is>
          <t>Stanford University, Calif. : Stanford university press, [c1943]</t>
        </is>
      </c>
      <c r="M643" t="inlineStr">
        <is>
          <t>1943</t>
        </is>
      </c>
      <c r="O643" t="inlineStr">
        <is>
          <t>eng</t>
        </is>
      </c>
      <c r="P643" t="inlineStr">
        <is>
          <t xml:space="preserve">xx </t>
        </is>
      </c>
      <c r="R643" t="inlineStr">
        <is>
          <t xml:space="preserve">QL </t>
        </is>
      </c>
      <c r="S643" t="n">
        <v>4</v>
      </c>
      <c r="T643" t="n">
        <v>4</v>
      </c>
      <c r="U643" t="inlineStr">
        <is>
          <t>2001-02-22</t>
        </is>
      </c>
      <c r="V643" t="inlineStr">
        <is>
          <t>2001-02-22</t>
        </is>
      </c>
      <c r="W643" t="inlineStr">
        <is>
          <t>1994-02-15</t>
        </is>
      </c>
      <c r="X643" t="inlineStr">
        <is>
          <t>1994-02-15</t>
        </is>
      </c>
      <c r="Y643" t="n">
        <v>95</v>
      </c>
      <c r="Z643" t="n">
        <v>86</v>
      </c>
      <c r="AA643" t="n">
        <v>97</v>
      </c>
      <c r="AB643" t="n">
        <v>1</v>
      </c>
      <c r="AC643" t="n">
        <v>1</v>
      </c>
      <c r="AD643" t="n">
        <v>5</v>
      </c>
      <c r="AE643" t="n">
        <v>6</v>
      </c>
      <c r="AF643" t="n">
        <v>1</v>
      </c>
      <c r="AG643" t="n">
        <v>1</v>
      </c>
      <c r="AH643" t="n">
        <v>1</v>
      </c>
      <c r="AI643" t="n">
        <v>2</v>
      </c>
      <c r="AJ643" t="n">
        <v>4</v>
      </c>
      <c r="AK643" t="n">
        <v>4</v>
      </c>
      <c r="AL643" t="n">
        <v>0</v>
      </c>
      <c r="AM643" t="n">
        <v>0</v>
      </c>
      <c r="AN643" t="n">
        <v>0</v>
      </c>
      <c r="AO643" t="n">
        <v>0</v>
      </c>
      <c r="AP643" t="inlineStr">
        <is>
          <t>No</t>
        </is>
      </c>
      <c r="AQ643" t="inlineStr">
        <is>
          <t>Yes</t>
        </is>
      </c>
      <c r="AR643">
        <f>HYPERLINK("http://catalog.hathitrust.org/Record/007232361","HathiTrust Record")</f>
        <v/>
      </c>
      <c r="AS643">
        <f>HYPERLINK("https://creighton-primo.hosted.exlibrisgroup.com/primo-explore/search?tab=default_tab&amp;search_scope=EVERYTHING&amp;vid=01CRU&amp;lang=en_US&amp;offset=0&amp;query=any,contains,991003815529702656","Catalog Record")</f>
        <v/>
      </c>
      <c r="AT643">
        <f>HYPERLINK("http://www.worldcat.org/oclc/1547695","WorldCat Record")</f>
        <v/>
      </c>
      <c r="AU643" t="inlineStr">
        <is>
          <t>2454200:eng</t>
        </is>
      </c>
      <c r="AV643" t="inlineStr">
        <is>
          <t>1547695</t>
        </is>
      </c>
      <c r="AW643" t="inlineStr">
        <is>
          <t>991003815529702656</t>
        </is>
      </c>
      <c r="AX643" t="inlineStr">
        <is>
          <t>991003815529702656</t>
        </is>
      </c>
      <c r="AY643" t="inlineStr">
        <is>
          <t>2271736810002656</t>
        </is>
      </c>
      <c r="AZ643" t="inlineStr">
        <is>
          <t>BOOK</t>
        </is>
      </c>
      <c r="BC643" t="inlineStr">
        <is>
          <t>32285001838340</t>
        </is>
      </c>
      <c r="BD643" t="inlineStr">
        <is>
          <t>893349181</t>
        </is>
      </c>
    </row>
    <row r="644">
      <c r="A644" t="inlineStr">
        <is>
          <t>No</t>
        </is>
      </c>
      <c r="B644" t="inlineStr">
        <is>
          <t>QL638.C3 S66 2007</t>
        </is>
      </c>
      <c r="C644" t="inlineStr">
        <is>
          <t>0                      QL 0638000C  3                  S  66          2007</t>
        </is>
      </c>
      <c r="D644" t="inlineStr">
        <is>
          <t>Bluegills : biology and behavior / Stephen Spotte.</t>
        </is>
      </c>
      <c r="F644" t="inlineStr">
        <is>
          <t>No</t>
        </is>
      </c>
      <c r="G644" t="inlineStr">
        <is>
          <t>1</t>
        </is>
      </c>
      <c r="H644" t="inlineStr">
        <is>
          <t>No</t>
        </is>
      </c>
      <c r="I644" t="inlineStr">
        <is>
          <t>No</t>
        </is>
      </c>
      <c r="J644" t="inlineStr">
        <is>
          <t>0</t>
        </is>
      </c>
      <c r="K644" t="inlineStr">
        <is>
          <t>Spotte, Stephen.</t>
        </is>
      </c>
      <c r="L644" t="inlineStr">
        <is>
          <t>Bethesda, Md. : American Fisheries Society, 2007.</t>
        </is>
      </c>
      <c r="M644" t="inlineStr">
        <is>
          <t>2007</t>
        </is>
      </c>
      <c r="O644" t="inlineStr">
        <is>
          <t>eng</t>
        </is>
      </c>
      <c r="P644" t="inlineStr">
        <is>
          <t>mdu</t>
        </is>
      </c>
      <c r="R644" t="inlineStr">
        <is>
          <t xml:space="preserve">QL </t>
        </is>
      </c>
      <c r="S644" t="n">
        <v>1</v>
      </c>
      <c r="T644" t="n">
        <v>1</v>
      </c>
      <c r="U644" t="inlineStr">
        <is>
          <t>2008-05-05</t>
        </is>
      </c>
      <c r="V644" t="inlineStr">
        <is>
          <t>2008-05-05</t>
        </is>
      </c>
      <c r="W644" t="inlineStr">
        <is>
          <t>2008-05-05</t>
        </is>
      </c>
      <c r="X644" t="inlineStr">
        <is>
          <t>2008-05-05</t>
        </is>
      </c>
      <c r="Y644" t="n">
        <v>159</v>
      </c>
      <c r="Z644" t="n">
        <v>139</v>
      </c>
      <c r="AA644" t="n">
        <v>141</v>
      </c>
      <c r="AB644" t="n">
        <v>3</v>
      </c>
      <c r="AC644" t="n">
        <v>3</v>
      </c>
      <c r="AD644" t="n">
        <v>5</v>
      </c>
      <c r="AE644" t="n">
        <v>5</v>
      </c>
      <c r="AF644" t="n">
        <v>2</v>
      </c>
      <c r="AG644" t="n">
        <v>2</v>
      </c>
      <c r="AH644" t="n">
        <v>0</v>
      </c>
      <c r="AI644" t="n">
        <v>0</v>
      </c>
      <c r="AJ644" t="n">
        <v>1</v>
      </c>
      <c r="AK644" t="n">
        <v>1</v>
      </c>
      <c r="AL644" t="n">
        <v>2</v>
      </c>
      <c r="AM644" t="n">
        <v>2</v>
      </c>
      <c r="AN644" t="n">
        <v>0</v>
      </c>
      <c r="AO644" t="n">
        <v>0</v>
      </c>
      <c r="AP644" t="inlineStr">
        <is>
          <t>No</t>
        </is>
      </c>
      <c r="AQ644" t="inlineStr">
        <is>
          <t>Yes</t>
        </is>
      </c>
      <c r="AR644">
        <f>HYPERLINK("http://catalog.hathitrust.org/Record/008336916","HathiTrust Record")</f>
        <v/>
      </c>
      <c r="AS644">
        <f>HYPERLINK("https://creighton-primo.hosted.exlibrisgroup.com/primo-explore/search?tab=default_tab&amp;search_scope=EVERYTHING&amp;vid=01CRU&amp;lang=en_US&amp;offset=0&amp;query=any,contains,991005183579702656","Catalog Record")</f>
        <v/>
      </c>
      <c r="AT644">
        <f>HYPERLINK("http://www.worldcat.org/oclc/163126390","WorldCat Record")</f>
        <v/>
      </c>
      <c r="AU644" t="inlineStr">
        <is>
          <t>304531325:eng</t>
        </is>
      </c>
      <c r="AV644" t="inlineStr">
        <is>
          <t>163126390</t>
        </is>
      </c>
      <c r="AW644" t="inlineStr">
        <is>
          <t>991005183579702656</t>
        </is>
      </c>
      <c r="AX644" t="inlineStr">
        <is>
          <t>991005183579702656</t>
        </is>
      </c>
      <c r="AY644" t="inlineStr">
        <is>
          <t>2259982020002656</t>
        </is>
      </c>
      <c r="AZ644" t="inlineStr">
        <is>
          <t>BOOK</t>
        </is>
      </c>
      <c r="BB644" t="inlineStr">
        <is>
          <t>9781888569933</t>
        </is>
      </c>
      <c r="BC644" t="inlineStr">
        <is>
          <t>32285005405195</t>
        </is>
      </c>
      <c r="BD644" t="inlineStr">
        <is>
          <t>893905282</t>
        </is>
      </c>
    </row>
    <row r="645">
      <c r="A645" t="inlineStr">
        <is>
          <t>No</t>
        </is>
      </c>
      <c r="B645" t="inlineStr">
        <is>
          <t>QL638.C55 B37 2000</t>
        </is>
      </c>
      <c r="C645" t="inlineStr">
        <is>
          <t>0                      QL 0638000C  55                 B  37          2000</t>
        </is>
      </c>
      <c r="D645" t="inlineStr">
        <is>
          <t>The cichlid fishes : nature's grand experiment in evolution / George W. Barlow.</t>
        </is>
      </c>
      <c r="F645" t="inlineStr">
        <is>
          <t>No</t>
        </is>
      </c>
      <c r="G645" t="inlineStr">
        <is>
          <t>1</t>
        </is>
      </c>
      <c r="H645" t="inlineStr">
        <is>
          <t>No</t>
        </is>
      </c>
      <c r="I645" t="inlineStr">
        <is>
          <t>No</t>
        </is>
      </c>
      <c r="J645" t="inlineStr">
        <is>
          <t>0</t>
        </is>
      </c>
      <c r="K645" t="inlineStr">
        <is>
          <t>Barlow, George W.</t>
        </is>
      </c>
      <c r="L645" t="inlineStr">
        <is>
          <t>Cambridge, Mass. : Perseus Pub., c2000.</t>
        </is>
      </c>
      <c r="M645" t="inlineStr">
        <is>
          <t>2000</t>
        </is>
      </c>
      <c r="O645" t="inlineStr">
        <is>
          <t>eng</t>
        </is>
      </c>
      <c r="P645" t="inlineStr">
        <is>
          <t>mau</t>
        </is>
      </c>
      <c r="R645" t="inlineStr">
        <is>
          <t xml:space="preserve">QL </t>
        </is>
      </c>
      <c r="S645" t="n">
        <v>6</v>
      </c>
      <c r="T645" t="n">
        <v>6</v>
      </c>
      <c r="U645" t="inlineStr">
        <is>
          <t>2006-03-08</t>
        </is>
      </c>
      <c r="V645" t="inlineStr">
        <is>
          <t>2006-03-08</t>
        </is>
      </c>
      <c r="W645" t="inlineStr">
        <is>
          <t>2001-12-04</t>
        </is>
      </c>
      <c r="X645" t="inlineStr">
        <is>
          <t>2001-12-04</t>
        </is>
      </c>
      <c r="Y645" t="n">
        <v>801</v>
      </c>
      <c r="Z645" t="n">
        <v>722</v>
      </c>
      <c r="AA645" t="n">
        <v>1026</v>
      </c>
      <c r="AB645" t="n">
        <v>7</v>
      </c>
      <c r="AC645" t="n">
        <v>9</v>
      </c>
      <c r="AD645" t="n">
        <v>20</v>
      </c>
      <c r="AE645" t="n">
        <v>23</v>
      </c>
      <c r="AF645" t="n">
        <v>8</v>
      </c>
      <c r="AG645" t="n">
        <v>9</v>
      </c>
      <c r="AH645" t="n">
        <v>2</v>
      </c>
      <c r="AI645" t="n">
        <v>2</v>
      </c>
      <c r="AJ645" t="n">
        <v>9</v>
      </c>
      <c r="AK645" t="n">
        <v>9</v>
      </c>
      <c r="AL645" t="n">
        <v>5</v>
      </c>
      <c r="AM645" t="n">
        <v>7</v>
      </c>
      <c r="AN645" t="n">
        <v>0</v>
      </c>
      <c r="AO645" t="n">
        <v>0</v>
      </c>
      <c r="AP645" t="inlineStr">
        <is>
          <t>No</t>
        </is>
      </c>
      <c r="AQ645" t="inlineStr">
        <is>
          <t>Yes</t>
        </is>
      </c>
      <c r="AR645">
        <f>HYPERLINK("http://catalog.hathitrust.org/Record/004159501","HathiTrust Record")</f>
        <v/>
      </c>
      <c r="AS645">
        <f>HYPERLINK("https://creighton-primo.hosted.exlibrisgroup.com/primo-explore/search?tab=default_tab&amp;search_scope=EVERYTHING&amp;vid=01CRU&amp;lang=en_US&amp;offset=0&amp;query=any,contains,991003666169702656","Catalog Record")</f>
        <v/>
      </c>
      <c r="AT645">
        <f>HYPERLINK("http://www.worldcat.org/oclc/59522242","WorldCat Record")</f>
        <v/>
      </c>
      <c r="AU645" t="inlineStr">
        <is>
          <t>48650:eng</t>
        </is>
      </c>
      <c r="AV645" t="inlineStr">
        <is>
          <t>59522242</t>
        </is>
      </c>
      <c r="AW645" t="inlineStr">
        <is>
          <t>991003666169702656</t>
        </is>
      </c>
      <c r="AX645" t="inlineStr">
        <is>
          <t>991003666169702656</t>
        </is>
      </c>
      <c r="AY645" t="inlineStr">
        <is>
          <t>2270052880002656</t>
        </is>
      </c>
      <c r="AZ645" t="inlineStr">
        <is>
          <t>BOOK</t>
        </is>
      </c>
      <c r="BB645" t="inlineStr">
        <is>
          <t>9780738203768</t>
        </is>
      </c>
      <c r="BC645" t="inlineStr">
        <is>
          <t>32285004425723</t>
        </is>
      </c>
      <c r="BD645" t="inlineStr">
        <is>
          <t>893435258</t>
        </is>
      </c>
    </row>
    <row r="646">
      <c r="A646" t="inlineStr">
        <is>
          <t>No</t>
        </is>
      </c>
      <c r="B646" t="inlineStr">
        <is>
          <t>QL638.G27 A8 1967</t>
        </is>
      </c>
      <c r="C646" t="inlineStr">
        <is>
          <t>0                      QL 0638000G  27                 A  8           1967</t>
        </is>
      </c>
      <c r="D646" t="inlineStr">
        <is>
          <t>Territory in the three-spined stickleback Gasterosteus aculeatus L. : an experimental study in intra-specific competition / by J. van den Assem.</t>
        </is>
      </c>
      <c r="F646" t="inlineStr">
        <is>
          <t>No</t>
        </is>
      </c>
      <c r="G646" t="inlineStr">
        <is>
          <t>1</t>
        </is>
      </c>
      <c r="H646" t="inlineStr">
        <is>
          <t>No</t>
        </is>
      </c>
      <c r="I646" t="inlineStr">
        <is>
          <t>No</t>
        </is>
      </c>
      <c r="J646" t="inlineStr">
        <is>
          <t>0</t>
        </is>
      </c>
      <c r="K646" t="inlineStr">
        <is>
          <t>Assem, J. van den (Jan van den)</t>
        </is>
      </c>
      <c r="L646" t="inlineStr">
        <is>
          <t>Leiden : E. J. Brill, 1967.</t>
        </is>
      </c>
      <c r="M646" t="inlineStr">
        <is>
          <t>1967</t>
        </is>
      </c>
      <c r="O646" t="inlineStr">
        <is>
          <t>eng</t>
        </is>
      </c>
      <c r="P646" t="inlineStr">
        <is>
          <t xml:space="preserve">ne </t>
        </is>
      </c>
      <c r="Q646" t="inlineStr">
        <is>
          <t>Behaviour : an international journal of comparative ethology. Supplement ; 16</t>
        </is>
      </c>
      <c r="R646" t="inlineStr">
        <is>
          <t xml:space="preserve">QL </t>
        </is>
      </c>
      <c r="S646" t="n">
        <v>4</v>
      </c>
      <c r="T646" t="n">
        <v>4</v>
      </c>
      <c r="U646" t="inlineStr">
        <is>
          <t>2002-02-22</t>
        </is>
      </c>
      <c r="V646" t="inlineStr">
        <is>
          <t>2002-02-22</t>
        </is>
      </c>
      <c r="W646" t="inlineStr">
        <is>
          <t>1992-05-07</t>
        </is>
      </c>
      <c r="X646" t="inlineStr">
        <is>
          <t>1992-05-07</t>
        </is>
      </c>
      <c r="Y646" t="n">
        <v>167</v>
      </c>
      <c r="Z646" t="n">
        <v>121</v>
      </c>
      <c r="AA646" t="n">
        <v>134</v>
      </c>
      <c r="AB646" t="n">
        <v>2</v>
      </c>
      <c r="AC646" t="n">
        <v>2</v>
      </c>
      <c r="AD646" t="n">
        <v>4</v>
      </c>
      <c r="AE646" t="n">
        <v>4</v>
      </c>
      <c r="AF646" t="n">
        <v>0</v>
      </c>
      <c r="AG646" t="n">
        <v>0</v>
      </c>
      <c r="AH646" t="n">
        <v>1</v>
      </c>
      <c r="AI646" t="n">
        <v>1</v>
      </c>
      <c r="AJ646" t="n">
        <v>2</v>
      </c>
      <c r="AK646" t="n">
        <v>2</v>
      </c>
      <c r="AL646" t="n">
        <v>1</v>
      </c>
      <c r="AM646" t="n">
        <v>1</v>
      </c>
      <c r="AN646" t="n">
        <v>0</v>
      </c>
      <c r="AO646" t="n">
        <v>0</v>
      </c>
      <c r="AP646" t="inlineStr">
        <is>
          <t>No</t>
        </is>
      </c>
      <c r="AQ646" t="inlineStr">
        <is>
          <t>Yes</t>
        </is>
      </c>
      <c r="AR646">
        <f>HYPERLINK("http://catalog.hathitrust.org/Record/001515815","HathiTrust Record")</f>
        <v/>
      </c>
      <c r="AS646">
        <f>HYPERLINK("https://creighton-primo.hosted.exlibrisgroup.com/primo-explore/search?tab=default_tab&amp;search_scope=EVERYTHING&amp;vid=01CRU&amp;lang=en_US&amp;offset=0&amp;query=any,contains,991002818129702656","Catalog Record")</f>
        <v/>
      </c>
      <c r="AT646">
        <f>HYPERLINK("http://www.worldcat.org/oclc/463290","WorldCat Record")</f>
        <v/>
      </c>
      <c r="AU646" t="inlineStr">
        <is>
          <t>1510419:eng</t>
        </is>
      </c>
      <c r="AV646" t="inlineStr">
        <is>
          <t>463290</t>
        </is>
      </c>
      <c r="AW646" t="inlineStr">
        <is>
          <t>991002818129702656</t>
        </is>
      </c>
      <c r="AX646" t="inlineStr">
        <is>
          <t>991002818129702656</t>
        </is>
      </c>
      <c r="AY646" t="inlineStr">
        <is>
          <t>2260970490002656</t>
        </is>
      </c>
      <c r="AZ646" t="inlineStr">
        <is>
          <t>BOOK</t>
        </is>
      </c>
      <c r="BC646" t="inlineStr">
        <is>
          <t>32285001094134</t>
        </is>
      </c>
      <c r="BD646" t="inlineStr">
        <is>
          <t>893251652</t>
        </is>
      </c>
    </row>
    <row r="647">
      <c r="A647" t="inlineStr">
        <is>
          <t>No</t>
        </is>
      </c>
      <c r="B647" t="inlineStr">
        <is>
          <t>QL638.G27 E96 1994</t>
        </is>
      </c>
      <c r="C647" t="inlineStr">
        <is>
          <t>0                      QL 0638000G  27                 E  96          1994</t>
        </is>
      </c>
      <c r="D647" t="inlineStr">
        <is>
          <t>The Evolutionary biology of the threespine stickleback / edited by Michael A. Bell and Susan A. Foster.</t>
        </is>
      </c>
      <c r="F647" t="inlineStr">
        <is>
          <t>No</t>
        </is>
      </c>
      <c r="G647" t="inlineStr">
        <is>
          <t>1</t>
        </is>
      </c>
      <c r="H647" t="inlineStr">
        <is>
          <t>No</t>
        </is>
      </c>
      <c r="I647" t="inlineStr">
        <is>
          <t>No</t>
        </is>
      </c>
      <c r="J647" t="inlineStr">
        <is>
          <t>0</t>
        </is>
      </c>
      <c r="L647" t="inlineStr">
        <is>
          <t>Oxford ; New York : Oxford University Press, 1994.</t>
        </is>
      </c>
      <c r="M647" t="inlineStr">
        <is>
          <t>1994</t>
        </is>
      </c>
      <c r="O647" t="inlineStr">
        <is>
          <t>eng</t>
        </is>
      </c>
      <c r="P647" t="inlineStr">
        <is>
          <t>enk</t>
        </is>
      </c>
      <c r="Q647" t="inlineStr">
        <is>
          <t>Oxford science publications</t>
        </is>
      </c>
      <c r="R647" t="inlineStr">
        <is>
          <t xml:space="preserve">QL </t>
        </is>
      </c>
      <c r="S647" t="n">
        <v>5</v>
      </c>
      <c r="T647" t="n">
        <v>5</v>
      </c>
      <c r="U647" t="inlineStr">
        <is>
          <t>2006-02-08</t>
        </is>
      </c>
      <c r="V647" t="inlineStr">
        <is>
          <t>2006-02-08</t>
        </is>
      </c>
      <c r="W647" t="inlineStr">
        <is>
          <t>1995-03-21</t>
        </is>
      </c>
      <c r="X647" t="inlineStr">
        <is>
          <t>1995-03-21</t>
        </is>
      </c>
      <c r="Y647" t="n">
        <v>311</v>
      </c>
      <c r="Z647" t="n">
        <v>229</v>
      </c>
      <c r="AA647" t="n">
        <v>229</v>
      </c>
      <c r="AB647" t="n">
        <v>3</v>
      </c>
      <c r="AC647" t="n">
        <v>3</v>
      </c>
      <c r="AD647" t="n">
        <v>10</v>
      </c>
      <c r="AE647" t="n">
        <v>10</v>
      </c>
      <c r="AF647" t="n">
        <v>1</v>
      </c>
      <c r="AG647" t="n">
        <v>1</v>
      </c>
      <c r="AH647" t="n">
        <v>1</v>
      </c>
      <c r="AI647" t="n">
        <v>1</v>
      </c>
      <c r="AJ647" t="n">
        <v>6</v>
      </c>
      <c r="AK647" t="n">
        <v>6</v>
      </c>
      <c r="AL647" t="n">
        <v>2</v>
      </c>
      <c r="AM647" t="n">
        <v>2</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HYPERLINK("https://creighton-primo.hosted.exlibrisgroup.com/primo-explore/search?tab=default_tab&amp;search_scope=EVERYTHING&amp;vid=01CRU&amp;lang=en_US&amp;offset=0&amp;query=any,contains,991002092629702656","Catalog Record")</f>
        <v/>
      </c>
      <c r="AT647">
        <f>HYPERLINK("http://www.worldcat.org/oclc/26852765","WorldCat Record")</f>
        <v/>
      </c>
      <c r="AU647" t="inlineStr">
        <is>
          <t>353145756:eng</t>
        </is>
      </c>
      <c r="AV647" t="inlineStr">
        <is>
          <t>26852765</t>
        </is>
      </c>
      <c r="AW647" t="inlineStr">
        <is>
          <t>991002092629702656</t>
        </is>
      </c>
      <c r="AX647" t="inlineStr">
        <is>
          <t>991002092629702656</t>
        </is>
      </c>
      <c r="AY647" t="inlineStr">
        <is>
          <t>2264930150002656</t>
        </is>
      </c>
      <c r="AZ647" t="inlineStr">
        <is>
          <t>BOOK</t>
        </is>
      </c>
      <c r="BB647" t="inlineStr">
        <is>
          <t>9780198577287</t>
        </is>
      </c>
      <c r="BC647" t="inlineStr">
        <is>
          <t>32285002003837</t>
        </is>
      </c>
      <c r="BD647" t="inlineStr">
        <is>
          <t>893250813</t>
        </is>
      </c>
    </row>
    <row r="648">
      <c r="A648" t="inlineStr">
        <is>
          <t>No</t>
        </is>
      </c>
      <c r="B648" t="inlineStr">
        <is>
          <t>QL638.L26 B56 1979</t>
        </is>
      </c>
      <c r="C648" t="inlineStr">
        <is>
          <t>0                      QL 0638000L  26                 B  56          1979</t>
        </is>
      </c>
      <c r="D648" t="inlineStr">
        <is>
          <t>The Biology and physiology of the living coelacanth / edited by John E. McCosker and Michael D. Lagios.</t>
        </is>
      </c>
      <c r="F648" t="inlineStr">
        <is>
          <t>No</t>
        </is>
      </c>
      <c r="G648" t="inlineStr">
        <is>
          <t>1</t>
        </is>
      </c>
      <c r="H648" t="inlineStr">
        <is>
          <t>No</t>
        </is>
      </c>
      <c r="I648" t="inlineStr">
        <is>
          <t>No</t>
        </is>
      </c>
      <c r="J648" t="inlineStr">
        <is>
          <t>0</t>
        </is>
      </c>
      <c r="L648" t="inlineStr">
        <is>
          <t>San Francisco : California Academy of Sciences, 1979.</t>
        </is>
      </c>
      <c r="M648" t="inlineStr">
        <is>
          <t>1979</t>
        </is>
      </c>
      <c r="O648" t="inlineStr">
        <is>
          <t>eng</t>
        </is>
      </c>
      <c r="P648" t="inlineStr">
        <is>
          <t>cau</t>
        </is>
      </c>
      <c r="Q648" t="inlineStr">
        <is>
          <t>Occasional papers of the California Academy of Sciences, 0068-5461 ; no. 134 (Dec. 22, 1979)</t>
        </is>
      </c>
      <c r="R648" t="inlineStr">
        <is>
          <t xml:space="preserve">QL </t>
        </is>
      </c>
      <c r="S648" t="n">
        <v>18</v>
      </c>
      <c r="T648" t="n">
        <v>18</v>
      </c>
      <c r="U648" t="inlineStr">
        <is>
          <t>2005-02-11</t>
        </is>
      </c>
      <c r="V648" t="inlineStr">
        <is>
          <t>2005-02-11</t>
        </is>
      </c>
      <c r="W648" t="inlineStr">
        <is>
          <t>1993-02-11</t>
        </is>
      </c>
      <c r="X648" t="inlineStr">
        <is>
          <t>1993-02-11</t>
        </is>
      </c>
      <c r="Y648" t="n">
        <v>155</v>
      </c>
      <c r="Z648" t="n">
        <v>120</v>
      </c>
      <c r="AA648" t="n">
        <v>120</v>
      </c>
      <c r="AB648" t="n">
        <v>1</v>
      </c>
      <c r="AC648" t="n">
        <v>1</v>
      </c>
      <c r="AD648" t="n">
        <v>2</v>
      </c>
      <c r="AE648" t="n">
        <v>2</v>
      </c>
      <c r="AF648" t="n">
        <v>2</v>
      </c>
      <c r="AG648" t="n">
        <v>2</v>
      </c>
      <c r="AH648" t="n">
        <v>0</v>
      </c>
      <c r="AI648" t="n">
        <v>0</v>
      </c>
      <c r="AJ648" t="n">
        <v>1</v>
      </c>
      <c r="AK648" t="n">
        <v>1</v>
      </c>
      <c r="AL648" t="n">
        <v>0</v>
      </c>
      <c r="AM648" t="n">
        <v>0</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HYPERLINK("https://creighton-primo.hosted.exlibrisgroup.com/primo-explore/search?tab=default_tab&amp;search_scope=EVERYTHING&amp;vid=01CRU&amp;lang=en_US&amp;offset=0&amp;query=any,contains,991004950199702656","Catalog Record")</f>
        <v/>
      </c>
      <c r="AT648">
        <f>HYPERLINK("http://www.worldcat.org/oclc/6237940","WorldCat Record")</f>
        <v/>
      </c>
      <c r="AU648" t="inlineStr">
        <is>
          <t>21686763:eng</t>
        </is>
      </c>
      <c r="AV648" t="inlineStr">
        <is>
          <t>6237940</t>
        </is>
      </c>
      <c r="AW648" t="inlineStr">
        <is>
          <t>991004950199702656</t>
        </is>
      </c>
      <c r="AX648" t="inlineStr">
        <is>
          <t>991004950199702656</t>
        </is>
      </c>
      <c r="AY648" t="inlineStr">
        <is>
          <t>2262889790002656</t>
        </is>
      </c>
      <c r="AZ648" t="inlineStr">
        <is>
          <t>BOOK</t>
        </is>
      </c>
      <c r="BC648" t="inlineStr">
        <is>
          <t>32285001532646</t>
        </is>
      </c>
      <c r="BD648" t="inlineStr">
        <is>
          <t>893242012</t>
        </is>
      </c>
    </row>
    <row r="649">
      <c r="A649" t="inlineStr">
        <is>
          <t>No</t>
        </is>
      </c>
      <c r="B649" t="inlineStr">
        <is>
          <t>QL638.L26 B565 1991</t>
        </is>
      </c>
      <c r="C649" t="inlineStr">
        <is>
          <t>0                      QL 0638000L  26                 B  565         1991</t>
        </is>
      </c>
      <c r="D649" t="inlineStr">
        <is>
          <t>The Biology of Latimeria chalumnae and evolution of coelacanths / editors, John A. Musick, Michael N. Bruton &amp; Eugene K. Balon.</t>
        </is>
      </c>
      <c r="F649" t="inlineStr">
        <is>
          <t>No</t>
        </is>
      </c>
      <c r="G649" t="inlineStr">
        <is>
          <t>1</t>
        </is>
      </c>
      <c r="H649" t="inlineStr">
        <is>
          <t>No</t>
        </is>
      </c>
      <c r="I649" t="inlineStr">
        <is>
          <t>No</t>
        </is>
      </c>
      <c r="J649" t="inlineStr">
        <is>
          <t>0</t>
        </is>
      </c>
      <c r="L649" t="inlineStr">
        <is>
          <t>Dordrecht ; Boston : Kluwer Academic Publishers, c1991.</t>
        </is>
      </c>
      <c r="M649" t="inlineStr">
        <is>
          <t>1991</t>
        </is>
      </c>
      <c r="O649" t="inlineStr">
        <is>
          <t>eng</t>
        </is>
      </c>
      <c r="P649" t="inlineStr">
        <is>
          <t xml:space="preserve">ne </t>
        </is>
      </c>
      <c r="Q649" t="inlineStr">
        <is>
          <t>Developments in environmental biology of fishes ; 12</t>
        </is>
      </c>
      <c r="R649" t="inlineStr">
        <is>
          <t xml:space="preserve">QL </t>
        </is>
      </c>
      <c r="S649" t="n">
        <v>16</v>
      </c>
      <c r="T649" t="n">
        <v>16</v>
      </c>
      <c r="U649" t="inlineStr">
        <is>
          <t>2005-02-11</t>
        </is>
      </c>
      <c r="V649" t="inlineStr">
        <is>
          <t>2005-02-11</t>
        </is>
      </c>
      <c r="W649" t="inlineStr">
        <is>
          <t>1993-01-19</t>
        </is>
      </c>
      <c r="X649" t="inlineStr">
        <is>
          <t>1993-01-19</t>
        </is>
      </c>
      <c r="Y649" t="n">
        <v>69</v>
      </c>
      <c r="Z649" t="n">
        <v>36</v>
      </c>
      <c r="AA649" t="n">
        <v>38</v>
      </c>
      <c r="AB649" t="n">
        <v>1</v>
      </c>
      <c r="AC649" t="n">
        <v>1</v>
      </c>
      <c r="AD649" t="n">
        <v>0</v>
      </c>
      <c r="AE649" t="n">
        <v>0</v>
      </c>
      <c r="AF649" t="n">
        <v>0</v>
      </c>
      <c r="AG649" t="n">
        <v>0</v>
      </c>
      <c r="AH649" t="n">
        <v>0</v>
      </c>
      <c r="AI649" t="n">
        <v>0</v>
      </c>
      <c r="AJ649" t="n">
        <v>0</v>
      </c>
      <c r="AK649" t="n">
        <v>0</v>
      </c>
      <c r="AL649" t="n">
        <v>0</v>
      </c>
      <c r="AM649" t="n">
        <v>0</v>
      </c>
      <c r="AN649" t="n">
        <v>0</v>
      </c>
      <c r="AO649" t="n">
        <v>0</v>
      </c>
      <c r="AP649" t="inlineStr">
        <is>
          <t>No</t>
        </is>
      </c>
      <c r="AQ649" t="inlineStr">
        <is>
          <t>Yes</t>
        </is>
      </c>
      <c r="AR649">
        <f>HYPERLINK("http://catalog.hathitrust.org/Record/002725866","HathiTrust Record")</f>
        <v/>
      </c>
      <c r="AS649">
        <f>HYPERLINK("https://creighton-primo.hosted.exlibrisgroup.com/primo-explore/search?tab=default_tab&amp;search_scope=EVERYTHING&amp;vid=01CRU&amp;lang=en_US&amp;offset=0&amp;query=any,contains,991001866509702656","Catalog Record")</f>
        <v/>
      </c>
      <c r="AT649">
        <f>HYPERLINK("http://www.worldcat.org/oclc/23463537","WorldCat Record")</f>
        <v/>
      </c>
      <c r="AU649" t="inlineStr">
        <is>
          <t>355887388:eng</t>
        </is>
      </c>
      <c r="AV649" t="inlineStr">
        <is>
          <t>23463537</t>
        </is>
      </c>
      <c r="AW649" t="inlineStr">
        <is>
          <t>991001866509702656</t>
        </is>
      </c>
      <c r="AX649" t="inlineStr">
        <is>
          <t>991001866509702656</t>
        </is>
      </c>
      <c r="AY649" t="inlineStr">
        <is>
          <t>2256022020002656</t>
        </is>
      </c>
      <c r="AZ649" t="inlineStr">
        <is>
          <t>BOOK</t>
        </is>
      </c>
      <c r="BB649" t="inlineStr">
        <is>
          <t>9780792312895</t>
        </is>
      </c>
      <c r="BC649" t="inlineStr">
        <is>
          <t>32285001446912</t>
        </is>
      </c>
      <c r="BD649" t="inlineStr">
        <is>
          <t>893779153</t>
        </is>
      </c>
    </row>
    <row r="650">
      <c r="A650" t="inlineStr">
        <is>
          <t>No</t>
        </is>
      </c>
      <c r="B650" t="inlineStr">
        <is>
          <t>QL638.L26 T46 1991</t>
        </is>
      </c>
      <c r="C650" t="inlineStr">
        <is>
          <t>0                      QL 0638000L  26                 T  46          1991</t>
        </is>
      </c>
      <c r="D650" t="inlineStr">
        <is>
          <t>Living fossil : the story of the coelacanth / Keith Stewart Thomson.</t>
        </is>
      </c>
      <c r="F650" t="inlineStr">
        <is>
          <t>No</t>
        </is>
      </c>
      <c r="G650" t="inlineStr">
        <is>
          <t>1</t>
        </is>
      </c>
      <c r="H650" t="inlineStr">
        <is>
          <t>No</t>
        </is>
      </c>
      <c r="I650" t="inlineStr">
        <is>
          <t>No</t>
        </is>
      </c>
      <c r="J650" t="inlineStr">
        <is>
          <t>0</t>
        </is>
      </c>
      <c r="K650" t="inlineStr">
        <is>
          <t>Thomson, Keith Stewart.</t>
        </is>
      </c>
      <c r="L650" t="inlineStr">
        <is>
          <t>New York : W.W. Norton, c1991.</t>
        </is>
      </c>
      <c r="M650" t="inlineStr">
        <is>
          <t>1991</t>
        </is>
      </c>
      <c r="O650" t="inlineStr">
        <is>
          <t>eng</t>
        </is>
      </c>
      <c r="P650" t="inlineStr">
        <is>
          <t>nyu</t>
        </is>
      </c>
      <c r="R650" t="inlineStr">
        <is>
          <t xml:space="preserve">QL </t>
        </is>
      </c>
      <c r="S650" t="n">
        <v>23</v>
      </c>
      <c r="T650" t="n">
        <v>23</v>
      </c>
      <c r="U650" t="inlineStr">
        <is>
          <t>2007-02-21</t>
        </is>
      </c>
      <c r="V650" t="inlineStr">
        <is>
          <t>2007-02-21</t>
        </is>
      </c>
      <c r="W650" t="inlineStr">
        <is>
          <t>1992-05-05</t>
        </is>
      </c>
      <c r="X650" t="inlineStr">
        <is>
          <t>1992-05-05</t>
        </is>
      </c>
      <c r="Y650" t="n">
        <v>931</v>
      </c>
      <c r="Z650" t="n">
        <v>860</v>
      </c>
      <c r="AA650" t="n">
        <v>891</v>
      </c>
      <c r="AB650" t="n">
        <v>5</v>
      </c>
      <c r="AC650" t="n">
        <v>5</v>
      </c>
      <c r="AD650" t="n">
        <v>24</v>
      </c>
      <c r="AE650" t="n">
        <v>24</v>
      </c>
      <c r="AF650" t="n">
        <v>12</v>
      </c>
      <c r="AG650" t="n">
        <v>12</v>
      </c>
      <c r="AH650" t="n">
        <v>5</v>
      </c>
      <c r="AI650" t="n">
        <v>5</v>
      </c>
      <c r="AJ650" t="n">
        <v>12</v>
      </c>
      <c r="AK650" t="n">
        <v>12</v>
      </c>
      <c r="AL650" t="n">
        <v>2</v>
      </c>
      <c r="AM650" t="n">
        <v>2</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HYPERLINK("https://creighton-primo.hosted.exlibrisgroup.com/primo-explore/search?tab=default_tab&amp;search_scope=EVERYTHING&amp;vid=01CRU&amp;lang=en_US&amp;offset=0&amp;query=any,contains,991001756599702656","Catalog Record")</f>
        <v/>
      </c>
      <c r="AT650">
        <f>HYPERLINK("http://www.worldcat.org/oclc/22210174","WorldCat Record")</f>
        <v/>
      </c>
      <c r="AU650" t="inlineStr">
        <is>
          <t>23951512:eng</t>
        </is>
      </c>
      <c r="AV650" t="inlineStr">
        <is>
          <t>22210174</t>
        </is>
      </c>
      <c r="AW650" t="inlineStr">
        <is>
          <t>991001756599702656</t>
        </is>
      </c>
      <c r="AX650" t="inlineStr">
        <is>
          <t>991001756599702656</t>
        </is>
      </c>
      <c r="AY650" t="inlineStr">
        <is>
          <t>2261904340002656</t>
        </is>
      </c>
      <c r="AZ650" t="inlineStr">
        <is>
          <t>BOOK</t>
        </is>
      </c>
      <c r="BB650" t="inlineStr">
        <is>
          <t>9780393029567</t>
        </is>
      </c>
      <c r="BC650" t="inlineStr">
        <is>
          <t>32285001038040</t>
        </is>
      </c>
      <c r="BD650" t="inlineStr">
        <is>
          <t>893872773</t>
        </is>
      </c>
    </row>
    <row r="651">
      <c r="A651" t="inlineStr">
        <is>
          <t>No</t>
        </is>
      </c>
      <c r="B651" t="inlineStr">
        <is>
          <t>QL638.L26 W45 2000</t>
        </is>
      </c>
      <c r="C651" t="inlineStr">
        <is>
          <t>0                      QL 0638000L  26                 W  45          2000</t>
        </is>
      </c>
      <c r="D651" t="inlineStr">
        <is>
          <t>A fish caught in time : the search for the coelacanth / Samantha Weinberg.</t>
        </is>
      </c>
      <c r="F651" t="inlineStr">
        <is>
          <t>No</t>
        </is>
      </c>
      <c r="G651" t="inlineStr">
        <is>
          <t>1</t>
        </is>
      </c>
      <c r="H651" t="inlineStr">
        <is>
          <t>No</t>
        </is>
      </c>
      <c r="I651" t="inlineStr">
        <is>
          <t>No</t>
        </is>
      </c>
      <c r="J651" t="inlineStr">
        <is>
          <t>0</t>
        </is>
      </c>
      <c r="K651" t="inlineStr">
        <is>
          <t>Weinberg, Samantha, 1966-</t>
        </is>
      </c>
      <c r="L651" t="inlineStr">
        <is>
          <t>New York : HarperCollins, c2000.</t>
        </is>
      </c>
      <c r="M651" t="inlineStr">
        <is>
          <t>2000</t>
        </is>
      </c>
      <c r="N651" t="inlineStr">
        <is>
          <t>1st ed.</t>
        </is>
      </c>
      <c r="O651" t="inlineStr">
        <is>
          <t>eng</t>
        </is>
      </c>
      <c r="P651" t="inlineStr">
        <is>
          <t>nyu</t>
        </is>
      </c>
      <c r="R651" t="inlineStr">
        <is>
          <t xml:space="preserve">QL </t>
        </is>
      </c>
      <c r="S651" t="n">
        <v>8</v>
      </c>
      <c r="T651" t="n">
        <v>8</v>
      </c>
      <c r="U651" t="inlineStr">
        <is>
          <t>2007-02-21</t>
        </is>
      </c>
      <c r="V651" t="inlineStr">
        <is>
          <t>2007-02-21</t>
        </is>
      </c>
      <c r="W651" t="inlineStr">
        <is>
          <t>2000-09-26</t>
        </is>
      </c>
      <c r="X651" t="inlineStr">
        <is>
          <t>2000-09-26</t>
        </is>
      </c>
      <c r="Y651" t="n">
        <v>1164</v>
      </c>
      <c r="Z651" t="n">
        <v>1115</v>
      </c>
      <c r="AA651" t="n">
        <v>1143</v>
      </c>
      <c r="AB651" t="n">
        <v>7</v>
      </c>
      <c r="AC651" t="n">
        <v>8</v>
      </c>
      <c r="AD651" t="n">
        <v>23</v>
      </c>
      <c r="AE651" t="n">
        <v>24</v>
      </c>
      <c r="AF651" t="n">
        <v>10</v>
      </c>
      <c r="AG651" t="n">
        <v>10</v>
      </c>
      <c r="AH651" t="n">
        <v>5</v>
      </c>
      <c r="AI651" t="n">
        <v>5</v>
      </c>
      <c r="AJ651" t="n">
        <v>11</v>
      </c>
      <c r="AK651" t="n">
        <v>11</v>
      </c>
      <c r="AL651" t="n">
        <v>5</v>
      </c>
      <c r="AM651" t="n">
        <v>6</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HYPERLINK("https://creighton-primo.hosted.exlibrisgroup.com/primo-explore/search?tab=default_tab&amp;search_scope=EVERYTHING&amp;vid=01CRU&amp;lang=en_US&amp;offset=0&amp;query=any,contains,991003262029702656","Catalog Record")</f>
        <v/>
      </c>
      <c r="AT651">
        <f>HYPERLINK("http://www.worldcat.org/oclc/42290224","WorldCat Record")</f>
        <v/>
      </c>
      <c r="AU651" t="inlineStr">
        <is>
          <t>39158406:eng</t>
        </is>
      </c>
      <c r="AV651" t="inlineStr">
        <is>
          <t>42290224</t>
        </is>
      </c>
      <c r="AW651" t="inlineStr">
        <is>
          <t>991003262029702656</t>
        </is>
      </c>
      <c r="AX651" t="inlineStr">
        <is>
          <t>991003262029702656</t>
        </is>
      </c>
      <c r="AY651" t="inlineStr">
        <is>
          <t>2259333960002656</t>
        </is>
      </c>
      <c r="AZ651" t="inlineStr">
        <is>
          <t>BOOK</t>
        </is>
      </c>
      <c r="BB651" t="inlineStr">
        <is>
          <t>9780060194956</t>
        </is>
      </c>
      <c r="BC651" t="inlineStr">
        <is>
          <t>32285003764858</t>
        </is>
      </c>
      <c r="BD651" t="inlineStr">
        <is>
          <t>893874591</t>
        </is>
      </c>
    </row>
    <row r="652">
      <c r="A652" t="inlineStr">
        <is>
          <t>No</t>
        </is>
      </c>
      <c r="B652" t="inlineStr">
        <is>
          <t>QL638.P73 H67 1997</t>
        </is>
      </c>
      <c r="C652" t="inlineStr">
        <is>
          <t>0                      QL 0638000P  73                 H  67          1997</t>
        </is>
      </c>
      <c r="D652" t="inlineStr">
        <is>
          <t>Sex, color, and mate choice in guppies / Anne E. Houde.</t>
        </is>
      </c>
      <c r="F652" t="inlineStr">
        <is>
          <t>No</t>
        </is>
      </c>
      <c r="G652" t="inlineStr">
        <is>
          <t>1</t>
        </is>
      </c>
      <c r="H652" t="inlineStr">
        <is>
          <t>No</t>
        </is>
      </c>
      <c r="I652" t="inlineStr">
        <is>
          <t>No</t>
        </is>
      </c>
      <c r="J652" t="inlineStr">
        <is>
          <t>0</t>
        </is>
      </c>
      <c r="K652" t="inlineStr">
        <is>
          <t>Houde, Anne E., 1959-</t>
        </is>
      </c>
      <c r="L652" t="inlineStr">
        <is>
          <t>Princeton, N.J. : Princeton University Press, c1997.</t>
        </is>
      </c>
      <c r="M652" t="inlineStr">
        <is>
          <t>1997</t>
        </is>
      </c>
      <c r="O652" t="inlineStr">
        <is>
          <t>eng</t>
        </is>
      </c>
      <c r="P652" t="inlineStr">
        <is>
          <t>nju</t>
        </is>
      </c>
      <c r="Q652" t="inlineStr">
        <is>
          <t>Monographs in behavior and ecology</t>
        </is>
      </c>
      <c r="R652" t="inlineStr">
        <is>
          <t xml:space="preserve">QL </t>
        </is>
      </c>
      <c r="S652" t="n">
        <v>6</v>
      </c>
      <c r="T652" t="n">
        <v>6</v>
      </c>
      <c r="U652" t="inlineStr">
        <is>
          <t>2004-02-21</t>
        </is>
      </c>
      <c r="V652" t="inlineStr">
        <is>
          <t>2004-02-21</t>
        </is>
      </c>
      <c r="W652" t="inlineStr">
        <is>
          <t>1998-03-23</t>
        </is>
      </c>
      <c r="X652" t="inlineStr">
        <is>
          <t>1998-03-23</t>
        </is>
      </c>
      <c r="Y652" t="n">
        <v>312</v>
      </c>
      <c r="Z652" t="n">
        <v>238</v>
      </c>
      <c r="AA652" t="n">
        <v>410</v>
      </c>
      <c r="AB652" t="n">
        <v>3</v>
      </c>
      <c r="AC652" t="n">
        <v>3</v>
      </c>
      <c r="AD652" t="n">
        <v>12</v>
      </c>
      <c r="AE652" t="n">
        <v>20</v>
      </c>
      <c r="AF652" t="n">
        <v>4</v>
      </c>
      <c r="AG652" t="n">
        <v>8</v>
      </c>
      <c r="AH652" t="n">
        <v>4</v>
      </c>
      <c r="AI652" t="n">
        <v>6</v>
      </c>
      <c r="AJ652" t="n">
        <v>5</v>
      </c>
      <c r="AK652" t="n">
        <v>10</v>
      </c>
      <c r="AL652" t="n">
        <v>2</v>
      </c>
      <c r="AM652" t="n">
        <v>2</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HYPERLINK("https://creighton-primo.hosted.exlibrisgroup.com/primo-explore/search?tab=default_tab&amp;search_scope=EVERYTHING&amp;vid=01CRU&amp;lang=en_US&amp;offset=0&amp;query=any,contains,991002743889702656","Catalog Record")</f>
        <v/>
      </c>
      <c r="AT652">
        <f>HYPERLINK("http://www.worldcat.org/oclc/36017152","WorldCat Record")</f>
        <v/>
      </c>
      <c r="AU652" t="inlineStr">
        <is>
          <t>10076467007:eng</t>
        </is>
      </c>
      <c r="AV652" t="inlineStr">
        <is>
          <t>36017152</t>
        </is>
      </c>
      <c r="AW652" t="inlineStr">
        <is>
          <t>991002743889702656</t>
        </is>
      </c>
      <c r="AX652" t="inlineStr">
        <is>
          <t>991002743889702656</t>
        </is>
      </c>
      <c r="AY652" t="inlineStr">
        <is>
          <t>2262340240002656</t>
        </is>
      </c>
      <c r="AZ652" t="inlineStr">
        <is>
          <t>BOOK</t>
        </is>
      </c>
      <c r="BB652" t="inlineStr">
        <is>
          <t>9780691027890</t>
        </is>
      </c>
      <c r="BC652" t="inlineStr">
        <is>
          <t>32285003359683</t>
        </is>
      </c>
      <c r="BD652" t="inlineStr">
        <is>
          <t>893341789</t>
        </is>
      </c>
    </row>
    <row r="653">
      <c r="A653" t="inlineStr">
        <is>
          <t>No</t>
        </is>
      </c>
      <c r="B653" t="inlineStr">
        <is>
          <t>QL638.S2 B432 2002</t>
        </is>
      </c>
      <c r="C653" t="inlineStr">
        <is>
          <t>0                      QL 0638000S  2                  B  432         2002</t>
        </is>
      </c>
      <c r="D653" t="inlineStr">
        <is>
          <t>Trout and salmon of North America / Robert J. Behnke ; illustrated by Joseph R. Tomelleri ; foreword by Thomas McGuane ; introduction by Donald S. Proebstel ; edited by George Scott.</t>
        </is>
      </c>
      <c r="F653" t="inlineStr">
        <is>
          <t>No</t>
        </is>
      </c>
      <c r="G653" t="inlineStr">
        <is>
          <t>1</t>
        </is>
      </c>
      <c r="H653" t="inlineStr">
        <is>
          <t>No</t>
        </is>
      </c>
      <c r="I653" t="inlineStr">
        <is>
          <t>No</t>
        </is>
      </c>
      <c r="J653" t="inlineStr">
        <is>
          <t>0</t>
        </is>
      </c>
      <c r="K653" t="inlineStr">
        <is>
          <t>Behnke, Robert J.</t>
        </is>
      </c>
      <c r="L653" t="inlineStr">
        <is>
          <t>New York : Free Press, 2002.</t>
        </is>
      </c>
      <c r="M653" t="inlineStr">
        <is>
          <t>2002</t>
        </is>
      </c>
      <c r="N653" t="inlineStr">
        <is>
          <t>Chanticleer Press ed., 1st ed.</t>
        </is>
      </c>
      <c r="O653" t="inlineStr">
        <is>
          <t>eng</t>
        </is>
      </c>
      <c r="P653" t="inlineStr">
        <is>
          <t>nyu</t>
        </is>
      </c>
      <c r="R653" t="inlineStr">
        <is>
          <t xml:space="preserve">QL </t>
        </is>
      </c>
      <c r="S653" t="n">
        <v>2</v>
      </c>
      <c r="T653" t="n">
        <v>2</v>
      </c>
      <c r="U653" t="inlineStr">
        <is>
          <t>2010-04-14</t>
        </is>
      </c>
      <c r="V653" t="inlineStr">
        <is>
          <t>2010-04-14</t>
        </is>
      </c>
      <c r="W653" t="inlineStr">
        <is>
          <t>2010-04-07</t>
        </is>
      </c>
      <c r="X653" t="inlineStr">
        <is>
          <t>2010-04-07</t>
        </is>
      </c>
      <c r="Y653" t="n">
        <v>903</v>
      </c>
      <c r="Z653" t="n">
        <v>852</v>
      </c>
      <c r="AA653" t="n">
        <v>852</v>
      </c>
      <c r="AB653" t="n">
        <v>4</v>
      </c>
      <c r="AC653" t="n">
        <v>4</v>
      </c>
      <c r="AD653" t="n">
        <v>12</v>
      </c>
      <c r="AE653" t="n">
        <v>12</v>
      </c>
      <c r="AF653" t="n">
        <v>5</v>
      </c>
      <c r="AG653" t="n">
        <v>5</v>
      </c>
      <c r="AH653" t="n">
        <v>2</v>
      </c>
      <c r="AI653" t="n">
        <v>2</v>
      </c>
      <c r="AJ653" t="n">
        <v>5</v>
      </c>
      <c r="AK653" t="n">
        <v>5</v>
      </c>
      <c r="AL653" t="n">
        <v>2</v>
      </c>
      <c r="AM653" t="n">
        <v>2</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HYPERLINK("https://creighton-primo.hosted.exlibrisgroup.com/primo-explore/search?tab=default_tab&amp;search_scope=EVERYTHING&amp;vid=01CRU&amp;lang=en_US&amp;offset=0&amp;query=any,contains,991005379399702656","Catalog Record")</f>
        <v/>
      </c>
      <c r="AT653">
        <f>HYPERLINK("http://www.worldcat.org/oclc/49626102","WorldCat Record")</f>
        <v/>
      </c>
      <c r="AU653" t="inlineStr">
        <is>
          <t>5614358446:eng</t>
        </is>
      </c>
      <c r="AV653" t="inlineStr">
        <is>
          <t>49626102</t>
        </is>
      </c>
      <c r="AW653" t="inlineStr">
        <is>
          <t>991005379399702656</t>
        </is>
      </c>
      <c r="AX653" t="inlineStr">
        <is>
          <t>991005379399702656</t>
        </is>
      </c>
      <c r="AY653" t="inlineStr">
        <is>
          <t>2269207880002656</t>
        </is>
      </c>
      <c r="AZ653" t="inlineStr">
        <is>
          <t>BOOK</t>
        </is>
      </c>
      <c r="BB653" t="inlineStr">
        <is>
          <t>9780743222204</t>
        </is>
      </c>
      <c r="BC653" t="inlineStr">
        <is>
          <t>32285005562128</t>
        </is>
      </c>
      <c r="BD653" t="inlineStr">
        <is>
          <t>893701490</t>
        </is>
      </c>
    </row>
    <row r="654">
      <c r="A654" t="inlineStr">
        <is>
          <t>No</t>
        </is>
      </c>
      <c r="B654" t="inlineStr">
        <is>
          <t>QL638.S2 B76 1982</t>
        </is>
      </c>
      <c r="C654" t="inlineStr">
        <is>
          <t>0                      QL 0638000S  2                  B  76          1982</t>
        </is>
      </c>
      <c r="D654" t="inlineStr">
        <is>
          <t>Mountain in the clouds : a search for the wild salmon / Bruce Brown.</t>
        </is>
      </c>
      <c r="F654" t="inlineStr">
        <is>
          <t>No</t>
        </is>
      </c>
      <c r="G654" t="inlineStr">
        <is>
          <t>1</t>
        </is>
      </c>
      <c r="H654" t="inlineStr">
        <is>
          <t>No</t>
        </is>
      </c>
      <c r="I654" t="inlineStr">
        <is>
          <t>No</t>
        </is>
      </c>
      <c r="J654" t="inlineStr">
        <is>
          <t>0</t>
        </is>
      </c>
      <c r="K654" t="inlineStr">
        <is>
          <t>Brown, Bruce.</t>
        </is>
      </c>
      <c r="L654" t="inlineStr">
        <is>
          <t>New York : Simon and Schuster, c1982.</t>
        </is>
      </c>
      <c r="M654" t="inlineStr">
        <is>
          <t>1982</t>
        </is>
      </c>
      <c r="O654" t="inlineStr">
        <is>
          <t>eng</t>
        </is>
      </c>
      <c r="P654" t="inlineStr">
        <is>
          <t>nyu</t>
        </is>
      </c>
      <c r="R654" t="inlineStr">
        <is>
          <t xml:space="preserve">QL </t>
        </is>
      </c>
      <c r="S654" t="n">
        <v>3</v>
      </c>
      <c r="T654" t="n">
        <v>3</v>
      </c>
      <c r="U654" t="inlineStr">
        <is>
          <t>1995-12-04</t>
        </is>
      </c>
      <c r="V654" t="inlineStr">
        <is>
          <t>1995-12-04</t>
        </is>
      </c>
      <c r="W654" t="inlineStr">
        <is>
          <t>1993-02-11</t>
        </is>
      </c>
      <c r="X654" t="inlineStr">
        <is>
          <t>1993-02-11</t>
        </is>
      </c>
      <c r="Y654" t="n">
        <v>512</v>
      </c>
      <c r="Z654" t="n">
        <v>491</v>
      </c>
      <c r="AA654" t="n">
        <v>601</v>
      </c>
      <c r="AB654" t="n">
        <v>2</v>
      </c>
      <c r="AC654" t="n">
        <v>2</v>
      </c>
      <c r="AD654" t="n">
        <v>7</v>
      </c>
      <c r="AE654" t="n">
        <v>11</v>
      </c>
      <c r="AF654" t="n">
        <v>2</v>
      </c>
      <c r="AG654" t="n">
        <v>3</v>
      </c>
      <c r="AH654" t="n">
        <v>2</v>
      </c>
      <c r="AI654" t="n">
        <v>2</v>
      </c>
      <c r="AJ654" t="n">
        <v>3</v>
      </c>
      <c r="AK654" t="n">
        <v>6</v>
      </c>
      <c r="AL654" t="n">
        <v>1</v>
      </c>
      <c r="AM654" t="n">
        <v>1</v>
      </c>
      <c r="AN654" t="n">
        <v>0</v>
      </c>
      <c r="AO654" t="n">
        <v>0</v>
      </c>
      <c r="AP654" t="inlineStr">
        <is>
          <t>No</t>
        </is>
      </c>
      <c r="AQ654" t="inlineStr">
        <is>
          <t>Yes</t>
        </is>
      </c>
      <c r="AR654">
        <f>HYPERLINK("http://catalog.hathitrust.org/Record/000106980","HathiTrust Record")</f>
        <v/>
      </c>
      <c r="AS654">
        <f>HYPERLINK("https://creighton-primo.hosted.exlibrisgroup.com/primo-explore/search?tab=default_tab&amp;search_scope=EVERYTHING&amp;vid=01CRU&amp;lang=en_US&amp;offset=0&amp;query=any,contains,991005227279702656","Catalog Record")</f>
        <v/>
      </c>
      <c r="AT654">
        <f>HYPERLINK("http://www.worldcat.org/oclc/8283707","WorldCat Record")</f>
        <v/>
      </c>
      <c r="AU654" t="inlineStr">
        <is>
          <t>23784555:eng</t>
        </is>
      </c>
      <c r="AV654" t="inlineStr">
        <is>
          <t>8283707</t>
        </is>
      </c>
      <c r="AW654" t="inlineStr">
        <is>
          <t>991005227279702656</t>
        </is>
      </c>
      <c r="AX654" t="inlineStr">
        <is>
          <t>991005227279702656</t>
        </is>
      </c>
      <c r="AY654" t="inlineStr">
        <is>
          <t>2268615090002656</t>
        </is>
      </c>
      <c r="AZ654" t="inlineStr">
        <is>
          <t>BOOK</t>
        </is>
      </c>
      <c r="BB654" t="inlineStr">
        <is>
          <t>9780671435837</t>
        </is>
      </c>
      <c r="BC654" t="inlineStr">
        <is>
          <t>32285001532653</t>
        </is>
      </c>
      <c r="BD654" t="inlineStr">
        <is>
          <t>893720022</t>
        </is>
      </c>
    </row>
    <row r="655">
      <c r="A655" t="inlineStr">
        <is>
          <t>No</t>
        </is>
      </c>
      <c r="B655" t="inlineStr">
        <is>
          <t>QL638.S2 C3</t>
        </is>
      </c>
      <c r="C655" t="inlineStr">
        <is>
          <t>0                      QL 0638000S  2                  C  3</t>
        </is>
      </c>
      <c r="D655" t="inlineStr">
        <is>
          <t>The sockeye salmon, Oncorhynchus nerka / by R. E. Foerster.</t>
        </is>
      </c>
      <c r="F655" t="inlineStr">
        <is>
          <t>No</t>
        </is>
      </c>
      <c r="G655" t="inlineStr">
        <is>
          <t>1</t>
        </is>
      </c>
      <c r="H655" t="inlineStr">
        <is>
          <t>No</t>
        </is>
      </c>
      <c r="I655" t="inlineStr">
        <is>
          <t>No</t>
        </is>
      </c>
      <c r="J655" t="inlineStr">
        <is>
          <t>0</t>
        </is>
      </c>
      <c r="K655" t="inlineStr">
        <is>
          <t>Foerster, Russell Earle, 1899-</t>
        </is>
      </c>
      <c r="L655" t="inlineStr">
        <is>
          <t>Ottawa, Fisheries Research Board of Canada, 1968.</t>
        </is>
      </c>
      <c r="M655" t="inlineStr">
        <is>
          <t>1968</t>
        </is>
      </c>
      <c r="O655" t="inlineStr">
        <is>
          <t>eng</t>
        </is>
      </c>
      <c r="P655" t="inlineStr">
        <is>
          <t>onc</t>
        </is>
      </c>
      <c r="Q655" t="inlineStr">
        <is>
          <t>[Canada. Fisheries Research Board.] Bulletin 162</t>
        </is>
      </c>
      <c r="R655" t="inlineStr">
        <is>
          <t xml:space="preserve">QL </t>
        </is>
      </c>
      <c r="S655" t="n">
        <v>1</v>
      </c>
      <c r="T655" t="n">
        <v>1</v>
      </c>
      <c r="U655" t="inlineStr">
        <is>
          <t>1998-02-21</t>
        </is>
      </c>
      <c r="V655" t="inlineStr">
        <is>
          <t>1998-02-21</t>
        </is>
      </c>
      <c r="W655" t="inlineStr">
        <is>
          <t>1998-01-30</t>
        </is>
      </c>
      <c r="X655" t="inlineStr">
        <is>
          <t>1998-01-30</t>
        </is>
      </c>
      <c r="Y655" t="n">
        <v>170</v>
      </c>
      <c r="Z655" t="n">
        <v>106</v>
      </c>
      <c r="AA655" t="n">
        <v>107</v>
      </c>
      <c r="AB655" t="n">
        <v>2</v>
      </c>
      <c r="AC655" t="n">
        <v>2</v>
      </c>
      <c r="AD655" t="n">
        <v>2</v>
      </c>
      <c r="AE655" t="n">
        <v>2</v>
      </c>
      <c r="AF655" t="n">
        <v>0</v>
      </c>
      <c r="AG655" t="n">
        <v>0</v>
      </c>
      <c r="AH655" t="n">
        <v>0</v>
      </c>
      <c r="AI655" t="n">
        <v>0</v>
      </c>
      <c r="AJ655" t="n">
        <v>1</v>
      </c>
      <c r="AK655" t="n">
        <v>1</v>
      </c>
      <c r="AL655" t="n">
        <v>1</v>
      </c>
      <c r="AM655" t="n">
        <v>1</v>
      </c>
      <c r="AN655" t="n">
        <v>0</v>
      </c>
      <c r="AO655" t="n">
        <v>0</v>
      </c>
      <c r="AP655" t="inlineStr">
        <is>
          <t>No</t>
        </is>
      </c>
      <c r="AQ655" t="inlineStr">
        <is>
          <t>Yes</t>
        </is>
      </c>
      <c r="AR655">
        <f>HYPERLINK("http://catalog.hathitrust.org/Record/001515819","HathiTrust Record")</f>
        <v/>
      </c>
      <c r="AS655">
        <f>HYPERLINK("https://creighton-primo.hosted.exlibrisgroup.com/primo-explore/search?tab=default_tab&amp;search_scope=EVERYTHING&amp;vid=01CRU&amp;lang=en_US&amp;offset=0&amp;query=any,contains,991000098909702656","Catalog Record")</f>
        <v/>
      </c>
      <c r="AT655">
        <f>HYPERLINK("http://www.worldcat.org/oclc/43957","WorldCat Record")</f>
        <v/>
      </c>
      <c r="AU655" t="inlineStr">
        <is>
          <t>1213276:eng</t>
        </is>
      </c>
      <c r="AV655" t="inlineStr">
        <is>
          <t>43957</t>
        </is>
      </c>
      <c r="AW655" t="inlineStr">
        <is>
          <t>991000098909702656</t>
        </is>
      </c>
      <c r="AX655" t="inlineStr">
        <is>
          <t>991000098909702656</t>
        </is>
      </c>
      <c r="AY655" t="inlineStr">
        <is>
          <t>2258361890002656</t>
        </is>
      </c>
      <c r="AZ655" t="inlineStr">
        <is>
          <t>BOOK</t>
        </is>
      </c>
      <c r="BC655" t="inlineStr">
        <is>
          <t>32285003337010</t>
        </is>
      </c>
      <c r="BD655" t="inlineStr">
        <is>
          <t>893224727</t>
        </is>
      </c>
    </row>
    <row r="656">
      <c r="A656" t="inlineStr">
        <is>
          <t>No</t>
        </is>
      </c>
      <c r="B656" t="inlineStr">
        <is>
          <t>QL638.S2 C658 1995</t>
        </is>
      </c>
      <c r="C656" t="inlineStr">
        <is>
          <t>0                      QL 0638000S  2                  C  658         1995</t>
        </is>
      </c>
      <c r="D656" t="inlineStr">
        <is>
          <t>A common fate : endangered salmon and the people of the Pacific Northwest / Joseph Cone.</t>
        </is>
      </c>
      <c r="F656" t="inlineStr">
        <is>
          <t>No</t>
        </is>
      </c>
      <c r="G656" t="inlineStr">
        <is>
          <t>1</t>
        </is>
      </c>
      <c r="H656" t="inlineStr">
        <is>
          <t>No</t>
        </is>
      </c>
      <c r="I656" t="inlineStr">
        <is>
          <t>No</t>
        </is>
      </c>
      <c r="J656" t="inlineStr">
        <is>
          <t>0</t>
        </is>
      </c>
      <c r="K656" t="inlineStr">
        <is>
          <t>Cone, Joseph.</t>
        </is>
      </c>
      <c r="L656" t="inlineStr">
        <is>
          <t>New York : H. Holt, 1995.</t>
        </is>
      </c>
      <c r="M656" t="inlineStr">
        <is>
          <t>1995</t>
        </is>
      </c>
      <c r="N656" t="inlineStr">
        <is>
          <t>1st ed.</t>
        </is>
      </c>
      <c r="O656" t="inlineStr">
        <is>
          <t>eng</t>
        </is>
      </c>
      <c r="P656" t="inlineStr">
        <is>
          <t>nyu</t>
        </is>
      </c>
      <c r="R656" t="inlineStr">
        <is>
          <t xml:space="preserve">QL </t>
        </is>
      </c>
      <c r="S656" t="n">
        <v>16</v>
      </c>
      <c r="T656" t="n">
        <v>16</v>
      </c>
      <c r="U656" t="inlineStr">
        <is>
          <t>1998-04-09</t>
        </is>
      </c>
      <c r="V656" t="inlineStr">
        <is>
          <t>1998-04-09</t>
        </is>
      </c>
      <c r="W656" t="inlineStr">
        <is>
          <t>1996-02-15</t>
        </is>
      </c>
      <c r="X656" t="inlineStr">
        <is>
          <t>1996-02-15</t>
        </is>
      </c>
      <c r="Y656" t="n">
        <v>318</v>
      </c>
      <c r="Z656" t="n">
        <v>292</v>
      </c>
      <c r="AA656" t="n">
        <v>362</v>
      </c>
      <c r="AB656" t="n">
        <v>3</v>
      </c>
      <c r="AC656" t="n">
        <v>3</v>
      </c>
      <c r="AD656" t="n">
        <v>10</v>
      </c>
      <c r="AE656" t="n">
        <v>12</v>
      </c>
      <c r="AF656" t="n">
        <v>2</v>
      </c>
      <c r="AG656" t="n">
        <v>3</v>
      </c>
      <c r="AH656" t="n">
        <v>0</v>
      </c>
      <c r="AI656" t="n">
        <v>0</v>
      </c>
      <c r="AJ656" t="n">
        <v>8</v>
      </c>
      <c r="AK656" t="n">
        <v>8</v>
      </c>
      <c r="AL656" t="n">
        <v>2</v>
      </c>
      <c r="AM656" t="n">
        <v>2</v>
      </c>
      <c r="AN656" t="n">
        <v>0</v>
      </c>
      <c r="AO656" t="n">
        <v>1</v>
      </c>
      <c r="AP656" t="inlineStr">
        <is>
          <t>No</t>
        </is>
      </c>
      <c r="AQ656" t="inlineStr">
        <is>
          <t>No</t>
        </is>
      </c>
      <c r="AS656">
        <f>HYPERLINK("https://creighton-primo.hosted.exlibrisgroup.com/primo-explore/search?tab=default_tab&amp;search_scope=EVERYTHING&amp;vid=01CRU&amp;lang=en_US&amp;offset=0&amp;query=any,contains,991002335629702656","Catalog Record")</f>
        <v/>
      </c>
      <c r="AT656">
        <f>HYPERLINK("http://www.worldcat.org/oclc/30399082","WorldCat Record")</f>
        <v/>
      </c>
      <c r="AU656" t="inlineStr">
        <is>
          <t>796264224:eng</t>
        </is>
      </c>
      <c r="AV656" t="inlineStr">
        <is>
          <t>30399082</t>
        </is>
      </c>
      <c r="AW656" t="inlineStr">
        <is>
          <t>991002335629702656</t>
        </is>
      </c>
      <c r="AX656" t="inlineStr">
        <is>
          <t>991002335629702656</t>
        </is>
      </c>
      <c r="AY656" t="inlineStr">
        <is>
          <t>2256238460002656</t>
        </is>
      </c>
      <c r="AZ656" t="inlineStr">
        <is>
          <t>BOOK</t>
        </is>
      </c>
      <c r="BB656" t="inlineStr">
        <is>
          <t>9780805023886</t>
        </is>
      </c>
      <c r="BC656" t="inlineStr">
        <is>
          <t>32285002135985</t>
        </is>
      </c>
      <c r="BD656" t="inlineStr">
        <is>
          <t>893703952</t>
        </is>
      </c>
    </row>
    <row r="657">
      <c r="A657" t="inlineStr">
        <is>
          <t>No</t>
        </is>
      </c>
      <c r="B657" t="inlineStr">
        <is>
          <t>QL638.S2 M48 1991</t>
        </is>
      </c>
      <c r="C657" t="inlineStr">
        <is>
          <t>0                      QL 0638000S  2                  M  48          1991</t>
        </is>
      </c>
      <c r="D657" t="inlineStr">
        <is>
          <t>Ecology and management of Atlantic salmon / Derek Mills.</t>
        </is>
      </c>
      <c r="F657" t="inlineStr">
        <is>
          <t>No</t>
        </is>
      </c>
      <c r="G657" t="inlineStr">
        <is>
          <t>1</t>
        </is>
      </c>
      <c r="H657" t="inlineStr">
        <is>
          <t>No</t>
        </is>
      </c>
      <c r="I657" t="inlineStr">
        <is>
          <t>No</t>
        </is>
      </c>
      <c r="J657" t="inlineStr">
        <is>
          <t>0</t>
        </is>
      </c>
      <c r="K657" t="inlineStr">
        <is>
          <t>Mills, Derek Henry.</t>
        </is>
      </c>
      <c r="L657" t="inlineStr">
        <is>
          <t>London ; New York : Chapman and Hall, 1991.</t>
        </is>
      </c>
      <c r="M657" t="inlineStr">
        <is>
          <t>1991</t>
        </is>
      </c>
      <c r="N657" t="inlineStr">
        <is>
          <t>Paperback edition 1991.</t>
        </is>
      </c>
      <c r="O657" t="inlineStr">
        <is>
          <t>eng</t>
        </is>
      </c>
      <c r="P657" t="inlineStr">
        <is>
          <t>enk</t>
        </is>
      </c>
      <c r="R657" t="inlineStr">
        <is>
          <t xml:space="preserve">QL </t>
        </is>
      </c>
      <c r="S657" t="n">
        <v>14</v>
      </c>
      <c r="T657" t="n">
        <v>14</v>
      </c>
      <c r="U657" t="inlineStr">
        <is>
          <t>2010-02-19</t>
        </is>
      </c>
      <c r="V657" t="inlineStr">
        <is>
          <t>2010-02-19</t>
        </is>
      </c>
      <c r="W657" t="inlineStr">
        <is>
          <t>1997-04-09</t>
        </is>
      </c>
      <c r="X657" t="inlineStr">
        <is>
          <t>1997-04-09</t>
        </is>
      </c>
      <c r="Y657" t="n">
        <v>28</v>
      </c>
      <c r="Z657" t="n">
        <v>18</v>
      </c>
      <c r="AA657" t="n">
        <v>165</v>
      </c>
      <c r="AB657" t="n">
        <v>1</v>
      </c>
      <c r="AC657" t="n">
        <v>2</v>
      </c>
      <c r="AD657" t="n">
        <v>1</v>
      </c>
      <c r="AE657" t="n">
        <v>5</v>
      </c>
      <c r="AF657" t="n">
        <v>1</v>
      </c>
      <c r="AG657" t="n">
        <v>2</v>
      </c>
      <c r="AH657" t="n">
        <v>0</v>
      </c>
      <c r="AI657" t="n">
        <v>1</v>
      </c>
      <c r="AJ657" t="n">
        <v>0</v>
      </c>
      <c r="AK657" t="n">
        <v>1</v>
      </c>
      <c r="AL657" t="n">
        <v>0</v>
      </c>
      <c r="AM657" t="n">
        <v>1</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HYPERLINK("https://creighton-primo.hosted.exlibrisgroup.com/primo-explore/search?tab=default_tab&amp;search_scope=EVERYTHING&amp;vid=01CRU&amp;lang=en_US&amp;offset=0&amp;query=any,contains,991002076259702656","Catalog Record")</f>
        <v/>
      </c>
      <c r="AT657">
        <f>HYPERLINK("http://www.worldcat.org/oclc/26628357","WorldCat Record")</f>
        <v/>
      </c>
      <c r="AU657" t="inlineStr">
        <is>
          <t>350454498:eng</t>
        </is>
      </c>
      <c r="AV657" t="inlineStr">
        <is>
          <t>26628357</t>
        </is>
      </c>
      <c r="AW657" t="inlineStr">
        <is>
          <t>991002076259702656</t>
        </is>
      </c>
      <c r="AX657" t="inlineStr">
        <is>
          <t>991002076259702656</t>
        </is>
      </c>
      <c r="AY657" t="inlineStr">
        <is>
          <t>2257239030002656</t>
        </is>
      </c>
      <c r="AZ657" t="inlineStr">
        <is>
          <t>BOOK</t>
        </is>
      </c>
      <c r="BB657" t="inlineStr">
        <is>
          <t>9780412460203</t>
        </is>
      </c>
      <c r="BC657" t="inlineStr">
        <is>
          <t>32285002495611</t>
        </is>
      </c>
      <c r="BD657" t="inlineStr">
        <is>
          <t>893516861</t>
        </is>
      </c>
    </row>
    <row r="658">
      <c r="A658" t="inlineStr">
        <is>
          <t>No</t>
        </is>
      </c>
      <c r="B658" t="inlineStr">
        <is>
          <t>QL638.S35 E45 2008</t>
        </is>
      </c>
      <c r="C658" t="inlineStr">
        <is>
          <t>0                      QL 0638000S  35                 E  45          2008</t>
        </is>
      </c>
      <c r="D658" t="inlineStr">
        <is>
          <t>Tuna : a love story / Richard Ellis.</t>
        </is>
      </c>
      <c r="F658" t="inlineStr">
        <is>
          <t>No</t>
        </is>
      </c>
      <c r="G658" t="inlineStr">
        <is>
          <t>1</t>
        </is>
      </c>
      <c r="H658" t="inlineStr">
        <is>
          <t>No</t>
        </is>
      </c>
      <c r="I658" t="inlineStr">
        <is>
          <t>No</t>
        </is>
      </c>
      <c r="J658" t="inlineStr">
        <is>
          <t>0</t>
        </is>
      </c>
      <c r="K658" t="inlineStr">
        <is>
          <t>Ellis, Richard, 1938-</t>
        </is>
      </c>
      <c r="L658" t="inlineStr">
        <is>
          <t>New York : Alfred A. Knopf, 2008.</t>
        </is>
      </c>
      <c r="M658" t="inlineStr">
        <is>
          <t>2008</t>
        </is>
      </c>
      <c r="N658" t="inlineStr">
        <is>
          <t>1st ed.</t>
        </is>
      </c>
      <c r="O658" t="inlineStr">
        <is>
          <t>eng</t>
        </is>
      </c>
      <c r="P658" t="inlineStr">
        <is>
          <t>nyu</t>
        </is>
      </c>
      <c r="R658" t="inlineStr">
        <is>
          <t xml:space="preserve">QL </t>
        </is>
      </c>
      <c r="S658" t="n">
        <v>3</v>
      </c>
      <c r="T658" t="n">
        <v>3</v>
      </c>
      <c r="U658" t="inlineStr">
        <is>
          <t>2009-02-18</t>
        </is>
      </c>
      <c r="V658" t="inlineStr">
        <is>
          <t>2009-02-18</t>
        </is>
      </c>
      <c r="W658" t="inlineStr">
        <is>
          <t>2008-10-07</t>
        </is>
      </c>
      <c r="X658" t="inlineStr">
        <is>
          <t>2008-10-07</t>
        </is>
      </c>
      <c r="Y658" t="n">
        <v>838</v>
      </c>
      <c r="Z658" t="n">
        <v>783</v>
      </c>
      <c r="AA658" t="n">
        <v>809</v>
      </c>
      <c r="AB658" t="n">
        <v>7</v>
      </c>
      <c r="AC658" t="n">
        <v>7</v>
      </c>
      <c r="AD658" t="n">
        <v>17</v>
      </c>
      <c r="AE658" t="n">
        <v>17</v>
      </c>
      <c r="AF658" t="n">
        <v>5</v>
      </c>
      <c r="AG658" t="n">
        <v>5</v>
      </c>
      <c r="AH658" t="n">
        <v>3</v>
      </c>
      <c r="AI658" t="n">
        <v>3</v>
      </c>
      <c r="AJ658" t="n">
        <v>7</v>
      </c>
      <c r="AK658" t="n">
        <v>7</v>
      </c>
      <c r="AL658" t="n">
        <v>3</v>
      </c>
      <c r="AM658" t="n">
        <v>3</v>
      </c>
      <c r="AN658" t="n">
        <v>0</v>
      </c>
      <c r="AO658" t="n">
        <v>0</v>
      </c>
      <c r="AP658" t="inlineStr">
        <is>
          <t>No</t>
        </is>
      </c>
      <c r="AQ658" t="inlineStr">
        <is>
          <t>No</t>
        </is>
      </c>
      <c r="AS658">
        <f>HYPERLINK("https://creighton-primo.hosted.exlibrisgroup.com/primo-explore/search?tab=default_tab&amp;search_scope=EVERYTHING&amp;vid=01CRU&amp;lang=en_US&amp;offset=0&amp;query=any,contains,991005269129702656","Catalog Record")</f>
        <v/>
      </c>
      <c r="AT658">
        <f>HYPERLINK("http://www.worldcat.org/oclc/179833883","WorldCat Record")</f>
        <v/>
      </c>
      <c r="AU658" t="inlineStr">
        <is>
          <t>3856093721:eng</t>
        </is>
      </c>
      <c r="AV658" t="inlineStr">
        <is>
          <t>179833883</t>
        </is>
      </c>
      <c r="AW658" t="inlineStr">
        <is>
          <t>991005269129702656</t>
        </is>
      </c>
      <c r="AX658" t="inlineStr">
        <is>
          <t>991005269129702656</t>
        </is>
      </c>
      <c r="AY658" t="inlineStr">
        <is>
          <t>2262288380002656</t>
        </is>
      </c>
      <c r="AZ658" t="inlineStr">
        <is>
          <t>BOOK</t>
        </is>
      </c>
      <c r="BB658" t="inlineStr">
        <is>
          <t>9780307267153</t>
        </is>
      </c>
      <c r="BC658" t="inlineStr">
        <is>
          <t>32285005461768</t>
        </is>
      </c>
      <c r="BD658" t="inlineStr">
        <is>
          <t>893514365</t>
        </is>
      </c>
    </row>
    <row r="659">
      <c r="A659" t="inlineStr">
        <is>
          <t>No</t>
        </is>
      </c>
      <c r="B659" t="inlineStr">
        <is>
          <t>QL639 .A42513</t>
        </is>
      </c>
      <c r="C659" t="inlineStr">
        <is>
          <t>0                      QL 0639000A  42513</t>
        </is>
      </c>
      <c r="D659" t="inlineStr">
        <is>
          <t>Function and gross morphology in fish [by] Yu. G. Aleev. Edited by V. A. Vodyanitskii. Translated from Russian [by M. Raveh. Edited by H. Mills].</t>
        </is>
      </c>
      <c r="F659" t="inlineStr">
        <is>
          <t>No</t>
        </is>
      </c>
      <c r="G659" t="inlineStr">
        <is>
          <t>1</t>
        </is>
      </c>
      <c r="H659" t="inlineStr">
        <is>
          <t>No</t>
        </is>
      </c>
      <c r="I659" t="inlineStr">
        <is>
          <t>No</t>
        </is>
      </c>
      <c r="J659" t="inlineStr">
        <is>
          <t>0</t>
        </is>
      </c>
      <c r="K659" t="inlineStr">
        <is>
          <t>Aleev, I͡U. G. (I͡Uriĭ Glebovich)</t>
        </is>
      </c>
      <c r="L659" t="inlineStr">
        <is>
          <t>Jerusalem, Israel Program for Scientific Translations; [available from the U.S. Dept. of Commerce, Clearinghouse for Federal Scientific and Technical Information, Springfield, Va.] 1969.</t>
        </is>
      </c>
      <c r="M659" t="inlineStr">
        <is>
          <t>1969</t>
        </is>
      </c>
      <c r="O659" t="inlineStr">
        <is>
          <t>eng</t>
        </is>
      </c>
      <c r="P659" t="inlineStr">
        <is>
          <t xml:space="preserve">is </t>
        </is>
      </c>
      <c r="R659" t="inlineStr">
        <is>
          <t xml:space="preserve">QL </t>
        </is>
      </c>
      <c r="S659" t="n">
        <v>8</v>
      </c>
      <c r="T659" t="n">
        <v>8</v>
      </c>
      <c r="U659" t="inlineStr">
        <is>
          <t>2004-02-24</t>
        </is>
      </c>
      <c r="V659" t="inlineStr">
        <is>
          <t>2004-02-24</t>
        </is>
      </c>
      <c r="W659" t="inlineStr">
        <is>
          <t>1993-02-12</t>
        </is>
      </c>
      <c r="X659" t="inlineStr">
        <is>
          <t>1993-02-12</t>
        </is>
      </c>
      <c r="Y659" t="n">
        <v>245</v>
      </c>
      <c r="Z659" t="n">
        <v>180</v>
      </c>
      <c r="AA659" t="n">
        <v>226</v>
      </c>
      <c r="AB659" t="n">
        <v>2</v>
      </c>
      <c r="AC659" t="n">
        <v>2</v>
      </c>
      <c r="AD659" t="n">
        <v>4</v>
      </c>
      <c r="AE659" t="n">
        <v>6</v>
      </c>
      <c r="AF659" t="n">
        <v>1</v>
      </c>
      <c r="AG659" t="n">
        <v>2</v>
      </c>
      <c r="AH659" t="n">
        <v>1</v>
      </c>
      <c r="AI659" t="n">
        <v>1</v>
      </c>
      <c r="AJ659" t="n">
        <v>1</v>
      </c>
      <c r="AK659" t="n">
        <v>2</v>
      </c>
      <c r="AL659" t="n">
        <v>1</v>
      </c>
      <c r="AM659" t="n">
        <v>1</v>
      </c>
      <c r="AN659" t="n">
        <v>0</v>
      </c>
      <c r="AO659" t="n">
        <v>0</v>
      </c>
      <c r="AP659" t="inlineStr">
        <is>
          <t>No</t>
        </is>
      </c>
      <c r="AQ659" t="inlineStr">
        <is>
          <t>Yes</t>
        </is>
      </c>
      <c r="AR659">
        <f>HYPERLINK("http://catalog.hathitrust.org/Record/000354670","HathiTrust Record")</f>
        <v/>
      </c>
      <c r="AS659">
        <f>HYPERLINK("https://creighton-primo.hosted.exlibrisgroup.com/primo-explore/search?tab=default_tab&amp;search_scope=EVERYTHING&amp;vid=01CRU&amp;lang=en_US&amp;offset=0&amp;query=any,contains,991004638339702656","Catalog Record")</f>
        <v/>
      </c>
      <c r="AT659">
        <f>HYPERLINK("http://www.worldcat.org/oclc/4436380","WorldCat Record")</f>
        <v/>
      </c>
      <c r="AU659" t="inlineStr">
        <is>
          <t>49598452:eng</t>
        </is>
      </c>
      <c r="AV659" t="inlineStr">
        <is>
          <t>4436380</t>
        </is>
      </c>
      <c r="AW659" t="inlineStr">
        <is>
          <t>991004638339702656</t>
        </is>
      </c>
      <c r="AX659" t="inlineStr">
        <is>
          <t>991004638339702656</t>
        </is>
      </c>
      <c r="AY659" t="inlineStr">
        <is>
          <t>2265044480002656</t>
        </is>
      </c>
      <c r="AZ659" t="inlineStr">
        <is>
          <t>BOOK</t>
        </is>
      </c>
      <c r="BC659" t="inlineStr">
        <is>
          <t>32285001532687</t>
        </is>
      </c>
      <c r="BD659" t="inlineStr">
        <is>
          <t>893229576</t>
        </is>
      </c>
    </row>
    <row r="660">
      <c r="A660" t="inlineStr">
        <is>
          <t>No</t>
        </is>
      </c>
      <c r="B660" t="inlineStr">
        <is>
          <t>QL639 .B77</t>
        </is>
      </c>
      <c r="C660" t="inlineStr">
        <is>
          <t>0                      QL 0639000B  77</t>
        </is>
      </c>
      <c r="D660" t="inlineStr">
        <is>
          <t>The physiology of fishes.</t>
        </is>
      </c>
      <c r="E660" t="inlineStr">
        <is>
          <t>V. 1</t>
        </is>
      </c>
      <c r="F660" t="inlineStr">
        <is>
          <t>Yes</t>
        </is>
      </c>
      <c r="G660" t="inlineStr">
        <is>
          <t>1</t>
        </is>
      </c>
      <c r="H660" t="inlineStr">
        <is>
          <t>No</t>
        </is>
      </c>
      <c r="I660" t="inlineStr">
        <is>
          <t>No</t>
        </is>
      </c>
      <c r="J660" t="inlineStr">
        <is>
          <t>0</t>
        </is>
      </c>
      <c r="K660" t="inlineStr">
        <is>
          <t>Varley, Margaret E. (Margaret Elizabeth), 1918-2009, editor.</t>
        </is>
      </c>
      <c r="L660" t="inlineStr">
        <is>
          <t>New York, Academic Press, 1957.</t>
        </is>
      </c>
      <c r="M660" t="inlineStr">
        <is>
          <t>1957</t>
        </is>
      </c>
      <c r="O660" t="inlineStr">
        <is>
          <t>eng</t>
        </is>
      </c>
      <c r="P660" t="inlineStr">
        <is>
          <t>nyu</t>
        </is>
      </c>
      <c r="R660" t="inlineStr">
        <is>
          <t xml:space="preserve">QL </t>
        </is>
      </c>
      <c r="S660" t="n">
        <v>3</v>
      </c>
      <c r="T660" t="n">
        <v>6</v>
      </c>
      <c r="U660" t="inlineStr">
        <is>
          <t>2001-02-22</t>
        </is>
      </c>
      <c r="V660" t="inlineStr">
        <is>
          <t>2001-02-22</t>
        </is>
      </c>
      <c r="W660" t="inlineStr">
        <is>
          <t>1997-09-22</t>
        </is>
      </c>
      <c r="X660" t="inlineStr">
        <is>
          <t>1997-09-22</t>
        </is>
      </c>
      <c r="Y660" t="n">
        <v>782</v>
      </c>
      <c r="Z660" t="n">
        <v>655</v>
      </c>
      <c r="AA660" t="n">
        <v>663</v>
      </c>
      <c r="AB660" t="n">
        <v>8</v>
      </c>
      <c r="AC660" t="n">
        <v>8</v>
      </c>
      <c r="AD660" t="n">
        <v>32</v>
      </c>
      <c r="AE660" t="n">
        <v>32</v>
      </c>
      <c r="AF660" t="n">
        <v>10</v>
      </c>
      <c r="AG660" t="n">
        <v>10</v>
      </c>
      <c r="AH660" t="n">
        <v>5</v>
      </c>
      <c r="AI660" t="n">
        <v>5</v>
      </c>
      <c r="AJ660" t="n">
        <v>16</v>
      </c>
      <c r="AK660" t="n">
        <v>16</v>
      </c>
      <c r="AL660" t="n">
        <v>7</v>
      </c>
      <c r="AM660" t="n">
        <v>7</v>
      </c>
      <c r="AN660" t="n">
        <v>0</v>
      </c>
      <c r="AO660" t="n">
        <v>0</v>
      </c>
      <c r="AP660" t="inlineStr">
        <is>
          <t>No</t>
        </is>
      </c>
      <c r="AQ660" t="inlineStr">
        <is>
          <t>Yes</t>
        </is>
      </c>
      <c r="AR660">
        <f>HYPERLINK("http://catalog.hathitrust.org/Record/000803897","HathiTrust Record")</f>
        <v/>
      </c>
      <c r="AS660">
        <f>HYPERLINK("https://creighton-primo.hosted.exlibrisgroup.com/primo-explore/search?tab=default_tab&amp;search_scope=EVERYTHING&amp;vid=01CRU&amp;lang=en_US&amp;offset=0&amp;query=any,contains,991002983959702656","Catalog Record")</f>
        <v/>
      </c>
      <c r="AT660">
        <f>HYPERLINK("http://www.worldcat.org/oclc/556377","WorldCat Record")</f>
        <v/>
      </c>
      <c r="AU660" t="inlineStr">
        <is>
          <t>9593628491:eng</t>
        </is>
      </c>
      <c r="AV660" t="inlineStr">
        <is>
          <t>556377</t>
        </is>
      </c>
      <c r="AW660" t="inlineStr">
        <is>
          <t>991002983959702656</t>
        </is>
      </c>
      <c r="AX660" t="inlineStr">
        <is>
          <t>991002983959702656</t>
        </is>
      </c>
      <c r="AY660" t="inlineStr">
        <is>
          <t>2259900550002656</t>
        </is>
      </c>
      <c r="AZ660" t="inlineStr">
        <is>
          <t>BOOK</t>
        </is>
      </c>
      <c r="BC660" t="inlineStr">
        <is>
          <t>32285003204616</t>
        </is>
      </c>
      <c r="BD660" t="inlineStr">
        <is>
          <t>893227544</t>
        </is>
      </c>
    </row>
    <row r="661">
      <c r="A661" t="inlineStr">
        <is>
          <t>No</t>
        </is>
      </c>
      <c r="B661" t="inlineStr">
        <is>
          <t>QL639 .B77</t>
        </is>
      </c>
      <c r="C661" t="inlineStr">
        <is>
          <t>0                      QL 0639000B  77</t>
        </is>
      </c>
      <c r="D661" t="inlineStr">
        <is>
          <t>The physiology of fishes.</t>
        </is>
      </c>
      <c r="E661" t="inlineStr">
        <is>
          <t>V. 2</t>
        </is>
      </c>
      <c r="F661" t="inlineStr">
        <is>
          <t>Yes</t>
        </is>
      </c>
      <c r="G661" t="inlineStr">
        <is>
          <t>1</t>
        </is>
      </c>
      <c r="H661" t="inlineStr">
        <is>
          <t>No</t>
        </is>
      </c>
      <c r="I661" t="inlineStr">
        <is>
          <t>No</t>
        </is>
      </c>
      <c r="J661" t="inlineStr">
        <is>
          <t>0</t>
        </is>
      </c>
      <c r="K661" t="inlineStr">
        <is>
          <t>Varley, Margaret E. (Margaret Elizabeth), 1918-2009, editor.</t>
        </is>
      </c>
      <c r="L661" t="inlineStr">
        <is>
          <t>New York, Academic Press, 1957.</t>
        </is>
      </c>
      <c r="M661" t="inlineStr">
        <is>
          <t>1957</t>
        </is>
      </c>
      <c r="O661" t="inlineStr">
        <is>
          <t>eng</t>
        </is>
      </c>
      <c r="P661" t="inlineStr">
        <is>
          <t>nyu</t>
        </is>
      </c>
      <c r="R661" t="inlineStr">
        <is>
          <t xml:space="preserve">QL </t>
        </is>
      </c>
      <c r="S661" t="n">
        <v>3</v>
      </c>
      <c r="T661" t="n">
        <v>6</v>
      </c>
      <c r="U661" t="inlineStr">
        <is>
          <t>1997-12-02</t>
        </is>
      </c>
      <c r="V661" t="inlineStr">
        <is>
          <t>2001-02-22</t>
        </is>
      </c>
      <c r="W661" t="inlineStr">
        <is>
          <t>1992-04-16</t>
        </is>
      </c>
      <c r="X661" t="inlineStr">
        <is>
          <t>1997-09-22</t>
        </is>
      </c>
      <c r="Y661" t="n">
        <v>782</v>
      </c>
      <c r="Z661" t="n">
        <v>655</v>
      </c>
      <c r="AA661" t="n">
        <v>663</v>
      </c>
      <c r="AB661" t="n">
        <v>8</v>
      </c>
      <c r="AC661" t="n">
        <v>8</v>
      </c>
      <c r="AD661" t="n">
        <v>32</v>
      </c>
      <c r="AE661" t="n">
        <v>32</v>
      </c>
      <c r="AF661" t="n">
        <v>10</v>
      </c>
      <c r="AG661" t="n">
        <v>10</v>
      </c>
      <c r="AH661" t="n">
        <v>5</v>
      </c>
      <c r="AI661" t="n">
        <v>5</v>
      </c>
      <c r="AJ661" t="n">
        <v>16</v>
      </c>
      <c r="AK661" t="n">
        <v>16</v>
      </c>
      <c r="AL661" t="n">
        <v>7</v>
      </c>
      <c r="AM661" t="n">
        <v>7</v>
      </c>
      <c r="AN661" t="n">
        <v>0</v>
      </c>
      <c r="AO661" t="n">
        <v>0</v>
      </c>
      <c r="AP661" t="inlineStr">
        <is>
          <t>No</t>
        </is>
      </c>
      <c r="AQ661" t="inlineStr">
        <is>
          <t>Yes</t>
        </is>
      </c>
      <c r="AR661">
        <f>HYPERLINK("http://catalog.hathitrust.org/Record/000803897","HathiTrust Record")</f>
        <v/>
      </c>
      <c r="AS661">
        <f>HYPERLINK("https://creighton-primo.hosted.exlibrisgroup.com/primo-explore/search?tab=default_tab&amp;search_scope=EVERYTHING&amp;vid=01CRU&amp;lang=en_US&amp;offset=0&amp;query=any,contains,991002983959702656","Catalog Record")</f>
        <v/>
      </c>
      <c r="AT661">
        <f>HYPERLINK("http://www.worldcat.org/oclc/556377","WorldCat Record")</f>
        <v/>
      </c>
      <c r="AU661" t="inlineStr">
        <is>
          <t>9593628491:eng</t>
        </is>
      </c>
      <c r="AV661" t="inlineStr">
        <is>
          <t>556377</t>
        </is>
      </c>
      <c r="AW661" t="inlineStr">
        <is>
          <t>991002983959702656</t>
        </is>
      </c>
      <c r="AX661" t="inlineStr">
        <is>
          <t>991002983959702656</t>
        </is>
      </c>
      <c r="AY661" t="inlineStr">
        <is>
          <t>2259900550002656</t>
        </is>
      </c>
      <c r="AZ661" t="inlineStr">
        <is>
          <t>BOOK</t>
        </is>
      </c>
      <c r="BC661" t="inlineStr">
        <is>
          <t>32285001068807</t>
        </is>
      </c>
      <c r="BD661" t="inlineStr">
        <is>
          <t>893233690</t>
        </is>
      </c>
    </row>
    <row r="662">
      <c r="A662" t="inlineStr">
        <is>
          <t>No</t>
        </is>
      </c>
      <c r="B662" t="inlineStr">
        <is>
          <t>QL639 .L3 1956</t>
        </is>
      </c>
      <c r="C662" t="inlineStr">
        <is>
          <t>0                      QL 0639000L  3           1956</t>
        </is>
      </c>
      <c r="D662" t="inlineStr">
        <is>
          <t>Freshwater fishery biology, by Karl F. Lagler.</t>
        </is>
      </c>
      <c r="F662" t="inlineStr">
        <is>
          <t>No</t>
        </is>
      </c>
      <c r="G662" t="inlineStr">
        <is>
          <t>1</t>
        </is>
      </c>
      <c r="H662" t="inlineStr">
        <is>
          <t>No</t>
        </is>
      </c>
      <c r="I662" t="inlineStr">
        <is>
          <t>No</t>
        </is>
      </c>
      <c r="J662" t="inlineStr">
        <is>
          <t>0</t>
        </is>
      </c>
      <c r="K662" t="inlineStr">
        <is>
          <t>Lagler, Karl F. (Karl Frank), 1912-1985.</t>
        </is>
      </c>
      <c r="L662" t="inlineStr">
        <is>
          <t>Dubuque, Iowa, W.C. Brown Co. [1956]</t>
        </is>
      </c>
      <c r="M662" t="inlineStr">
        <is>
          <t>1956</t>
        </is>
      </c>
      <c r="N662" t="inlineStr">
        <is>
          <t>2d ed.</t>
        </is>
      </c>
      <c r="O662" t="inlineStr">
        <is>
          <t>eng</t>
        </is>
      </c>
      <c r="P662" t="inlineStr">
        <is>
          <t xml:space="preserve">xx </t>
        </is>
      </c>
      <c r="R662" t="inlineStr">
        <is>
          <t xml:space="preserve">QL </t>
        </is>
      </c>
      <c r="S662" t="n">
        <v>3</v>
      </c>
      <c r="T662" t="n">
        <v>3</v>
      </c>
      <c r="U662" t="inlineStr">
        <is>
          <t>2001-02-22</t>
        </is>
      </c>
      <c r="V662" t="inlineStr">
        <is>
          <t>2001-02-22</t>
        </is>
      </c>
      <c r="W662" t="inlineStr">
        <is>
          <t>1997-07-25</t>
        </is>
      </c>
      <c r="X662" t="inlineStr">
        <is>
          <t>1997-07-25</t>
        </is>
      </c>
      <c r="Y662" t="n">
        <v>477</v>
      </c>
      <c r="Z662" t="n">
        <v>415</v>
      </c>
      <c r="AA662" t="n">
        <v>496</v>
      </c>
      <c r="AB662" t="n">
        <v>6</v>
      </c>
      <c r="AC662" t="n">
        <v>6</v>
      </c>
      <c r="AD662" t="n">
        <v>19</v>
      </c>
      <c r="AE662" t="n">
        <v>20</v>
      </c>
      <c r="AF662" t="n">
        <v>10</v>
      </c>
      <c r="AG662" t="n">
        <v>10</v>
      </c>
      <c r="AH662" t="n">
        <v>3</v>
      </c>
      <c r="AI662" t="n">
        <v>3</v>
      </c>
      <c r="AJ662" t="n">
        <v>5</v>
      </c>
      <c r="AK662" t="n">
        <v>6</v>
      </c>
      <c r="AL662" t="n">
        <v>5</v>
      </c>
      <c r="AM662" t="n">
        <v>5</v>
      </c>
      <c r="AN662" t="n">
        <v>0</v>
      </c>
      <c r="AO662" t="n">
        <v>0</v>
      </c>
      <c r="AP662" t="inlineStr">
        <is>
          <t>No</t>
        </is>
      </c>
      <c r="AQ662" t="inlineStr">
        <is>
          <t>Yes</t>
        </is>
      </c>
      <c r="AR662">
        <f>HYPERLINK("http://catalog.hathitrust.org/Record/001693937","HathiTrust Record")</f>
        <v/>
      </c>
      <c r="AS662">
        <f>HYPERLINK("https://creighton-primo.hosted.exlibrisgroup.com/primo-explore/search?tab=default_tab&amp;search_scope=EVERYTHING&amp;vid=01CRU&amp;lang=en_US&amp;offset=0&amp;query=any,contains,991003477609702656","Catalog Record")</f>
        <v/>
      </c>
      <c r="AT662">
        <f>HYPERLINK("http://www.worldcat.org/oclc/1023016","WorldCat Record")</f>
        <v/>
      </c>
      <c r="AU662" t="inlineStr">
        <is>
          <t>195239354:eng</t>
        </is>
      </c>
      <c r="AV662" t="inlineStr">
        <is>
          <t>1023016</t>
        </is>
      </c>
      <c r="AW662" t="inlineStr">
        <is>
          <t>991003477609702656</t>
        </is>
      </c>
      <c r="AX662" t="inlineStr">
        <is>
          <t>991003477609702656</t>
        </is>
      </c>
      <c r="AY662" t="inlineStr">
        <is>
          <t>2272069660002656</t>
        </is>
      </c>
      <c r="AZ662" t="inlineStr">
        <is>
          <t>BOOK</t>
        </is>
      </c>
      <c r="BC662" t="inlineStr">
        <is>
          <t>32285002981677</t>
        </is>
      </c>
      <c r="BD662" t="inlineStr">
        <is>
          <t>893240234</t>
        </is>
      </c>
    </row>
    <row r="663">
      <c r="A663" t="inlineStr">
        <is>
          <t>No</t>
        </is>
      </c>
      <c r="B663" t="inlineStr">
        <is>
          <t>QL639.1 .B47 1991, v.5</t>
        </is>
      </c>
      <c r="C663" t="inlineStr">
        <is>
          <t>0                      QL 0639100B  47          1991                                        v.5</t>
        </is>
      </c>
      <c r="D663" t="inlineStr">
        <is>
          <t>Environmental and ecological biochemistry / edited by P.W. Hochachka and T.P. Mommsen.</t>
        </is>
      </c>
      <c r="E663" t="inlineStr">
        <is>
          <t>V. 5</t>
        </is>
      </c>
      <c r="F663" t="inlineStr">
        <is>
          <t>No</t>
        </is>
      </c>
      <c r="G663" t="inlineStr">
        <is>
          <t>1</t>
        </is>
      </c>
      <c r="H663" t="inlineStr">
        <is>
          <t>No</t>
        </is>
      </c>
      <c r="I663" t="inlineStr">
        <is>
          <t>No</t>
        </is>
      </c>
      <c r="J663" t="inlineStr">
        <is>
          <t>0</t>
        </is>
      </c>
      <c r="L663" t="inlineStr">
        <is>
          <t>Amsterdam ; New York : Elsevier, c1995.</t>
        </is>
      </c>
      <c r="M663" t="inlineStr">
        <is>
          <t>1995</t>
        </is>
      </c>
      <c r="O663" t="inlineStr">
        <is>
          <t>eng</t>
        </is>
      </c>
      <c r="P663" t="inlineStr">
        <is>
          <t xml:space="preserve">ne </t>
        </is>
      </c>
      <c r="Q663" t="inlineStr">
        <is>
          <t>Biochemistry and molecular biology of fishes ; 5</t>
        </is>
      </c>
      <c r="R663" t="inlineStr">
        <is>
          <t xml:space="preserve">QL </t>
        </is>
      </c>
      <c r="S663" t="n">
        <v>4</v>
      </c>
      <c r="T663" t="n">
        <v>4</v>
      </c>
      <c r="U663" t="inlineStr">
        <is>
          <t>2000-09-28</t>
        </is>
      </c>
      <c r="V663" t="inlineStr">
        <is>
          <t>2000-09-28</t>
        </is>
      </c>
      <c r="W663" t="inlineStr">
        <is>
          <t>1996-06-26</t>
        </is>
      </c>
      <c r="X663" t="inlineStr">
        <is>
          <t>1996-06-26</t>
        </is>
      </c>
      <c r="Y663" t="n">
        <v>116</v>
      </c>
      <c r="Z663" t="n">
        <v>68</v>
      </c>
      <c r="AA663" t="n">
        <v>111</v>
      </c>
      <c r="AB663" t="n">
        <v>1</v>
      </c>
      <c r="AC663" t="n">
        <v>1</v>
      </c>
      <c r="AD663" t="n">
        <v>1</v>
      </c>
      <c r="AE663" t="n">
        <v>3</v>
      </c>
      <c r="AF663" t="n">
        <v>0</v>
      </c>
      <c r="AG663" t="n">
        <v>1</v>
      </c>
      <c r="AH663" t="n">
        <v>1</v>
      </c>
      <c r="AI663" t="n">
        <v>2</v>
      </c>
      <c r="AJ663" t="n">
        <v>0</v>
      </c>
      <c r="AK663" t="n">
        <v>0</v>
      </c>
      <c r="AL663" t="n">
        <v>0</v>
      </c>
      <c r="AM663" t="n">
        <v>0</v>
      </c>
      <c r="AN663" t="n">
        <v>0</v>
      </c>
      <c r="AO663" t="n">
        <v>0</v>
      </c>
      <c r="AP663" t="inlineStr">
        <is>
          <t>No</t>
        </is>
      </c>
      <c r="AQ663" t="inlineStr">
        <is>
          <t>Yes</t>
        </is>
      </c>
      <c r="AR663">
        <f>HYPERLINK("http://catalog.hathitrust.org/Record/003031291","HathiTrust Record")</f>
        <v/>
      </c>
      <c r="AS663">
        <f>HYPERLINK("https://creighton-primo.hosted.exlibrisgroup.com/primo-explore/search?tab=default_tab&amp;search_scope=EVERYTHING&amp;vid=01CRU&amp;lang=en_US&amp;offset=0&amp;query=any,contains,991002569089702656","Catalog Record")</f>
        <v/>
      </c>
      <c r="AT663">
        <f>HYPERLINK("http://www.worldcat.org/oclc/33401132","WorldCat Record")</f>
        <v/>
      </c>
      <c r="AU663" t="inlineStr">
        <is>
          <t>353686759:eng</t>
        </is>
      </c>
      <c r="AV663" t="inlineStr">
        <is>
          <t>33401132</t>
        </is>
      </c>
      <c r="AW663" t="inlineStr">
        <is>
          <t>991002569089702656</t>
        </is>
      </c>
      <c r="AX663" t="inlineStr">
        <is>
          <t>991002569089702656</t>
        </is>
      </c>
      <c r="AY663" t="inlineStr">
        <is>
          <t>2271446820002656</t>
        </is>
      </c>
      <c r="AZ663" t="inlineStr">
        <is>
          <t>BOOK</t>
        </is>
      </c>
      <c r="BB663" t="inlineStr">
        <is>
          <t>9780444821775</t>
        </is>
      </c>
      <c r="BC663" t="inlineStr">
        <is>
          <t>32285002173689</t>
        </is>
      </c>
      <c r="BD663" t="inlineStr">
        <is>
          <t>893434033</t>
        </is>
      </c>
    </row>
    <row r="664">
      <c r="A664" t="inlineStr">
        <is>
          <t>No</t>
        </is>
      </c>
      <c r="B664" t="inlineStr">
        <is>
          <t>QL639.1 .C48</t>
        </is>
      </c>
      <c r="C664" t="inlineStr">
        <is>
          <t>0                      QL 0639100C  48</t>
        </is>
      </c>
      <c r="D664" t="inlineStr">
        <is>
          <t>Chemoreception in fishes / edited by Toshiaki J. Hara.</t>
        </is>
      </c>
      <c r="F664" t="inlineStr">
        <is>
          <t>No</t>
        </is>
      </c>
      <c r="G664" t="inlineStr">
        <is>
          <t>1</t>
        </is>
      </c>
      <c r="H664" t="inlineStr">
        <is>
          <t>No</t>
        </is>
      </c>
      <c r="I664" t="inlineStr">
        <is>
          <t>No</t>
        </is>
      </c>
      <c r="J664" t="inlineStr">
        <is>
          <t>0</t>
        </is>
      </c>
      <c r="L664" t="inlineStr">
        <is>
          <t>Amsterdam ; New York : Elsevier Scientific Pub. Co., 1982.</t>
        </is>
      </c>
      <c r="M664" t="inlineStr">
        <is>
          <t>1982</t>
        </is>
      </c>
      <c r="O664" t="inlineStr">
        <is>
          <t>eng</t>
        </is>
      </c>
      <c r="P664" t="inlineStr">
        <is>
          <t xml:space="preserve">ne </t>
        </is>
      </c>
      <c r="Q664" t="inlineStr">
        <is>
          <t>Developments in aquaculture and fisheries science ; 8</t>
        </is>
      </c>
      <c r="R664" t="inlineStr">
        <is>
          <t xml:space="preserve">QL </t>
        </is>
      </c>
      <c r="S664" t="n">
        <v>7</v>
      </c>
      <c r="T664" t="n">
        <v>7</v>
      </c>
      <c r="U664" t="inlineStr">
        <is>
          <t>2002-12-02</t>
        </is>
      </c>
      <c r="V664" t="inlineStr">
        <is>
          <t>2002-12-02</t>
        </is>
      </c>
      <c r="W664" t="inlineStr">
        <is>
          <t>1993-02-12</t>
        </is>
      </c>
      <c r="X664" t="inlineStr">
        <is>
          <t>1993-02-12</t>
        </is>
      </c>
      <c r="Y664" t="n">
        <v>234</v>
      </c>
      <c r="Z664" t="n">
        <v>143</v>
      </c>
      <c r="AA664" t="n">
        <v>150</v>
      </c>
      <c r="AB664" t="n">
        <v>2</v>
      </c>
      <c r="AC664" t="n">
        <v>2</v>
      </c>
      <c r="AD664" t="n">
        <v>3</v>
      </c>
      <c r="AE664" t="n">
        <v>3</v>
      </c>
      <c r="AF664" t="n">
        <v>1</v>
      </c>
      <c r="AG664" t="n">
        <v>1</v>
      </c>
      <c r="AH664" t="n">
        <v>1</v>
      </c>
      <c r="AI664" t="n">
        <v>1</v>
      </c>
      <c r="AJ664" t="n">
        <v>0</v>
      </c>
      <c r="AK664" t="n">
        <v>0</v>
      </c>
      <c r="AL664" t="n">
        <v>1</v>
      </c>
      <c r="AM664" t="n">
        <v>1</v>
      </c>
      <c r="AN664" t="n">
        <v>0</v>
      </c>
      <c r="AO664" t="n">
        <v>0</v>
      </c>
      <c r="AP664" t="inlineStr">
        <is>
          <t>No</t>
        </is>
      </c>
      <c r="AQ664" t="inlineStr">
        <is>
          <t>Yes</t>
        </is>
      </c>
      <c r="AR664">
        <f>HYPERLINK("http://catalog.hathitrust.org/Record/000264025","HathiTrust Record")</f>
        <v/>
      </c>
      <c r="AS664">
        <f>HYPERLINK("https://creighton-primo.hosted.exlibrisgroup.com/primo-explore/search?tab=default_tab&amp;search_scope=EVERYTHING&amp;vid=01CRU&amp;lang=en_US&amp;offset=0&amp;query=any,contains,991005177379702656","Catalog Record")</f>
        <v/>
      </c>
      <c r="AT664">
        <f>HYPERLINK("http://www.worldcat.org/oclc/7924755","WorldCat Record")</f>
        <v/>
      </c>
      <c r="AU664" t="inlineStr">
        <is>
          <t>482958:eng</t>
        </is>
      </c>
      <c r="AV664" t="inlineStr">
        <is>
          <t>7924755</t>
        </is>
      </c>
      <c r="AW664" t="inlineStr">
        <is>
          <t>991005177379702656</t>
        </is>
      </c>
      <c r="AX664" t="inlineStr">
        <is>
          <t>991005177379702656</t>
        </is>
      </c>
      <c r="AY664" t="inlineStr">
        <is>
          <t>2270738140002656</t>
        </is>
      </c>
      <c r="AZ664" t="inlineStr">
        <is>
          <t>BOOK</t>
        </is>
      </c>
      <c r="BB664" t="inlineStr">
        <is>
          <t>9780444420404</t>
        </is>
      </c>
      <c r="BC664" t="inlineStr">
        <is>
          <t>32285001532695</t>
        </is>
      </c>
      <c r="BD664" t="inlineStr">
        <is>
          <t>893536441</t>
        </is>
      </c>
    </row>
    <row r="665">
      <c r="A665" t="inlineStr">
        <is>
          <t>No</t>
        </is>
      </c>
      <c r="B665" t="inlineStr">
        <is>
          <t>QL639.1 .F552 1992</t>
        </is>
      </c>
      <c r="C665" t="inlineStr">
        <is>
          <t>0                      QL 0639100F  552         1992</t>
        </is>
      </c>
      <c r="D665" t="inlineStr">
        <is>
          <t>Fish chemoreception / edited by Toshiaki J. Hara.</t>
        </is>
      </c>
      <c r="F665" t="inlineStr">
        <is>
          <t>No</t>
        </is>
      </c>
      <c r="G665" t="inlineStr">
        <is>
          <t>1</t>
        </is>
      </c>
      <c r="H665" t="inlineStr">
        <is>
          <t>No</t>
        </is>
      </c>
      <c r="I665" t="inlineStr">
        <is>
          <t>No</t>
        </is>
      </c>
      <c r="J665" t="inlineStr">
        <is>
          <t>0</t>
        </is>
      </c>
      <c r="L665" t="inlineStr">
        <is>
          <t>London ; New York : Chapman &amp; Hall, 1992.</t>
        </is>
      </c>
      <c r="M665" t="inlineStr">
        <is>
          <t>1992</t>
        </is>
      </c>
      <c r="N665" t="inlineStr">
        <is>
          <t>1st ed.</t>
        </is>
      </c>
      <c r="O665" t="inlineStr">
        <is>
          <t>eng</t>
        </is>
      </c>
      <c r="P665" t="inlineStr">
        <is>
          <t>enk</t>
        </is>
      </c>
      <c r="Q665" t="inlineStr">
        <is>
          <t>Fish and fisheries series ; 6</t>
        </is>
      </c>
      <c r="R665" t="inlineStr">
        <is>
          <t xml:space="preserve">QL </t>
        </is>
      </c>
      <c r="S665" t="n">
        <v>13</v>
      </c>
      <c r="T665" t="n">
        <v>13</v>
      </c>
      <c r="U665" t="inlineStr">
        <is>
          <t>2007-02-22</t>
        </is>
      </c>
      <c r="V665" t="inlineStr">
        <is>
          <t>2007-02-22</t>
        </is>
      </c>
      <c r="W665" t="inlineStr">
        <is>
          <t>1996-08-09</t>
        </is>
      </c>
      <c r="X665" t="inlineStr">
        <is>
          <t>1996-08-09</t>
        </is>
      </c>
      <c r="Y665" t="n">
        <v>185</v>
      </c>
      <c r="Z665" t="n">
        <v>107</v>
      </c>
      <c r="AA665" t="n">
        <v>108</v>
      </c>
      <c r="AB665" t="n">
        <v>1</v>
      </c>
      <c r="AC665" t="n">
        <v>1</v>
      </c>
      <c r="AD665" t="n">
        <v>5</v>
      </c>
      <c r="AE665" t="n">
        <v>5</v>
      </c>
      <c r="AF665" t="n">
        <v>2</v>
      </c>
      <c r="AG665" t="n">
        <v>2</v>
      </c>
      <c r="AH665" t="n">
        <v>1</v>
      </c>
      <c r="AI665" t="n">
        <v>1</v>
      </c>
      <c r="AJ665" t="n">
        <v>2</v>
      </c>
      <c r="AK665" t="n">
        <v>2</v>
      </c>
      <c r="AL665" t="n">
        <v>0</v>
      </c>
      <c r="AM665" t="n">
        <v>0</v>
      </c>
      <c r="AN665" t="n">
        <v>0</v>
      </c>
      <c r="AO665" t="n">
        <v>0</v>
      </c>
      <c r="AP665" t="inlineStr">
        <is>
          <t>No</t>
        </is>
      </c>
      <c r="AQ665" t="inlineStr">
        <is>
          <t>Yes</t>
        </is>
      </c>
      <c r="AR665">
        <f>HYPERLINK("http://catalog.hathitrust.org/Record/002588627","HathiTrust Record")</f>
        <v/>
      </c>
      <c r="AS665">
        <f>HYPERLINK("https://creighton-primo.hosted.exlibrisgroup.com/primo-explore/search?tab=default_tab&amp;search_scope=EVERYTHING&amp;vid=01CRU&amp;lang=en_US&amp;offset=0&amp;query=any,contains,991002027069702656","Catalog Record")</f>
        <v/>
      </c>
      <c r="AT665">
        <f>HYPERLINK("http://www.worldcat.org/oclc/25788402","WorldCat Record")</f>
        <v/>
      </c>
      <c r="AU665" t="inlineStr">
        <is>
          <t>28900438:eng</t>
        </is>
      </c>
      <c r="AV665" t="inlineStr">
        <is>
          <t>25788402</t>
        </is>
      </c>
      <c r="AW665" t="inlineStr">
        <is>
          <t>991002027069702656</t>
        </is>
      </c>
      <c r="AX665" t="inlineStr">
        <is>
          <t>991002027069702656</t>
        </is>
      </c>
      <c r="AY665" t="inlineStr">
        <is>
          <t>2255180260002656</t>
        </is>
      </c>
      <c r="AZ665" t="inlineStr">
        <is>
          <t>BOOK</t>
        </is>
      </c>
      <c r="BB665" t="inlineStr">
        <is>
          <t>9780412351402</t>
        </is>
      </c>
      <c r="BC665" t="inlineStr">
        <is>
          <t>32285002273406</t>
        </is>
      </c>
      <c r="BD665" t="inlineStr">
        <is>
          <t>893328603</t>
        </is>
      </c>
    </row>
    <row r="666">
      <c r="A666" t="inlineStr">
        <is>
          <t>No</t>
        </is>
      </c>
      <c r="B666" t="inlineStr">
        <is>
          <t>QL639.1 .F554 1985</t>
        </is>
      </c>
      <c r="C666" t="inlineStr">
        <is>
          <t>0                      QL 0639100F  554         1985</t>
        </is>
      </c>
      <c r="D666" t="inlineStr">
        <is>
          <t>Fish energetics : new perspectives / edited by Peter Tytler &amp; Peter Calow.</t>
        </is>
      </c>
      <c r="F666" t="inlineStr">
        <is>
          <t>No</t>
        </is>
      </c>
      <c r="G666" t="inlineStr">
        <is>
          <t>1</t>
        </is>
      </c>
      <c r="H666" t="inlineStr">
        <is>
          <t>No</t>
        </is>
      </c>
      <c r="I666" t="inlineStr">
        <is>
          <t>No</t>
        </is>
      </c>
      <c r="J666" t="inlineStr">
        <is>
          <t>0</t>
        </is>
      </c>
      <c r="L666" t="inlineStr">
        <is>
          <t>Baltimore, Md. : Johns Hopkins University Press, 1985.</t>
        </is>
      </c>
      <c r="M666" t="inlineStr">
        <is>
          <t>1985</t>
        </is>
      </c>
      <c r="O666" t="inlineStr">
        <is>
          <t>eng</t>
        </is>
      </c>
      <c r="P666" t="inlineStr">
        <is>
          <t>mdu</t>
        </is>
      </c>
      <c r="R666" t="inlineStr">
        <is>
          <t xml:space="preserve">QL </t>
        </is>
      </c>
      <c r="S666" t="n">
        <v>3</v>
      </c>
      <c r="T666" t="n">
        <v>3</v>
      </c>
      <c r="U666" t="inlineStr">
        <is>
          <t>2001-07-25</t>
        </is>
      </c>
      <c r="V666" t="inlineStr">
        <is>
          <t>2001-07-25</t>
        </is>
      </c>
      <c r="W666" t="inlineStr">
        <is>
          <t>1993-01-07</t>
        </is>
      </c>
      <c r="X666" t="inlineStr">
        <is>
          <t>1993-01-07</t>
        </is>
      </c>
      <c r="Y666" t="n">
        <v>248</v>
      </c>
      <c r="Z666" t="n">
        <v>199</v>
      </c>
      <c r="AA666" t="n">
        <v>233</v>
      </c>
      <c r="AB666" t="n">
        <v>2</v>
      </c>
      <c r="AC666" t="n">
        <v>3</v>
      </c>
      <c r="AD666" t="n">
        <v>4</v>
      </c>
      <c r="AE666" t="n">
        <v>6</v>
      </c>
      <c r="AF666" t="n">
        <v>1</v>
      </c>
      <c r="AG666" t="n">
        <v>2</v>
      </c>
      <c r="AH666" t="n">
        <v>1</v>
      </c>
      <c r="AI666" t="n">
        <v>1</v>
      </c>
      <c r="AJ666" t="n">
        <v>2</v>
      </c>
      <c r="AK666" t="n">
        <v>3</v>
      </c>
      <c r="AL666" t="n">
        <v>1</v>
      </c>
      <c r="AM666" t="n">
        <v>2</v>
      </c>
      <c r="AN666" t="n">
        <v>0</v>
      </c>
      <c r="AO666" t="n">
        <v>0</v>
      </c>
      <c r="AP666" t="inlineStr">
        <is>
          <t>No</t>
        </is>
      </c>
      <c r="AQ666" t="inlineStr">
        <is>
          <t>Yes</t>
        </is>
      </c>
      <c r="AR666">
        <f>HYPERLINK("http://catalog.hathitrust.org/Record/008337350","HathiTrust Record")</f>
        <v/>
      </c>
      <c r="AS666">
        <f>HYPERLINK("https://creighton-primo.hosted.exlibrisgroup.com/primo-explore/search?tab=default_tab&amp;search_scope=EVERYTHING&amp;vid=01CRU&amp;lang=en_US&amp;offset=0&amp;query=any,contains,991000573629702656","Catalog Record")</f>
        <v/>
      </c>
      <c r="AT666">
        <f>HYPERLINK("http://www.worldcat.org/oclc/11676037","WorldCat Record")</f>
        <v/>
      </c>
      <c r="AU666" t="inlineStr">
        <is>
          <t>796043780:eng</t>
        </is>
      </c>
      <c r="AV666" t="inlineStr">
        <is>
          <t>11676037</t>
        </is>
      </c>
      <c r="AW666" t="inlineStr">
        <is>
          <t>991000573629702656</t>
        </is>
      </c>
      <c r="AX666" t="inlineStr">
        <is>
          <t>991000573629702656</t>
        </is>
      </c>
      <c r="AY666" t="inlineStr">
        <is>
          <t>2256830090002656</t>
        </is>
      </c>
      <c r="AZ666" t="inlineStr">
        <is>
          <t>BOOK</t>
        </is>
      </c>
      <c r="BB666" t="inlineStr">
        <is>
          <t>9780801827921</t>
        </is>
      </c>
      <c r="BC666" t="inlineStr">
        <is>
          <t>32285001473973</t>
        </is>
      </c>
      <c r="BD666" t="inlineStr">
        <is>
          <t>893884538</t>
        </is>
      </c>
    </row>
    <row r="667">
      <c r="A667" t="inlineStr">
        <is>
          <t>No</t>
        </is>
      </c>
      <c r="B667" t="inlineStr">
        <is>
          <t>QL639.1 .G47 1994</t>
        </is>
      </c>
      <c r="C667" t="inlineStr">
        <is>
          <t>0                      QL 0639100G  47          1994</t>
        </is>
      </c>
      <c r="D667" t="inlineStr">
        <is>
          <t>Feeding ecology of fish / Shelby D. Gerking.</t>
        </is>
      </c>
      <c r="F667" t="inlineStr">
        <is>
          <t>No</t>
        </is>
      </c>
      <c r="G667" t="inlineStr">
        <is>
          <t>1</t>
        </is>
      </c>
      <c r="H667" t="inlineStr">
        <is>
          <t>No</t>
        </is>
      </c>
      <c r="I667" t="inlineStr">
        <is>
          <t>No</t>
        </is>
      </c>
      <c r="J667" t="inlineStr">
        <is>
          <t>0</t>
        </is>
      </c>
      <c r="K667" t="inlineStr">
        <is>
          <t>Gerking, Shelby Delos, 1918-</t>
        </is>
      </c>
      <c r="L667" t="inlineStr">
        <is>
          <t>San Diego : Academic Press, c1994.</t>
        </is>
      </c>
      <c r="M667" t="inlineStr">
        <is>
          <t>1994</t>
        </is>
      </c>
      <c r="O667" t="inlineStr">
        <is>
          <t>eng</t>
        </is>
      </c>
      <c r="P667" t="inlineStr">
        <is>
          <t>cau</t>
        </is>
      </c>
      <c r="R667" t="inlineStr">
        <is>
          <t xml:space="preserve">QL </t>
        </is>
      </c>
      <c r="S667" t="n">
        <v>11</v>
      </c>
      <c r="T667" t="n">
        <v>11</v>
      </c>
      <c r="U667" t="inlineStr">
        <is>
          <t>2003-02-23</t>
        </is>
      </c>
      <c r="V667" t="inlineStr">
        <is>
          <t>2003-02-23</t>
        </is>
      </c>
      <c r="W667" t="inlineStr">
        <is>
          <t>1996-12-30</t>
        </is>
      </c>
      <c r="X667" t="inlineStr">
        <is>
          <t>1996-12-30</t>
        </is>
      </c>
      <c r="Y667" t="n">
        <v>409</v>
      </c>
      <c r="Z667" t="n">
        <v>303</v>
      </c>
      <c r="AA667" t="n">
        <v>337</v>
      </c>
      <c r="AB667" t="n">
        <v>5</v>
      </c>
      <c r="AC667" t="n">
        <v>5</v>
      </c>
      <c r="AD667" t="n">
        <v>13</v>
      </c>
      <c r="AE667" t="n">
        <v>16</v>
      </c>
      <c r="AF667" t="n">
        <v>6</v>
      </c>
      <c r="AG667" t="n">
        <v>8</v>
      </c>
      <c r="AH667" t="n">
        <v>2</v>
      </c>
      <c r="AI667" t="n">
        <v>4</v>
      </c>
      <c r="AJ667" t="n">
        <v>5</v>
      </c>
      <c r="AK667" t="n">
        <v>5</v>
      </c>
      <c r="AL667" t="n">
        <v>4</v>
      </c>
      <c r="AM667" t="n">
        <v>4</v>
      </c>
      <c r="AN667" t="n">
        <v>0</v>
      </c>
      <c r="AO667" t="n">
        <v>0</v>
      </c>
      <c r="AP667" t="inlineStr">
        <is>
          <t>No</t>
        </is>
      </c>
      <c r="AQ667" t="inlineStr">
        <is>
          <t>Yes</t>
        </is>
      </c>
      <c r="AR667">
        <f>HYPERLINK("http://catalog.hathitrust.org/Record/002866917","HathiTrust Record")</f>
        <v/>
      </c>
      <c r="AS667">
        <f>HYPERLINK("https://creighton-primo.hosted.exlibrisgroup.com/primo-explore/search?tab=default_tab&amp;search_scope=EVERYTHING&amp;vid=01CRU&amp;lang=en_US&amp;offset=0&amp;query=any,contains,991002266509702656","Catalog Record")</f>
        <v/>
      </c>
      <c r="AT667">
        <f>HYPERLINK("http://www.worldcat.org/oclc/29390160","WorldCat Record")</f>
        <v/>
      </c>
      <c r="AU667" t="inlineStr">
        <is>
          <t>144048374:eng</t>
        </is>
      </c>
      <c r="AV667" t="inlineStr">
        <is>
          <t>29390160</t>
        </is>
      </c>
      <c r="AW667" t="inlineStr">
        <is>
          <t>991002266509702656</t>
        </is>
      </c>
      <c r="AX667" t="inlineStr">
        <is>
          <t>991002266509702656</t>
        </is>
      </c>
      <c r="AY667" t="inlineStr">
        <is>
          <t>2262613840002656</t>
        </is>
      </c>
      <c r="AZ667" t="inlineStr">
        <is>
          <t>BOOK</t>
        </is>
      </c>
      <c r="BB667" t="inlineStr">
        <is>
          <t>9780122807800</t>
        </is>
      </c>
      <c r="BC667" t="inlineStr">
        <is>
          <t>32285002404019</t>
        </is>
      </c>
      <c r="BD667" t="inlineStr">
        <is>
          <t>893523400</t>
        </is>
      </c>
    </row>
    <row r="668">
      <c r="A668" t="inlineStr">
        <is>
          <t>No</t>
        </is>
      </c>
      <c r="B668" t="inlineStr">
        <is>
          <t>QL639.1 .H4</t>
        </is>
      </c>
      <c r="C668" t="inlineStr">
        <is>
          <t>0                      QL 0639100H  4</t>
        </is>
      </c>
      <c r="D668" t="inlineStr">
        <is>
          <t>Hearing and sound communication in fishes / edited by William N. Tavolga, Arthur N. Popper, Richard R. Fay.</t>
        </is>
      </c>
      <c r="F668" t="inlineStr">
        <is>
          <t>No</t>
        </is>
      </c>
      <c r="G668" t="inlineStr">
        <is>
          <t>1</t>
        </is>
      </c>
      <c r="H668" t="inlineStr">
        <is>
          <t>No</t>
        </is>
      </c>
      <c r="I668" t="inlineStr">
        <is>
          <t>No</t>
        </is>
      </c>
      <c r="J668" t="inlineStr">
        <is>
          <t>0</t>
        </is>
      </c>
      <c r="L668" t="inlineStr">
        <is>
          <t>New York : Springer-Verlag, c1981.</t>
        </is>
      </c>
      <c r="M668" t="inlineStr">
        <is>
          <t>1981</t>
        </is>
      </c>
      <c r="O668" t="inlineStr">
        <is>
          <t>eng</t>
        </is>
      </c>
      <c r="P668" t="inlineStr">
        <is>
          <t>nyu</t>
        </is>
      </c>
      <c r="Q668" t="inlineStr">
        <is>
          <t>Proceedings in life sciences</t>
        </is>
      </c>
      <c r="R668" t="inlineStr">
        <is>
          <t xml:space="preserve">QL </t>
        </is>
      </c>
      <c r="S668" t="n">
        <v>6</v>
      </c>
      <c r="T668" t="n">
        <v>6</v>
      </c>
      <c r="U668" t="inlineStr">
        <is>
          <t>2001-07-25</t>
        </is>
      </c>
      <c r="V668" t="inlineStr">
        <is>
          <t>2001-07-25</t>
        </is>
      </c>
      <c r="W668" t="inlineStr">
        <is>
          <t>1990-02-22</t>
        </is>
      </c>
      <c r="X668" t="inlineStr">
        <is>
          <t>1990-02-22</t>
        </is>
      </c>
      <c r="Y668" t="n">
        <v>313</v>
      </c>
      <c r="Z668" t="n">
        <v>232</v>
      </c>
      <c r="AA668" t="n">
        <v>257</v>
      </c>
      <c r="AB668" t="n">
        <v>3</v>
      </c>
      <c r="AC668" t="n">
        <v>3</v>
      </c>
      <c r="AD668" t="n">
        <v>6</v>
      </c>
      <c r="AE668" t="n">
        <v>7</v>
      </c>
      <c r="AF668" t="n">
        <v>2</v>
      </c>
      <c r="AG668" t="n">
        <v>3</v>
      </c>
      <c r="AH668" t="n">
        <v>1</v>
      </c>
      <c r="AI668" t="n">
        <v>1</v>
      </c>
      <c r="AJ668" t="n">
        <v>3</v>
      </c>
      <c r="AK668" t="n">
        <v>4</v>
      </c>
      <c r="AL668" t="n">
        <v>2</v>
      </c>
      <c r="AM668" t="n">
        <v>2</v>
      </c>
      <c r="AN668" t="n">
        <v>0</v>
      </c>
      <c r="AO668" t="n">
        <v>0</v>
      </c>
      <c r="AP668" t="inlineStr">
        <is>
          <t>No</t>
        </is>
      </c>
      <c r="AQ668" t="inlineStr">
        <is>
          <t>Yes</t>
        </is>
      </c>
      <c r="AR668">
        <f>HYPERLINK("http://catalog.hathitrust.org/Record/000226001","HathiTrust Record")</f>
        <v/>
      </c>
      <c r="AS668">
        <f>HYPERLINK("https://creighton-primo.hosted.exlibrisgroup.com/primo-explore/search?tab=default_tab&amp;search_scope=EVERYTHING&amp;vid=01CRU&amp;lang=en_US&amp;offset=0&amp;query=any,contains,991005116479702656","Catalog Record")</f>
        <v/>
      </c>
      <c r="AT668">
        <f>HYPERLINK("http://www.worldcat.org/oclc/7462981","WorldCat Record")</f>
        <v/>
      </c>
      <c r="AU668" t="inlineStr">
        <is>
          <t>347076006:eng</t>
        </is>
      </c>
      <c r="AV668" t="inlineStr">
        <is>
          <t>7462981</t>
        </is>
      </c>
      <c r="AW668" t="inlineStr">
        <is>
          <t>991005116479702656</t>
        </is>
      </c>
      <c r="AX668" t="inlineStr">
        <is>
          <t>991005116479702656</t>
        </is>
      </c>
      <c r="AY668" t="inlineStr">
        <is>
          <t>2262886590002656</t>
        </is>
      </c>
      <c r="AZ668" t="inlineStr">
        <is>
          <t>BOOK</t>
        </is>
      </c>
      <c r="BC668" t="inlineStr">
        <is>
          <t>32285000050004</t>
        </is>
      </c>
      <c r="BD668" t="inlineStr">
        <is>
          <t>893594496</t>
        </is>
      </c>
    </row>
    <row r="669">
      <c r="A669" t="inlineStr">
        <is>
          <t>No</t>
        </is>
      </c>
      <c r="B669" t="inlineStr">
        <is>
          <t>QL639.1 .H6 v.1</t>
        </is>
      </c>
      <c r="C669" t="inlineStr">
        <is>
          <t>0                      QL 0639100H  6                                                       v.1</t>
        </is>
      </c>
      <c r="D669" t="inlineStr">
        <is>
          <t>Excretion, ionic regulation, and metabolism / edited by W.S. Hoar and D.J. Randall.</t>
        </is>
      </c>
      <c r="E669" t="inlineStr">
        <is>
          <t>V. 1</t>
        </is>
      </c>
      <c r="F669" t="inlineStr">
        <is>
          <t>No</t>
        </is>
      </c>
      <c r="G669" t="inlineStr">
        <is>
          <t>1</t>
        </is>
      </c>
      <c r="H669" t="inlineStr">
        <is>
          <t>No</t>
        </is>
      </c>
      <c r="I669" t="inlineStr">
        <is>
          <t>No</t>
        </is>
      </c>
      <c r="J669" t="inlineStr">
        <is>
          <t>0</t>
        </is>
      </c>
      <c r="L669" t="inlineStr">
        <is>
          <t>New York : Academic Press, 1969.</t>
        </is>
      </c>
      <c r="M669" t="inlineStr">
        <is>
          <t>1969</t>
        </is>
      </c>
      <c r="O669" t="inlineStr">
        <is>
          <t>eng</t>
        </is>
      </c>
      <c r="P669" t="inlineStr">
        <is>
          <t xml:space="preserve">gb </t>
        </is>
      </c>
      <c r="Q669" t="inlineStr">
        <is>
          <t>Fish physiology ; v. 1</t>
        </is>
      </c>
      <c r="R669" t="inlineStr">
        <is>
          <t xml:space="preserve">QL </t>
        </is>
      </c>
      <c r="S669" t="n">
        <v>1</v>
      </c>
      <c r="T669" t="n">
        <v>1</v>
      </c>
      <c r="U669" t="inlineStr">
        <is>
          <t>2005-01-22</t>
        </is>
      </c>
      <c r="V669" t="inlineStr">
        <is>
          <t>2005-01-22</t>
        </is>
      </c>
      <c r="W669" t="inlineStr">
        <is>
          <t>2000-06-15</t>
        </is>
      </c>
      <c r="X669" t="inlineStr">
        <is>
          <t>2000-06-15</t>
        </is>
      </c>
      <c r="Y669" t="n">
        <v>108</v>
      </c>
      <c r="Z669" t="n">
        <v>61</v>
      </c>
      <c r="AA669" t="n">
        <v>119</v>
      </c>
      <c r="AB669" t="n">
        <v>1</v>
      </c>
      <c r="AC669" t="n">
        <v>2</v>
      </c>
      <c r="AD669" t="n">
        <v>5</v>
      </c>
      <c r="AE669" t="n">
        <v>8</v>
      </c>
      <c r="AF669" t="n">
        <v>1</v>
      </c>
      <c r="AG669" t="n">
        <v>3</v>
      </c>
      <c r="AH669" t="n">
        <v>1</v>
      </c>
      <c r="AI669" t="n">
        <v>2</v>
      </c>
      <c r="AJ669" t="n">
        <v>4</v>
      </c>
      <c r="AK669" t="n">
        <v>4</v>
      </c>
      <c r="AL669" t="n">
        <v>0</v>
      </c>
      <c r="AM669" t="n">
        <v>1</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HYPERLINK("https://creighton-primo.hosted.exlibrisgroup.com/primo-explore/search?tab=default_tab&amp;search_scope=EVERYTHING&amp;vid=01CRU&amp;lang=en_US&amp;offset=0&amp;query=any,contains,991003185399702656","Catalog Record")</f>
        <v/>
      </c>
      <c r="AT669">
        <f>HYPERLINK("http://www.worldcat.org/oclc/24080560","WorldCat Record")</f>
        <v/>
      </c>
      <c r="AU669" t="inlineStr">
        <is>
          <t>766079944:eng</t>
        </is>
      </c>
      <c r="AV669" t="inlineStr">
        <is>
          <t>24080560</t>
        </is>
      </c>
      <c r="AW669" t="inlineStr">
        <is>
          <t>991003185399702656</t>
        </is>
      </c>
      <c r="AX669" t="inlineStr">
        <is>
          <t>991003185399702656</t>
        </is>
      </c>
      <c r="AY669" t="inlineStr">
        <is>
          <t>2270055430002656</t>
        </is>
      </c>
      <c r="AZ669" t="inlineStr">
        <is>
          <t>BOOK</t>
        </is>
      </c>
      <c r="BC669" t="inlineStr">
        <is>
          <t>32285001133817</t>
        </is>
      </c>
      <c r="BD669" t="inlineStr">
        <is>
          <t>893505286</t>
        </is>
      </c>
    </row>
    <row r="670">
      <c r="A670" t="inlineStr">
        <is>
          <t>No</t>
        </is>
      </c>
      <c r="B670" t="inlineStr">
        <is>
          <t>QL639.1 .H6 v.10</t>
        </is>
      </c>
      <c r="C670" t="inlineStr">
        <is>
          <t>0                      QL 0639100H  6                                                       v.10</t>
        </is>
      </c>
      <c r="D670" t="inlineStr">
        <is>
          <t>Gills / edited by W.S. Hoar, D.J. Randall.</t>
        </is>
      </c>
      <c r="E670" t="inlineStr">
        <is>
          <t>V. 10 PT. B</t>
        </is>
      </c>
      <c r="F670" t="inlineStr">
        <is>
          <t>Yes</t>
        </is>
      </c>
      <c r="G670" t="inlineStr">
        <is>
          <t>1</t>
        </is>
      </c>
      <c r="H670" t="inlineStr">
        <is>
          <t>No</t>
        </is>
      </c>
      <c r="I670" t="inlineStr">
        <is>
          <t>No</t>
        </is>
      </c>
      <c r="J670" t="inlineStr">
        <is>
          <t>0</t>
        </is>
      </c>
      <c r="L670" t="inlineStr">
        <is>
          <t>Orlando : Academic Press, 1984.</t>
        </is>
      </c>
      <c r="M670" t="inlineStr">
        <is>
          <t>1984</t>
        </is>
      </c>
      <c r="O670" t="inlineStr">
        <is>
          <t>eng</t>
        </is>
      </c>
      <c r="P670" t="inlineStr">
        <is>
          <t>flu</t>
        </is>
      </c>
      <c r="Q670" t="inlineStr">
        <is>
          <t>Fish physiology ; v. 10</t>
        </is>
      </c>
      <c r="R670" t="inlineStr">
        <is>
          <t xml:space="preserve">QL </t>
        </is>
      </c>
      <c r="S670" t="n">
        <v>1</v>
      </c>
      <c r="T670" t="n">
        <v>1</v>
      </c>
      <c r="U670" t="inlineStr">
        <is>
          <t>2008-03-24</t>
        </is>
      </c>
      <c r="V670" t="inlineStr">
        <is>
          <t>2008-03-24</t>
        </is>
      </c>
      <c r="W670" t="inlineStr">
        <is>
          <t>2001-05-03</t>
        </is>
      </c>
      <c r="X670" t="inlineStr">
        <is>
          <t>2001-05-03</t>
        </is>
      </c>
      <c r="Y670" t="n">
        <v>65</v>
      </c>
      <c r="Z670" t="n">
        <v>47</v>
      </c>
      <c r="AA670" t="n">
        <v>49</v>
      </c>
      <c r="AB670" t="n">
        <v>1</v>
      </c>
      <c r="AC670" t="n">
        <v>1</v>
      </c>
      <c r="AD670" t="n">
        <v>4</v>
      </c>
      <c r="AE670" t="n">
        <v>4</v>
      </c>
      <c r="AF670" t="n">
        <v>1</v>
      </c>
      <c r="AG670" t="n">
        <v>1</v>
      </c>
      <c r="AH670" t="n">
        <v>1</v>
      </c>
      <c r="AI670" t="n">
        <v>1</v>
      </c>
      <c r="AJ670" t="n">
        <v>3</v>
      </c>
      <c r="AK670" t="n">
        <v>3</v>
      </c>
      <c r="AL670" t="n">
        <v>0</v>
      </c>
      <c r="AM670" t="n">
        <v>0</v>
      </c>
      <c r="AN670" t="n">
        <v>0</v>
      </c>
      <c r="AO670" t="n">
        <v>0</v>
      </c>
      <c r="AP670" t="inlineStr">
        <is>
          <t>No</t>
        </is>
      </c>
      <c r="AQ670" t="inlineStr">
        <is>
          <t>No</t>
        </is>
      </c>
      <c r="AS670">
        <f>HYPERLINK("https://creighton-primo.hosted.exlibrisgroup.com/primo-explore/search?tab=default_tab&amp;search_scope=EVERYTHING&amp;vid=01CRU&amp;lang=en_US&amp;offset=0&amp;query=any,contains,991003531799702656","Catalog Record")</f>
        <v/>
      </c>
      <c r="AT670">
        <f>HYPERLINK("http://www.worldcat.org/oclc/38318138","WorldCat Record")</f>
        <v/>
      </c>
      <c r="AU670" t="inlineStr">
        <is>
          <t>3373585786:eng</t>
        </is>
      </c>
      <c r="AV670" t="inlineStr">
        <is>
          <t>38318138</t>
        </is>
      </c>
      <c r="AW670" t="inlineStr">
        <is>
          <t>991003531799702656</t>
        </is>
      </c>
      <c r="AX670" t="inlineStr">
        <is>
          <t>991003531799702656</t>
        </is>
      </c>
      <c r="AY670" t="inlineStr">
        <is>
          <t>2258901860002656</t>
        </is>
      </c>
      <c r="AZ670" t="inlineStr">
        <is>
          <t>BOOK</t>
        </is>
      </c>
      <c r="BB670" t="inlineStr">
        <is>
          <t>9780123504302</t>
        </is>
      </c>
      <c r="BC670" t="inlineStr">
        <is>
          <t>32285001133833</t>
        </is>
      </c>
      <c r="BD670" t="inlineStr">
        <is>
          <t>893324159</t>
        </is>
      </c>
    </row>
    <row r="671">
      <c r="A671" t="inlineStr">
        <is>
          <t>No</t>
        </is>
      </c>
      <c r="B671" t="inlineStr">
        <is>
          <t>QL639.1 .H6 v.10</t>
        </is>
      </c>
      <c r="C671" t="inlineStr">
        <is>
          <t>0                      QL 0639100H  6                                                       v.10</t>
        </is>
      </c>
      <c r="D671" t="inlineStr">
        <is>
          <t>Gills / edited by W.S. Hoar, D.J. Randall.</t>
        </is>
      </c>
      <c r="E671" t="inlineStr">
        <is>
          <t>V. 10 PT. A</t>
        </is>
      </c>
      <c r="F671" t="inlineStr">
        <is>
          <t>Yes</t>
        </is>
      </c>
      <c r="G671" t="inlineStr">
        <is>
          <t>1</t>
        </is>
      </c>
      <c r="H671" t="inlineStr">
        <is>
          <t>No</t>
        </is>
      </c>
      <c r="I671" t="inlineStr">
        <is>
          <t>No</t>
        </is>
      </c>
      <c r="J671" t="inlineStr">
        <is>
          <t>0</t>
        </is>
      </c>
      <c r="L671" t="inlineStr">
        <is>
          <t>Orlando : Academic Press, 1984.</t>
        </is>
      </c>
      <c r="M671" t="inlineStr">
        <is>
          <t>1984</t>
        </is>
      </c>
      <c r="O671" t="inlineStr">
        <is>
          <t>eng</t>
        </is>
      </c>
      <c r="P671" t="inlineStr">
        <is>
          <t>flu</t>
        </is>
      </c>
      <c r="Q671" t="inlineStr">
        <is>
          <t>Fish physiology ; v. 10</t>
        </is>
      </c>
      <c r="R671" t="inlineStr">
        <is>
          <t xml:space="preserve">QL </t>
        </is>
      </c>
      <c r="S671" t="n">
        <v>0</v>
      </c>
      <c r="T671" t="n">
        <v>1</v>
      </c>
      <c r="V671" t="inlineStr">
        <is>
          <t>2008-03-24</t>
        </is>
      </c>
      <c r="W671" t="inlineStr">
        <is>
          <t>2001-05-03</t>
        </is>
      </c>
      <c r="X671" t="inlineStr">
        <is>
          <t>2001-05-03</t>
        </is>
      </c>
      <c r="Y671" t="n">
        <v>65</v>
      </c>
      <c r="Z671" t="n">
        <v>47</v>
      </c>
      <c r="AA671" t="n">
        <v>49</v>
      </c>
      <c r="AB671" t="n">
        <v>1</v>
      </c>
      <c r="AC671" t="n">
        <v>1</v>
      </c>
      <c r="AD671" t="n">
        <v>4</v>
      </c>
      <c r="AE671" t="n">
        <v>4</v>
      </c>
      <c r="AF671" t="n">
        <v>1</v>
      </c>
      <c r="AG671" t="n">
        <v>1</v>
      </c>
      <c r="AH671" t="n">
        <v>1</v>
      </c>
      <c r="AI671" t="n">
        <v>1</v>
      </c>
      <c r="AJ671" t="n">
        <v>3</v>
      </c>
      <c r="AK671" t="n">
        <v>3</v>
      </c>
      <c r="AL671" t="n">
        <v>0</v>
      </c>
      <c r="AM671" t="n">
        <v>0</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HYPERLINK("https://creighton-primo.hosted.exlibrisgroup.com/primo-explore/search?tab=default_tab&amp;search_scope=EVERYTHING&amp;vid=01CRU&amp;lang=en_US&amp;offset=0&amp;query=any,contains,991003531799702656","Catalog Record")</f>
        <v/>
      </c>
      <c r="AT671">
        <f>HYPERLINK("http://www.worldcat.org/oclc/38318138","WorldCat Record")</f>
        <v/>
      </c>
      <c r="AU671" t="inlineStr">
        <is>
          <t>3373585786:eng</t>
        </is>
      </c>
      <c r="AV671" t="inlineStr">
        <is>
          <t>38318138</t>
        </is>
      </c>
      <c r="AW671" t="inlineStr">
        <is>
          <t>991003531799702656</t>
        </is>
      </c>
      <c r="AX671" t="inlineStr">
        <is>
          <t>991003531799702656</t>
        </is>
      </c>
      <c r="AY671" t="inlineStr">
        <is>
          <t>2258901860002656</t>
        </is>
      </c>
      <c r="AZ671" t="inlineStr">
        <is>
          <t>BOOK</t>
        </is>
      </c>
      <c r="BB671" t="inlineStr">
        <is>
          <t>9780123504302</t>
        </is>
      </c>
      <c r="BC671" t="inlineStr">
        <is>
          <t>32285001532778</t>
        </is>
      </c>
      <c r="BD671" t="inlineStr">
        <is>
          <t>893324160</t>
        </is>
      </c>
    </row>
    <row r="672">
      <c r="A672" t="inlineStr">
        <is>
          <t>No</t>
        </is>
      </c>
      <c r="B672" t="inlineStr">
        <is>
          <t>QL639.1 .H6 v.14</t>
        </is>
      </c>
      <c r="C672" t="inlineStr">
        <is>
          <t>0                      QL 0639100H  6                                                       v.14</t>
        </is>
      </c>
      <c r="D672" t="inlineStr">
        <is>
          <t>Cellular and molecular approaches to fish ionic regulation / edited by Chris M. Wood, Trevor J. Shuttleworth.</t>
        </is>
      </c>
      <c r="E672" t="inlineStr">
        <is>
          <t>V. 14</t>
        </is>
      </c>
      <c r="F672" t="inlineStr">
        <is>
          <t>No</t>
        </is>
      </c>
      <c r="G672" t="inlineStr">
        <is>
          <t>1</t>
        </is>
      </c>
      <c r="H672" t="inlineStr">
        <is>
          <t>No</t>
        </is>
      </c>
      <c r="I672" t="inlineStr">
        <is>
          <t>No</t>
        </is>
      </c>
      <c r="J672" t="inlineStr">
        <is>
          <t>0</t>
        </is>
      </c>
      <c r="L672" t="inlineStr">
        <is>
          <t>San Diego : Academic Press, c1995.</t>
        </is>
      </c>
      <c r="M672" t="inlineStr">
        <is>
          <t>1995</t>
        </is>
      </c>
      <c r="O672" t="inlineStr">
        <is>
          <t>eng</t>
        </is>
      </c>
      <c r="P672" t="inlineStr">
        <is>
          <t>cau</t>
        </is>
      </c>
      <c r="Q672" t="inlineStr">
        <is>
          <t>Fish physiology ; v. 14</t>
        </is>
      </c>
      <c r="R672" t="inlineStr">
        <is>
          <t xml:space="preserve">QL </t>
        </is>
      </c>
      <c r="S672" t="n">
        <v>4</v>
      </c>
      <c r="T672" t="n">
        <v>4</v>
      </c>
      <c r="U672" t="inlineStr">
        <is>
          <t>2006-06-16</t>
        </is>
      </c>
      <c r="V672" t="inlineStr">
        <is>
          <t>2006-06-16</t>
        </is>
      </c>
      <c r="W672" t="inlineStr">
        <is>
          <t>2000-06-16</t>
        </is>
      </c>
      <c r="X672" t="inlineStr">
        <is>
          <t>2000-06-16</t>
        </is>
      </c>
      <c r="Y672" t="n">
        <v>179</v>
      </c>
      <c r="Z672" t="n">
        <v>119</v>
      </c>
      <c r="AA672" t="n">
        <v>140</v>
      </c>
      <c r="AB672" t="n">
        <v>1</v>
      </c>
      <c r="AC672" t="n">
        <v>2</v>
      </c>
      <c r="AD672" t="n">
        <v>5</v>
      </c>
      <c r="AE672" t="n">
        <v>7</v>
      </c>
      <c r="AF672" t="n">
        <v>2</v>
      </c>
      <c r="AG672" t="n">
        <v>3</v>
      </c>
      <c r="AH672" t="n">
        <v>1</v>
      </c>
      <c r="AI672" t="n">
        <v>2</v>
      </c>
      <c r="AJ672" t="n">
        <v>3</v>
      </c>
      <c r="AK672" t="n">
        <v>3</v>
      </c>
      <c r="AL672" t="n">
        <v>0</v>
      </c>
      <c r="AM672" t="n">
        <v>1</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HYPERLINK("https://creighton-primo.hosted.exlibrisgroup.com/primo-explore/search?tab=default_tab&amp;search_scope=EVERYTHING&amp;vid=01CRU&amp;lang=en_US&amp;offset=0&amp;query=any,contains,991003188509702656","Catalog Record")</f>
        <v/>
      </c>
      <c r="AT672">
        <f>HYPERLINK("http://www.worldcat.org/oclc/32774118","WorldCat Record")</f>
        <v/>
      </c>
      <c r="AU672" t="inlineStr">
        <is>
          <t>2864428191:eng</t>
        </is>
      </c>
      <c r="AV672" t="inlineStr">
        <is>
          <t>32774118</t>
        </is>
      </c>
      <c r="AW672" t="inlineStr">
        <is>
          <t>991003188509702656</t>
        </is>
      </c>
      <c r="AX672" t="inlineStr">
        <is>
          <t>991003188509702656</t>
        </is>
      </c>
      <c r="AY672" t="inlineStr">
        <is>
          <t>2264256690002656</t>
        </is>
      </c>
      <c r="AZ672" t="inlineStr">
        <is>
          <t>BOOK</t>
        </is>
      </c>
      <c r="BB672" t="inlineStr">
        <is>
          <t>9780123504388</t>
        </is>
      </c>
      <c r="BC672" t="inlineStr">
        <is>
          <t>32285003548566</t>
        </is>
      </c>
      <c r="BD672" t="inlineStr">
        <is>
          <t>893342303</t>
        </is>
      </c>
    </row>
    <row r="673">
      <c r="A673" t="inlineStr">
        <is>
          <t>No</t>
        </is>
      </c>
      <c r="B673" t="inlineStr">
        <is>
          <t>QL639.1 .H6 v.5</t>
        </is>
      </c>
      <c r="C673" t="inlineStr">
        <is>
          <t>0                      QL 0639100H  6                                                       v.5</t>
        </is>
      </c>
      <c r="D673" t="inlineStr">
        <is>
          <t>Sensory systems and electric organs / by W.S. Hoar and D.J. Randall.</t>
        </is>
      </c>
      <c r="E673" t="inlineStr">
        <is>
          <t>V. 5</t>
        </is>
      </c>
      <c r="F673" t="inlineStr">
        <is>
          <t>No</t>
        </is>
      </c>
      <c r="G673" t="inlineStr">
        <is>
          <t>1</t>
        </is>
      </c>
      <c r="H673" t="inlineStr">
        <is>
          <t>No</t>
        </is>
      </c>
      <c r="I673" t="inlineStr">
        <is>
          <t>No</t>
        </is>
      </c>
      <c r="J673" t="inlineStr">
        <is>
          <t>0</t>
        </is>
      </c>
      <c r="L673" t="inlineStr">
        <is>
          <t>New York ; London : Academic Press, 1971.</t>
        </is>
      </c>
      <c r="M673" t="inlineStr">
        <is>
          <t>1971</t>
        </is>
      </c>
      <c r="O673" t="inlineStr">
        <is>
          <t>eng</t>
        </is>
      </c>
      <c r="P673" t="inlineStr">
        <is>
          <t xml:space="preserve">gb </t>
        </is>
      </c>
      <c r="Q673" t="inlineStr">
        <is>
          <t>Fish physiology ; v. 5</t>
        </is>
      </c>
      <c r="R673" t="inlineStr">
        <is>
          <t xml:space="preserve">QL </t>
        </is>
      </c>
      <c r="S673" t="n">
        <v>1</v>
      </c>
      <c r="T673" t="n">
        <v>1</v>
      </c>
      <c r="U673" t="inlineStr">
        <is>
          <t>2007-02-23</t>
        </is>
      </c>
      <c r="V673" t="inlineStr">
        <is>
          <t>2007-02-23</t>
        </is>
      </c>
      <c r="W673" t="inlineStr">
        <is>
          <t>2000-06-15</t>
        </is>
      </c>
      <c r="X673" t="inlineStr">
        <is>
          <t>2000-06-15</t>
        </is>
      </c>
      <c r="Y673" t="n">
        <v>100</v>
      </c>
      <c r="Z673" t="n">
        <v>60</v>
      </c>
      <c r="AA673" t="n">
        <v>120</v>
      </c>
      <c r="AB673" t="n">
        <v>1</v>
      </c>
      <c r="AC673" t="n">
        <v>3</v>
      </c>
      <c r="AD673" t="n">
        <v>4</v>
      </c>
      <c r="AE673" t="n">
        <v>8</v>
      </c>
      <c r="AF673" t="n">
        <v>1</v>
      </c>
      <c r="AG673" t="n">
        <v>3</v>
      </c>
      <c r="AH673" t="n">
        <v>1</v>
      </c>
      <c r="AI673" t="n">
        <v>2</v>
      </c>
      <c r="AJ673" t="n">
        <v>3</v>
      </c>
      <c r="AK673" t="n">
        <v>3</v>
      </c>
      <c r="AL673" t="n">
        <v>0</v>
      </c>
      <c r="AM673" t="n">
        <v>2</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HYPERLINK("https://creighton-primo.hosted.exlibrisgroup.com/primo-explore/search?tab=default_tab&amp;search_scope=EVERYTHING&amp;vid=01CRU&amp;lang=en_US&amp;offset=0&amp;query=any,contains,991003185489702656","Catalog Record")</f>
        <v/>
      </c>
      <c r="AT673">
        <f>HYPERLINK("http://www.worldcat.org/oclc/24152018","WorldCat Record")</f>
        <v/>
      </c>
      <c r="AU673" t="inlineStr">
        <is>
          <t>4163682062:eng</t>
        </is>
      </c>
      <c r="AV673" t="inlineStr">
        <is>
          <t>24152018</t>
        </is>
      </c>
      <c r="AW673" t="inlineStr">
        <is>
          <t>991003185489702656</t>
        </is>
      </c>
      <c r="AX673" t="inlineStr">
        <is>
          <t>991003185489702656</t>
        </is>
      </c>
      <c r="AY673" t="inlineStr">
        <is>
          <t>2256447330002656</t>
        </is>
      </c>
      <c r="AZ673" t="inlineStr">
        <is>
          <t>BOOK</t>
        </is>
      </c>
      <c r="BC673" t="inlineStr">
        <is>
          <t>32285000060615</t>
        </is>
      </c>
      <c r="BD673" t="inlineStr">
        <is>
          <t>893793391</t>
        </is>
      </c>
    </row>
    <row r="674">
      <c r="A674" t="inlineStr">
        <is>
          <t>No</t>
        </is>
      </c>
      <c r="B674" t="inlineStr">
        <is>
          <t>QL639.1 .H6 v.7</t>
        </is>
      </c>
      <c r="C674" t="inlineStr">
        <is>
          <t>0                      QL 0639100H  6                                                       v.7</t>
        </is>
      </c>
      <c r="D674" t="inlineStr">
        <is>
          <t>Locomotion / edited by W.S. Hoar and D.J. Randall.</t>
        </is>
      </c>
      <c r="E674" t="inlineStr">
        <is>
          <t>V. 7</t>
        </is>
      </c>
      <c r="F674" t="inlineStr">
        <is>
          <t>No</t>
        </is>
      </c>
      <c r="G674" t="inlineStr">
        <is>
          <t>1</t>
        </is>
      </c>
      <c r="H674" t="inlineStr">
        <is>
          <t>No</t>
        </is>
      </c>
      <c r="I674" t="inlineStr">
        <is>
          <t>No</t>
        </is>
      </c>
      <c r="J674" t="inlineStr">
        <is>
          <t>0</t>
        </is>
      </c>
      <c r="L674" t="inlineStr">
        <is>
          <t>New York : Academic Press, 1978.</t>
        </is>
      </c>
      <c r="M674" t="inlineStr">
        <is>
          <t>1978</t>
        </is>
      </c>
      <c r="O674" t="inlineStr">
        <is>
          <t>eng</t>
        </is>
      </c>
      <c r="P674" t="inlineStr">
        <is>
          <t>nyu</t>
        </is>
      </c>
      <c r="Q674" t="inlineStr">
        <is>
          <t>Fish physiology ; v. 7</t>
        </is>
      </c>
      <c r="R674" t="inlineStr">
        <is>
          <t xml:space="preserve">QL </t>
        </is>
      </c>
      <c r="S674" t="n">
        <v>2</v>
      </c>
      <c r="T674" t="n">
        <v>2</v>
      </c>
      <c r="U674" t="inlineStr">
        <is>
          <t>2008-08-12</t>
        </is>
      </c>
      <c r="V674" t="inlineStr">
        <is>
          <t>2008-08-12</t>
        </is>
      </c>
      <c r="W674" t="inlineStr">
        <is>
          <t>2000-06-15</t>
        </is>
      </c>
      <c r="X674" t="inlineStr">
        <is>
          <t>2000-06-15</t>
        </is>
      </c>
      <c r="Y674" t="n">
        <v>102</v>
      </c>
      <c r="Z674" t="n">
        <v>61</v>
      </c>
      <c r="AA674" t="n">
        <v>117</v>
      </c>
      <c r="AB674" t="n">
        <v>1</v>
      </c>
      <c r="AC674" t="n">
        <v>2</v>
      </c>
      <c r="AD674" t="n">
        <v>4</v>
      </c>
      <c r="AE674" t="n">
        <v>7</v>
      </c>
      <c r="AF674" t="n">
        <v>1</v>
      </c>
      <c r="AG674" t="n">
        <v>3</v>
      </c>
      <c r="AH674" t="n">
        <v>1</v>
      </c>
      <c r="AI674" t="n">
        <v>2</v>
      </c>
      <c r="AJ674" t="n">
        <v>3</v>
      </c>
      <c r="AK674" t="n">
        <v>3</v>
      </c>
      <c r="AL674" t="n">
        <v>0</v>
      </c>
      <c r="AM674" t="n">
        <v>1</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HYPERLINK("https://creighton-primo.hosted.exlibrisgroup.com/primo-explore/search?tab=default_tab&amp;search_scope=EVERYTHING&amp;vid=01CRU&amp;lang=en_US&amp;offset=0&amp;query=any,contains,991003185459702656","Catalog Record")</f>
        <v/>
      </c>
      <c r="AT674">
        <f>HYPERLINK("http://www.worldcat.org/oclc/24080825","WorldCat Record")</f>
        <v/>
      </c>
      <c r="AU674" t="inlineStr">
        <is>
          <t>766085582:eng</t>
        </is>
      </c>
      <c r="AV674" t="inlineStr">
        <is>
          <t>24080825</t>
        </is>
      </c>
      <c r="AW674" t="inlineStr">
        <is>
          <t>991003185459702656</t>
        </is>
      </c>
      <c r="AX674" t="inlineStr">
        <is>
          <t>991003185459702656</t>
        </is>
      </c>
      <c r="AY674" t="inlineStr">
        <is>
          <t>2270035450002656</t>
        </is>
      </c>
      <c r="AZ674" t="inlineStr">
        <is>
          <t>BOOK</t>
        </is>
      </c>
      <c r="BB674" t="inlineStr">
        <is>
          <t>9780123504074</t>
        </is>
      </c>
      <c r="BC674" t="inlineStr">
        <is>
          <t>32285001532745</t>
        </is>
      </c>
      <c r="BD674" t="inlineStr">
        <is>
          <t>893262658</t>
        </is>
      </c>
    </row>
    <row r="675">
      <c r="A675" t="inlineStr">
        <is>
          <t>No</t>
        </is>
      </c>
      <c r="B675" t="inlineStr">
        <is>
          <t>QL639.1 .K49</t>
        </is>
      </c>
      <c r="C675" t="inlineStr">
        <is>
          <t>0                      QL 0639100K  49</t>
        </is>
      </c>
      <c r="D675" t="inlineStr">
        <is>
          <t>Olfaction in fishes.</t>
        </is>
      </c>
      <c r="F675" t="inlineStr">
        <is>
          <t>No</t>
        </is>
      </c>
      <c r="G675" t="inlineStr">
        <is>
          <t>1</t>
        </is>
      </c>
      <c r="H675" t="inlineStr">
        <is>
          <t>No</t>
        </is>
      </c>
      <c r="I675" t="inlineStr">
        <is>
          <t>No</t>
        </is>
      </c>
      <c r="J675" t="inlineStr">
        <is>
          <t>0</t>
        </is>
      </c>
      <c r="K675" t="inlineStr">
        <is>
          <t>Kleerekoper, Herman, 1910-2005.</t>
        </is>
      </c>
      <c r="L675" t="inlineStr">
        <is>
          <t>Bloomington : Indiana University Press, [1969]</t>
        </is>
      </c>
      <c r="M675" t="inlineStr">
        <is>
          <t>1969</t>
        </is>
      </c>
      <c r="O675" t="inlineStr">
        <is>
          <t>eng</t>
        </is>
      </c>
      <c r="P675" t="inlineStr">
        <is>
          <t>inu</t>
        </is>
      </c>
      <c r="R675" t="inlineStr">
        <is>
          <t xml:space="preserve">QL </t>
        </is>
      </c>
      <c r="S675" t="n">
        <v>3</v>
      </c>
      <c r="T675" t="n">
        <v>3</v>
      </c>
      <c r="U675" t="inlineStr">
        <is>
          <t>1998-02-25</t>
        </is>
      </c>
      <c r="V675" t="inlineStr">
        <is>
          <t>1998-02-25</t>
        </is>
      </c>
      <c r="W675" t="inlineStr">
        <is>
          <t>1995-05-09</t>
        </is>
      </c>
      <c r="X675" t="inlineStr">
        <is>
          <t>1995-05-09</t>
        </is>
      </c>
      <c r="Y675" t="n">
        <v>436</v>
      </c>
      <c r="Z675" t="n">
        <v>363</v>
      </c>
      <c r="AA675" t="n">
        <v>373</v>
      </c>
      <c r="AB675" t="n">
        <v>2</v>
      </c>
      <c r="AC675" t="n">
        <v>2</v>
      </c>
      <c r="AD675" t="n">
        <v>9</v>
      </c>
      <c r="AE675" t="n">
        <v>10</v>
      </c>
      <c r="AF675" t="n">
        <v>4</v>
      </c>
      <c r="AG675" t="n">
        <v>4</v>
      </c>
      <c r="AH675" t="n">
        <v>2</v>
      </c>
      <c r="AI675" t="n">
        <v>2</v>
      </c>
      <c r="AJ675" t="n">
        <v>3</v>
      </c>
      <c r="AK675" t="n">
        <v>4</v>
      </c>
      <c r="AL675" t="n">
        <v>1</v>
      </c>
      <c r="AM675" t="n">
        <v>1</v>
      </c>
      <c r="AN675" t="n">
        <v>0</v>
      </c>
      <c r="AO675" t="n">
        <v>0</v>
      </c>
      <c r="AP675" t="inlineStr">
        <is>
          <t>No</t>
        </is>
      </c>
      <c r="AQ675" t="inlineStr">
        <is>
          <t>Yes</t>
        </is>
      </c>
      <c r="AR675">
        <f>HYPERLINK("http://catalog.hathitrust.org/Record/001501034","HathiTrust Record")</f>
        <v/>
      </c>
      <c r="AS675">
        <f>HYPERLINK("https://creighton-primo.hosted.exlibrisgroup.com/primo-explore/search?tab=default_tab&amp;search_scope=EVERYTHING&amp;vid=01CRU&amp;lang=en_US&amp;offset=0&amp;query=any,contains,991000004089702656","Catalog Record")</f>
        <v/>
      </c>
      <c r="AT675">
        <f>HYPERLINK("http://www.worldcat.org/oclc/12459","WorldCat Record")</f>
        <v/>
      </c>
      <c r="AU675" t="inlineStr">
        <is>
          <t>1135375:eng</t>
        </is>
      </c>
      <c r="AV675" t="inlineStr">
        <is>
          <t>12459</t>
        </is>
      </c>
      <c r="AW675" t="inlineStr">
        <is>
          <t>991000004089702656</t>
        </is>
      </c>
      <c r="AX675" t="inlineStr">
        <is>
          <t>991000004089702656</t>
        </is>
      </c>
      <c r="AY675" t="inlineStr">
        <is>
          <t>2265022430002656</t>
        </is>
      </c>
      <c r="AZ675" t="inlineStr">
        <is>
          <t>BOOK</t>
        </is>
      </c>
      <c r="BC675" t="inlineStr">
        <is>
          <t>32285002032844</t>
        </is>
      </c>
      <c r="BD675" t="inlineStr">
        <is>
          <t>893902870</t>
        </is>
      </c>
    </row>
    <row r="676">
      <c r="A676" t="inlineStr">
        <is>
          <t>No</t>
        </is>
      </c>
      <c r="B676" t="inlineStr">
        <is>
          <t>QL639.1 .L3</t>
        </is>
      </c>
      <c r="C676" t="inlineStr">
        <is>
          <t>0                      QL 0639100L  3</t>
        </is>
      </c>
      <c r="D676" t="inlineStr">
        <is>
          <t>Lateral line detectors; proceedings of a conference held at Yeshiva University, New York, April 16-18, 1966. Edited by Phyllis H. Cahn.</t>
        </is>
      </c>
      <c r="F676" t="inlineStr">
        <is>
          <t>No</t>
        </is>
      </c>
      <c r="G676" t="inlineStr">
        <is>
          <t>1</t>
        </is>
      </c>
      <c r="H676" t="inlineStr">
        <is>
          <t>No</t>
        </is>
      </c>
      <c r="I676" t="inlineStr">
        <is>
          <t>No</t>
        </is>
      </c>
      <c r="J676" t="inlineStr">
        <is>
          <t>0</t>
        </is>
      </c>
      <c r="L676" t="inlineStr">
        <is>
          <t>Bloomington, Indiana University Press [1967]</t>
        </is>
      </c>
      <c r="M676" t="inlineStr">
        <is>
          <t>1967</t>
        </is>
      </c>
      <c r="O676" t="inlineStr">
        <is>
          <t>eng</t>
        </is>
      </c>
      <c r="P676" t="inlineStr">
        <is>
          <t>inu</t>
        </is>
      </c>
      <c r="R676" t="inlineStr">
        <is>
          <t xml:space="preserve">QL </t>
        </is>
      </c>
      <c r="S676" t="n">
        <v>1</v>
      </c>
      <c r="T676" t="n">
        <v>1</v>
      </c>
      <c r="U676" t="inlineStr">
        <is>
          <t>2001-02-19</t>
        </is>
      </c>
      <c r="V676" t="inlineStr">
        <is>
          <t>2001-02-19</t>
        </is>
      </c>
      <c r="W676" t="inlineStr">
        <is>
          <t>1997-07-25</t>
        </is>
      </c>
      <c r="X676" t="inlineStr">
        <is>
          <t>1997-07-25</t>
        </is>
      </c>
      <c r="Y676" t="n">
        <v>346</v>
      </c>
      <c r="Z676" t="n">
        <v>286</v>
      </c>
      <c r="AA676" t="n">
        <v>287</v>
      </c>
      <c r="AB676" t="n">
        <v>3</v>
      </c>
      <c r="AC676" t="n">
        <v>3</v>
      </c>
      <c r="AD676" t="n">
        <v>6</v>
      </c>
      <c r="AE676" t="n">
        <v>6</v>
      </c>
      <c r="AF676" t="n">
        <v>1</v>
      </c>
      <c r="AG676" t="n">
        <v>1</v>
      </c>
      <c r="AH676" t="n">
        <v>3</v>
      </c>
      <c r="AI676" t="n">
        <v>3</v>
      </c>
      <c r="AJ676" t="n">
        <v>2</v>
      </c>
      <c r="AK676" t="n">
        <v>2</v>
      </c>
      <c r="AL676" t="n">
        <v>2</v>
      </c>
      <c r="AM676" t="n">
        <v>2</v>
      </c>
      <c r="AN676" t="n">
        <v>0</v>
      </c>
      <c r="AO676" t="n">
        <v>0</v>
      </c>
      <c r="AP676" t="inlineStr">
        <is>
          <t>No</t>
        </is>
      </c>
      <c r="AQ676" t="inlineStr">
        <is>
          <t>Yes</t>
        </is>
      </c>
      <c r="AR676">
        <f>HYPERLINK("http://catalog.hathitrust.org/Record/001507085","HathiTrust Record")</f>
        <v/>
      </c>
      <c r="AS676">
        <f>HYPERLINK("https://creighton-primo.hosted.exlibrisgroup.com/primo-explore/search?tab=default_tab&amp;search_scope=EVERYTHING&amp;vid=01CRU&amp;lang=en_US&amp;offset=0&amp;query=any,contains,991003233339702656","Catalog Record")</f>
        <v/>
      </c>
      <c r="AT676">
        <f>HYPERLINK("http://www.worldcat.org/oclc/757732","WorldCat Record")</f>
        <v/>
      </c>
      <c r="AU676" t="inlineStr">
        <is>
          <t>836667599:eng</t>
        </is>
      </c>
      <c r="AV676" t="inlineStr">
        <is>
          <t>757732</t>
        </is>
      </c>
      <c r="AW676" t="inlineStr">
        <is>
          <t>991003233339702656</t>
        </is>
      </c>
      <c r="AX676" t="inlineStr">
        <is>
          <t>991003233339702656</t>
        </is>
      </c>
      <c r="AY676" t="inlineStr">
        <is>
          <t>2272537890002656</t>
        </is>
      </c>
      <c r="AZ676" t="inlineStr">
        <is>
          <t>BOOK</t>
        </is>
      </c>
      <c r="BC676" t="inlineStr">
        <is>
          <t>32285002981693</t>
        </is>
      </c>
      <c r="BD676" t="inlineStr">
        <is>
          <t>893809884</t>
        </is>
      </c>
    </row>
    <row r="677">
      <c r="A677" t="inlineStr">
        <is>
          <t>No</t>
        </is>
      </c>
      <c r="B677" t="inlineStr">
        <is>
          <t>QL639.1 .M64 1995</t>
        </is>
      </c>
      <c r="C677" t="inlineStr">
        <is>
          <t>0                      QL 0639100M  64          1995</t>
        </is>
      </c>
      <c r="D677" t="inlineStr">
        <is>
          <t>Electric fishes : history and behavior / Peter Moller ; with a foreword by Hans W. Lissmann ; illustrations by Jacques Serrier.</t>
        </is>
      </c>
      <c r="F677" t="inlineStr">
        <is>
          <t>No</t>
        </is>
      </c>
      <c r="G677" t="inlineStr">
        <is>
          <t>1</t>
        </is>
      </c>
      <c r="H677" t="inlineStr">
        <is>
          <t>No</t>
        </is>
      </c>
      <c r="I677" t="inlineStr">
        <is>
          <t>No</t>
        </is>
      </c>
      <c r="J677" t="inlineStr">
        <is>
          <t>0</t>
        </is>
      </c>
      <c r="K677" t="inlineStr">
        <is>
          <t>Moller, Peter, 1941-</t>
        </is>
      </c>
      <c r="L677" t="inlineStr">
        <is>
          <t>London ; New York : Chapman &amp; Hall, 1995.</t>
        </is>
      </c>
      <c r="M677" t="inlineStr">
        <is>
          <t>1995</t>
        </is>
      </c>
      <c r="N677" t="inlineStr">
        <is>
          <t>1st ed.</t>
        </is>
      </c>
      <c r="O677" t="inlineStr">
        <is>
          <t>eng</t>
        </is>
      </c>
      <c r="P677" t="inlineStr">
        <is>
          <t>enk</t>
        </is>
      </c>
      <c r="Q677" t="inlineStr">
        <is>
          <t>Chapman &amp; Hall fish and fisheries series ; 17</t>
        </is>
      </c>
      <c r="R677" t="inlineStr">
        <is>
          <t xml:space="preserve">QL </t>
        </is>
      </c>
      <c r="S677" t="n">
        <v>11</v>
      </c>
      <c r="T677" t="n">
        <v>11</v>
      </c>
      <c r="U677" t="inlineStr">
        <is>
          <t>2007-02-23</t>
        </is>
      </c>
      <c r="V677" t="inlineStr">
        <is>
          <t>2007-02-23</t>
        </is>
      </c>
      <c r="W677" t="inlineStr">
        <is>
          <t>1996-06-04</t>
        </is>
      </c>
      <c r="X677" t="inlineStr">
        <is>
          <t>1996-06-04</t>
        </is>
      </c>
      <c r="Y677" t="n">
        <v>233</v>
      </c>
      <c r="Z677" t="n">
        <v>161</v>
      </c>
      <c r="AA677" t="n">
        <v>162</v>
      </c>
      <c r="AB677" t="n">
        <v>2</v>
      </c>
      <c r="AC677" t="n">
        <v>2</v>
      </c>
      <c r="AD677" t="n">
        <v>2</v>
      </c>
      <c r="AE677" t="n">
        <v>2</v>
      </c>
      <c r="AF677" t="n">
        <v>1</v>
      </c>
      <c r="AG677" t="n">
        <v>1</v>
      </c>
      <c r="AH677" t="n">
        <v>0</v>
      </c>
      <c r="AI677" t="n">
        <v>0</v>
      </c>
      <c r="AJ677" t="n">
        <v>0</v>
      </c>
      <c r="AK677" t="n">
        <v>0</v>
      </c>
      <c r="AL677" t="n">
        <v>1</v>
      </c>
      <c r="AM677" t="n">
        <v>1</v>
      </c>
      <c r="AN677" t="n">
        <v>0</v>
      </c>
      <c r="AO677" t="n">
        <v>0</v>
      </c>
      <c r="AP677" t="inlineStr">
        <is>
          <t>No</t>
        </is>
      </c>
      <c r="AQ677" t="inlineStr">
        <is>
          <t>Yes</t>
        </is>
      </c>
      <c r="AR677">
        <f>HYPERLINK("http://catalog.hathitrust.org/Record/003019863","HathiTrust Record")</f>
        <v/>
      </c>
      <c r="AS677">
        <f>HYPERLINK("https://creighton-primo.hosted.exlibrisgroup.com/primo-explore/search?tab=default_tab&amp;search_scope=EVERYTHING&amp;vid=01CRU&amp;lang=en_US&amp;offset=0&amp;query=any,contains,991002547149702656","Catalog Record")</f>
        <v/>
      </c>
      <c r="AT677">
        <f>HYPERLINK("http://www.worldcat.org/oclc/33100429","WorldCat Record")</f>
        <v/>
      </c>
      <c r="AU677" t="inlineStr">
        <is>
          <t>364536763:eng</t>
        </is>
      </c>
      <c r="AV677" t="inlineStr">
        <is>
          <t>33100429</t>
        </is>
      </c>
      <c r="AW677" t="inlineStr">
        <is>
          <t>991002547149702656</t>
        </is>
      </c>
      <c r="AX677" t="inlineStr">
        <is>
          <t>991002547149702656</t>
        </is>
      </c>
      <c r="AY677" t="inlineStr">
        <is>
          <t>2271280200002656</t>
        </is>
      </c>
      <c r="AZ677" t="inlineStr">
        <is>
          <t>BOOK</t>
        </is>
      </c>
      <c r="BB677" t="inlineStr">
        <is>
          <t>9780412373800</t>
        </is>
      </c>
      <c r="BC677" t="inlineStr">
        <is>
          <t>32285002187317</t>
        </is>
      </c>
      <c r="BD677" t="inlineStr">
        <is>
          <t>893721515</t>
        </is>
      </c>
    </row>
    <row r="678">
      <c r="A678" t="inlineStr">
        <is>
          <t>No</t>
        </is>
      </c>
      <c r="B678" t="inlineStr">
        <is>
          <t>QL639.1 .N35 1979</t>
        </is>
      </c>
      <c r="C678" t="inlineStr">
        <is>
          <t>0                      QL 0639100N  35          1979</t>
        </is>
      </c>
      <c r="D678" t="inlineStr">
        <is>
          <t>Environmental physiology of fishes / edited by M. A. Ali.</t>
        </is>
      </c>
      <c r="F678" t="inlineStr">
        <is>
          <t>No</t>
        </is>
      </c>
      <c r="G678" t="inlineStr">
        <is>
          <t>1</t>
        </is>
      </c>
      <c r="H678" t="inlineStr">
        <is>
          <t>No</t>
        </is>
      </c>
      <c r="I678" t="inlineStr">
        <is>
          <t>No</t>
        </is>
      </c>
      <c r="J678" t="inlineStr">
        <is>
          <t>0</t>
        </is>
      </c>
      <c r="K678" t="inlineStr">
        <is>
          <t>NATO Advanced Study Institute on Environmental Physiology of Fishes (1979 : Bishop's University)</t>
        </is>
      </c>
      <c r="L678" t="inlineStr">
        <is>
          <t>New York : Plenum Press, c1980.</t>
        </is>
      </c>
      <c r="M678" t="inlineStr">
        <is>
          <t>1980</t>
        </is>
      </c>
      <c r="O678" t="inlineStr">
        <is>
          <t>eng</t>
        </is>
      </c>
      <c r="P678" t="inlineStr">
        <is>
          <t>nyu</t>
        </is>
      </c>
      <c r="Q678" t="inlineStr">
        <is>
          <t>NATO advanced study institutes series. Series A, Life sciences ; v. 35</t>
        </is>
      </c>
      <c r="R678" t="inlineStr">
        <is>
          <t xml:space="preserve">QL </t>
        </is>
      </c>
      <c r="S678" t="n">
        <v>8</v>
      </c>
      <c r="T678" t="n">
        <v>8</v>
      </c>
      <c r="U678" t="inlineStr">
        <is>
          <t>2002-01-24</t>
        </is>
      </c>
      <c r="V678" t="inlineStr">
        <is>
          <t>2002-01-24</t>
        </is>
      </c>
      <c r="W678" t="inlineStr">
        <is>
          <t>1993-02-12</t>
        </is>
      </c>
      <c r="X678" t="inlineStr">
        <is>
          <t>1993-02-12</t>
        </is>
      </c>
      <c r="Y678" t="n">
        <v>404</v>
      </c>
      <c r="Z678" t="n">
        <v>264</v>
      </c>
      <c r="AA678" t="n">
        <v>278</v>
      </c>
      <c r="AB678" t="n">
        <v>2</v>
      </c>
      <c r="AC678" t="n">
        <v>2</v>
      </c>
      <c r="AD678" t="n">
        <v>6</v>
      </c>
      <c r="AE678" t="n">
        <v>7</v>
      </c>
      <c r="AF678" t="n">
        <v>2</v>
      </c>
      <c r="AG678" t="n">
        <v>3</v>
      </c>
      <c r="AH678" t="n">
        <v>2</v>
      </c>
      <c r="AI678" t="n">
        <v>2</v>
      </c>
      <c r="AJ678" t="n">
        <v>4</v>
      </c>
      <c r="AK678" t="n">
        <v>5</v>
      </c>
      <c r="AL678" t="n">
        <v>1</v>
      </c>
      <c r="AM678" t="n">
        <v>1</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HYPERLINK("https://creighton-primo.hosted.exlibrisgroup.com/primo-explore/search?tab=default_tab&amp;search_scope=EVERYTHING&amp;vid=01CRU&amp;lang=en_US&amp;offset=0&amp;query=any,contains,991005037879702656","Catalog Record")</f>
        <v/>
      </c>
      <c r="AT678">
        <f>HYPERLINK("http://www.worldcat.org/oclc/6762754","WorldCat Record")</f>
        <v/>
      </c>
      <c r="AU678" t="inlineStr">
        <is>
          <t>147053961:eng</t>
        </is>
      </c>
      <c r="AV678" t="inlineStr">
        <is>
          <t>6762754</t>
        </is>
      </c>
      <c r="AW678" t="inlineStr">
        <is>
          <t>991005037879702656</t>
        </is>
      </c>
      <c r="AX678" t="inlineStr">
        <is>
          <t>991005037879702656</t>
        </is>
      </c>
      <c r="AY678" t="inlineStr">
        <is>
          <t>2262894050002656</t>
        </is>
      </c>
      <c r="AZ678" t="inlineStr">
        <is>
          <t>BOOK</t>
        </is>
      </c>
      <c r="BB678" t="inlineStr">
        <is>
          <t>9780306405747</t>
        </is>
      </c>
      <c r="BC678" t="inlineStr">
        <is>
          <t>32285001532810</t>
        </is>
      </c>
      <c r="BD678" t="inlineStr">
        <is>
          <t>893883242</t>
        </is>
      </c>
    </row>
    <row r="679">
      <c r="A679" t="inlineStr">
        <is>
          <t>No</t>
        </is>
      </c>
      <c r="B679" t="inlineStr">
        <is>
          <t>QL639.1 .R5</t>
        </is>
      </c>
      <c r="C679" t="inlineStr">
        <is>
          <t>0                      QL 0639100R  5</t>
        </is>
      </c>
      <c r="D679" t="inlineStr">
        <is>
          <t>Rhythmic activity of fishes / edited by J. E. Thorpe.</t>
        </is>
      </c>
      <c r="F679" t="inlineStr">
        <is>
          <t>No</t>
        </is>
      </c>
      <c r="G679" t="inlineStr">
        <is>
          <t>1</t>
        </is>
      </c>
      <c r="H679" t="inlineStr">
        <is>
          <t>No</t>
        </is>
      </c>
      <c r="I679" t="inlineStr">
        <is>
          <t>No</t>
        </is>
      </c>
      <c r="J679" t="inlineStr">
        <is>
          <t>0</t>
        </is>
      </c>
      <c r="L679" t="inlineStr">
        <is>
          <t>London ; New York : Academic Press, 1978.</t>
        </is>
      </c>
      <c r="M679" t="inlineStr">
        <is>
          <t>1978</t>
        </is>
      </c>
      <c r="O679" t="inlineStr">
        <is>
          <t>eng</t>
        </is>
      </c>
      <c r="P679" t="inlineStr">
        <is>
          <t>enk</t>
        </is>
      </c>
      <c r="R679" t="inlineStr">
        <is>
          <t xml:space="preserve">QL </t>
        </is>
      </c>
      <c r="S679" t="n">
        <v>4</v>
      </c>
      <c r="T679" t="n">
        <v>4</v>
      </c>
      <c r="U679" t="inlineStr">
        <is>
          <t>1998-06-03</t>
        </is>
      </c>
      <c r="V679" t="inlineStr">
        <is>
          <t>1998-06-03</t>
        </is>
      </c>
      <c r="W679" t="inlineStr">
        <is>
          <t>1993-02-12</t>
        </is>
      </c>
      <c r="X679" t="inlineStr">
        <is>
          <t>1993-02-12</t>
        </is>
      </c>
      <c r="Y679" t="n">
        <v>370</v>
      </c>
      <c r="Z679" t="n">
        <v>248</v>
      </c>
      <c r="AA679" t="n">
        <v>254</v>
      </c>
      <c r="AB679" t="n">
        <v>2</v>
      </c>
      <c r="AC679" t="n">
        <v>2</v>
      </c>
      <c r="AD679" t="n">
        <v>7</v>
      </c>
      <c r="AE679" t="n">
        <v>7</v>
      </c>
      <c r="AF679" t="n">
        <v>2</v>
      </c>
      <c r="AG679" t="n">
        <v>2</v>
      </c>
      <c r="AH679" t="n">
        <v>2</v>
      </c>
      <c r="AI679" t="n">
        <v>2</v>
      </c>
      <c r="AJ679" t="n">
        <v>3</v>
      </c>
      <c r="AK679" t="n">
        <v>3</v>
      </c>
      <c r="AL679" t="n">
        <v>1</v>
      </c>
      <c r="AM679" t="n">
        <v>1</v>
      </c>
      <c r="AN679" t="n">
        <v>0</v>
      </c>
      <c r="AO679" t="n">
        <v>0</v>
      </c>
      <c r="AP679" t="inlineStr">
        <is>
          <t>No</t>
        </is>
      </c>
      <c r="AQ679" t="inlineStr">
        <is>
          <t>Yes</t>
        </is>
      </c>
      <c r="AR679">
        <f>HYPERLINK("http://catalog.hathitrust.org/Record/000258835","HathiTrust Record")</f>
        <v/>
      </c>
      <c r="AS679">
        <f>HYPERLINK("https://creighton-primo.hosted.exlibrisgroup.com/primo-explore/search?tab=default_tab&amp;search_scope=EVERYTHING&amp;vid=01CRU&amp;lang=en_US&amp;offset=0&amp;query=any,contains,991004682799702656","Catalog Record")</f>
        <v/>
      </c>
      <c r="AT679">
        <f>HYPERLINK("http://www.worldcat.org/oclc/4578183","WorldCat Record")</f>
        <v/>
      </c>
      <c r="AU679" t="inlineStr">
        <is>
          <t>352419440:eng</t>
        </is>
      </c>
      <c r="AV679" t="inlineStr">
        <is>
          <t>4578183</t>
        </is>
      </c>
      <c r="AW679" t="inlineStr">
        <is>
          <t>991004682799702656</t>
        </is>
      </c>
      <c r="AX679" t="inlineStr">
        <is>
          <t>991004682799702656</t>
        </is>
      </c>
      <c r="AY679" t="inlineStr">
        <is>
          <t>2261911610002656</t>
        </is>
      </c>
      <c r="AZ679" t="inlineStr">
        <is>
          <t>BOOK</t>
        </is>
      </c>
      <c r="BB679" t="inlineStr">
        <is>
          <t>9780126906509</t>
        </is>
      </c>
      <c r="BC679" t="inlineStr">
        <is>
          <t>32285001532828</t>
        </is>
      </c>
      <c r="BD679" t="inlineStr">
        <is>
          <t>893235814</t>
        </is>
      </c>
    </row>
    <row r="680">
      <c r="A680" t="inlineStr">
        <is>
          <t>No</t>
        </is>
      </c>
      <c r="B680" t="inlineStr">
        <is>
          <t>QL639.1 .S46 2004</t>
        </is>
      </c>
      <c r="C680" t="inlineStr">
        <is>
          <t>0                      QL 0639100S  46          2004</t>
        </is>
      </c>
      <c r="D680" t="inlineStr">
        <is>
          <t>The senses of fish : adaptations for the reception of natural stimuli / editors, Gerhard von der Emde, Joachim Mogdans, B.G. Kapoor.</t>
        </is>
      </c>
      <c r="F680" t="inlineStr">
        <is>
          <t>No</t>
        </is>
      </c>
      <c r="G680" t="inlineStr">
        <is>
          <t>1</t>
        </is>
      </c>
      <c r="H680" t="inlineStr">
        <is>
          <t>No</t>
        </is>
      </c>
      <c r="I680" t="inlineStr">
        <is>
          <t>No</t>
        </is>
      </c>
      <c r="J680" t="inlineStr">
        <is>
          <t>0</t>
        </is>
      </c>
      <c r="L680" t="inlineStr">
        <is>
          <t>Boston : Kluwer ; New Delhi : Narosa Pub., c2004.</t>
        </is>
      </c>
      <c r="M680" t="inlineStr">
        <is>
          <t>2004</t>
        </is>
      </c>
      <c r="O680" t="inlineStr">
        <is>
          <t>eng</t>
        </is>
      </c>
      <c r="P680" t="inlineStr">
        <is>
          <t>mau</t>
        </is>
      </c>
      <c r="R680" t="inlineStr">
        <is>
          <t xml:space="preserve">QL </t>
        </is>
      </c>
      <c r="S680" t="n">
        <v>4</v>
      </c>
      <c r="T680" t="n">
        <v>4</v>
      </c>
      <c r="U680" t="inlineStr">
        <is>
          <t>2005-05-25</t>
        </is>
      </c>
      <c r="V680" t="inlineStr">
        <is>
          <t>2005-05-25</t>
        </is>
      </c>
      <c r="W680" t="inlineStr">
        <is>
          <t>2005-05-25</t>
        </is>
      </c>
      <c r="X680" t="inlineStr">
        <is>
          <t>2005-05-25</t>
        </is>
      </c>
      <c r="Y680" t="n">
        <v>276</v>
      </c>
      <c r="Z680" t="n">
        <v>208</v>
      </c>
      <c r="AA680" t="n">
        <v>228</v>
      </c>
      <c r="AB680" t="n">
        <v>4</v>
      </c>
      <c r="AC680" t="n">
        <v>4</v>
      </c>
      <c r="AD680" t="n">
        <v>11</v>
      </c>
      <c r="AE680" t="n">
        <v>13</v>
      </c>
      <c r="AF680" t="n">
        <v>4</v>
      </c>
      <c r="AG680" t="n">
        <v>5</v>
      </c>
      <c r="AH680" t="n">
        <v>2</v>
      </c>
      <c r="AI680" t="n">
        <v>2</v>
      </c>
      <c r="AJ680" t="n">
        <v>3</v>
      </c>
      <c r="AK680" t="n">
        <v>5</v>
      </c>
      <c r="AL680" t="n">
        <v>3</v>
      </c>
      <c r="AM680" t="n">
        <v>3</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HYPERLINK("https://creighton-primo.hosted.exlibrisgroup.com/primo-explore/search?tab=default_tab&amp;search_scope=EVERYTHING&amp;vid=01CRU&amp;lang=en_US&amp;offset=0&amp;query=any,contains,991004518559702656","Catalog Record")</f>
        <v/>
      </c>
      <c r="AT680">
        <f>HYPERLINK("http://www.worldcat.org/oclc/55997983","WorldCat Record")</f>
        <v/>
      </c>
      <c r="AU680" t="inlineStr">
        <is>
          <t>364545789:eng</t>
        </is>
      </c>
      <c r="AV680" t="inlineStr">
        <is>
          <t>55997983</t>
        </is>
      </c>
      <c r="AW680" t="inlineStr">
        <is>
          <t>991004518559702656</t>
        </is>
      </c>
      <c r="AX680" t="inlineStr">
        <is>
          <t>991004518559702656</t>
        </is>
      </c>
      <c r="AY680" t="inlineStr">
        <is>
          <t>2260281150002656</t>
        </is>
      </c>
      <c r="AZ680" t="inlineStr">
        <is>
          <t>BOOK</t>
        </is>
      </c>
      <c r="BB680" t="inlineStr">
        <is>
          <t>9781402018206</t>
        </is>
      </c>
      <c r="BC680" t="inlineStr">
        <is>
          <t>32285005090567</t>
        </is>
      </c>
      <c r="BD680" t="inlineStr">
        <is>
          <t>893247670</t>
        </is>
      </c>
    </row>
    <row r="681">
      <c r="A681" t="inlineStr">
        <is>
          <t>No</t>
        </is>
      </c>
      <c r="B681" t="inlineStr">
        <is>
          <t>QL639.1 .S66</t>
        </is>
      </c>
      <c r="C681" t="inlineStr">
        <is>
          <t>0                      QL 0639100S  66</t>
        </is>
      </c>
      <c r="D681" t="inlineStr">
        <is>
          <t>Sound reception in fishes / edited by William N. Tavolga.</t>
        </is>
      </c>
      <c r="F681" t="inlineStr">
        <is>
          <t>No</t>
        </is>
      </c>
      <c r="G681" t="inlineStr">
        <is>
          <t>1</t>
        </is>
      </c>
      <c r="H681" t="inlineStr">
        <is>
          <t>No</t>
        </is>
      </c>
      <c r="I681" t="inlineStr">
        <is>
          <t>No</t>
        </is>
      </c>
      <c r="J681" t="inlineStr">
        <is>
          <t>0</t>
        </is>
      </c>
      <c r="L681" t="inlineStr">
        <is>
          <t>Stroudsburg, Pa. : Dowden, Hutchinson &amp; Ross ; [New York] : distributed by Halsted Press, c1976.</t>
        </is>
      </c>
      <c r="M681" t="inlineStr">
        <is>
          <t>1976</t>
        </is>
      </c>
      <c r="O681" t="inlineStr">
        <is>
          <t>eng</t>
        </is>
      </c>
      <c r="P681" t="inlineStr">
        <is>
          <t>pau</t>
        </is>
      </c>
      <c r="Q681" t="inlineStr">
        <is>
          <t>Benchmark papers in animal behavior ; 7</t>
        </is>
      </c>
      <c r="R681" t="inlineStr">
        <is>
          <t xml:space="preserve">QL </t>
        </is>
      </c>
      <c r="S681" t="n">
        <v>4</v>
      </c>
      <c r="T681" t="n">
        <v>4</v>
      </c>
      <c r="U681" t="inlineStr">
        <is>
          <t>2007-02-04</t>
        </is>
      </c>
      <c r="V681" t="inlineStr">
        <is>
          <t>2007-02-04</t>
        </is>
      </c>
      <c r="W681" t="inlineStr">
        <is>
          <t>1990-02-22</t>
        </is>
      </c>
      <c r="X681" t="inlineStr">
        <is>
          <t>1990-02-22</t>
        </is>
      </c>
      <c r="Y681" t="n">
        <v>342</v>
      </c>
      <c r="Z681" t="n">
        <v>263</v>
      </c>
      <c r="AA681" t="n">
        <v>264</v>
      </c>
      <c r="AB681" t="n">
        <v>4</v>
      </c>
      <c r="AC681" t="n">
        <v>4</v>
      </c>
      <c r="AD681" t="n">
        <v>9</v>
      </c>
      <c r="AE681" t="n">
        <v>9</v>
      </c>
      <c r="AF681" t="n">
        <v>2</v>
      </c>
      <c r="AG681" t="n">
        <v>2</v>
      </c>
      <c r="AH681" t="n">
        <v>3</v>
      </c>
      <c r="AI681" t="n">
        <v>3</v>
      </c>
      <c r="AJ681" t="n">
        <v>4</v>
      </c>
      <c r="AK681" t="n">
        <v>4</v>
      </c>
      <c r="AL681" t="n">
        <v>3</v>
      </c>
      <c r="AM681" t="n">
        <v>3</v>
      </c>
      <c r="AN681" t="n">
        <v>0</v>
      </c>
      <c r="AO681" t="n">
        <v>0</v>
      </c>
      <c r="AP681" t="inlineStr">
        <is>
          <t>No</t>
        </is>
      </c>
      <c r="AQ681" t="inlineStr">
        <is>
          <t>Yes</t>
        </is>
      </c>
      <c r="AR681">
        <f>HYPERLINK("http://catalog.hathitrust.org/Record/000729056","HathiTrust Record")</f>
        <v/>
      </c>
      <c r="AS681">
        <f>HYPERLINK("https://creighton-primo.hosted.exlibrisgroup.com/primo-explore/search?tab=default_tab&amp;search_scope=EVERYTHING&amp;vid=01CRU&amp;lang=en_US&amp;offset=0&amp;query=any,contains,991004075509702656","Catalog Record")</f>
        <v/>
      </c>
      <c r="AT681">
        <f>HYPERLINK("http://www.worldcat.org/oclc/2317975","WorldCat Record")</f>
        <v/>
      </c>
      <c r="AU681" t="inlineStr">
        <is>
          <t>4646612:eng</t>
        </is>
      </c>
      <c r="AV681" t="inlineStr">
        <is>
          <t>2317975</t>
        </is>
      </c>
      <c r="AW681" t="inlineStr">
        <is>
          <t>991004075509702656</t>
        </is>
      </c>
      <c r="AX681" t="inlineStr">
        <is>
          <t>991004075509702656</t>
        </is>
      </c>
      <c r="AY681" t="inlineStr">
        <is>
          <t>2264211210002656</t>
        </is>
      </c>
      <c r="AZ681" t="inlineStr">
        <is>
          <t>BOOK</t>
        </is>
      </c>
      <c r="BB681" t="inlineStr">
        <is>
          <t>9780879332396</t>
        </is>
      </c>
      <c r="BC681" t="inlineStr">
        <is>
          <t>32285000065010</t>
        </is>
      </c>
      <c r="BD681" t="inlineStr">
        <is>
          <t>893869249</t>
        </is>
      </c>
    </row>
    <row r="682">
      <c r="A682" t="inlineStr">
        <is>
          <t>No</t>
        </is>
      </c>
      <c r="B682" t="inlineStr">
        <is>
          <t>QL639.1 .W4 1972</t>
        </is>
      </c>
      <c r="C682" t="inlineStr">
        <is>
          <t>0                      QL 0639100W  4           1972</t>
        </is>
      </c>
      <c r="D682" t="inlineStr">
        <is>
          <t>Growth and ecology of fish populations [by] A. H. Weatherley.</t>
        </is>
      </c>
      <c r="F682" t="inlineStr">
        <is>
          <t>No</t>
        </is>
      </c>
      <c r="G682" t="inlineStr">
        <is>
          <t>1</t>
        </is>
      </c>
      <c r="H682" t="inlineStr">
        <is>
          <t>No</t>
        </is>
      </c>
      <c r="I682" t="inlineStr">
        <is>
          <t>No</t>
        </is>
      </c>
      <c r="J682" t="inlineStr">
        <is>
          <t>0</t>
        </is>
      </c>
      <c r="K682" t="inlineStr">
        <is>
          <t>Weatherley, A. H.</t>
        </is>
      </c>
      <c r="L682" t="inlineStr">
        <is>
          <t>London, New York, Academic Press, 1972.</t>
        </is>
      </c>
      <c r="M682" t="inlineStr">
        <is>
          <t>1972</t>
        </is>
      </c>
      <c r="O682" t="inlineStr">
        <is>
          <t>eng</t>
        </is>
      </c>
      <c r="P682" t="inlineStr">
        <is>
          <t>enk</t>
        </is>
      </c>
      <c r="R682" t="inlineStr">
        <is>
          <t xml:space="preserve">QL </t>
        </is>
      </c>
      <c r="S682" t="n">
        <v>1</v>
      </c>
      <c r="T682" t="n">
        <v>1</v>
      </c>
      <c r="U682" t="inlineStr">
        <is>
          <t>2008-02-22</t>
        </is>
      </c>
      <c r="V682" t="inlineStr">
        <is>
          <t>2008-02-22</t>
        </is>
      </c>
      <c r="W682" t="inlineStr">
        <is>
          <t>1997-07-25</t>
        </is>
      </c>
      <c r="X682" t="inlineStr">
        <is>
          <t>1997-07-25</t>
        </is>
      </c>
      <c r="Y682" t="n">
        <v>608</v>
      </c>
      <c r="Z682" t="n">
        <v>415</v>
      </c>
      <c r="AA682" t="n">
        <v>416</v>
      </c>
      <c r="AB682" t="n">
        <v>6</v>
      </c>
      <c r="AC682" t="n">
        <v>6</v>
      </c>
      <c r="AD682" t="n">
        <v>13</v>
      </c>
      <c r="AE682" t="n">
        <v>13</v>
      </c>
      <c r="AF682" t="n">
        <v>4</v>
      </c>
      <c r="AG682" t="n">
        <v>4</v>
      </c>
      <c r="AH682" t="n">
        <v>1</v>
      </c>
      <c r="AI682" t="n">
        <v>1</v>
      </c>
      <c r="AJ682" t="n">
        <v>5</v>
      </c>
      <c r="AK682" t="n">
        <v>5</v>
      </c>
      <c r="AL682" t="n">
        <v>5</v>
      </c>
      <c r="AM682" t="n">
        <v>5</v>
      </c>
      <c r="AN682" t="n">
        <v>0</v>
      </c>
      <c r="AO682" t="n">
        <v>0</v>
      </c>
      <c r="AP682" t="inlineStr">
        <is>
          <t>No</t>
        </is>
      </c>
      <c r="AQ682" t="inlineStr">
        <is>
          <t>Yes</t>
        </is>
      </c>
      <c r="AR682">
        <f>HYPERLINK("http://catalog.hathitrust.org/Record/000005852","HathiTrust Record")</f>
        <v/>
      </c>
      <c r="AS682">
        <f>HYPERLINK("https://creighton-primo.hosted.exlibrisgroup.com/primo-explore/search?tab=default_tab&amp;search_scope=EVERYTHING&amp;vid=01CRU&amp;lang=en_US&amp;offset=0&amp;query=any,contains,991002733069702656","Catalog Record")</f>
        <v/>
      </c>
      <c r="AT682">
        <f>HYPERLINK("http://www.worldcat.org/oclc/417983","WorldCat Record")</f>
        <v/>
      </c>
      <c r="AU682" t="inlineStr">
        <is>
          <t>1490791:eng</t>
        </is>
      </c>
      <c r="AV682" t="inlineStr">
        <is>
          <t>417983</t>
        </is>
      </c>
      <c r="AW682" t="inlineStr">
        <is>
          <t>991002733069702656</t>
        </is>
      </c>
      <c r="AX682" t="inlineStr">
        <is>
          <t>991002733069702656</t>
        </is>
      </c>
      <c r="AY682" t="inlineStr">
        <is>
          <t>2258359780002656</t>
        </is>
      </c>
      <c r="AZ682" t="inlineStr">
        <is>
          <t>BOOK</t>
        </is>
      </c>
      <c r="BB682" t="inlineStr">
        <is>
          <t>9780127390505</t>
        </is>
      </c>
      <c r="BC682" t="inlineStr">
        <is>
          <t>32285002981719</t>
        </is>
      </c>
      <c r="BD682" t="inlineStr">
        <is>
          <t>893257641</t>
        </is>
      </c>
    </row>
    <row r="683">
      <c r="A683" t="inlineStr">
        <is>
          <t>No</t>
        </is>
      </c>
      <c r="B683" t="inlineStr">
        <is>
          <t>QL639.2 .F58 1984</t>
        </is>
      </c>
      <c r="C683" t="inlineStr">
        <is>
          <t>0                      QL 0639200F  58          1984</t>
        </is>
      </c>
      <c r="D683" t="inlineStr">
        <is>
          <t>Fish reproduction : strategies and tactics / edited by G.W. Potts, R.J. Wootton.</t>
        </is>
      </c>
      <c r="F683" t="inlineStr">
        <is>
          <t>No</t>
        </is>
      </c>
      <c r="G683" t="inlineStr">
        <is>
          <t>1</t>
        </is>
      </c>
      <c r="H683" t="inlineStr">
        <is>
          <t>No</t>
        </is>
      </c>
      <c r="I683" t="inlineStr">
        <is>
          <t>No</t>
        </is>
      </c>
      <c r="J683" t="inlineStr">
        <is>
          <t>0</t>
        </is>
      </c>
      <c r="L683" t="inlineStr">
        <is>
          <t>London ; New York : Academic Press, 1984.</t>
        </is>
      </c>
      <c r="M683" t="inlineStr">
        <is>
          <t>1984</t>
        </is>
      </c>
      <c r="O683" t="inlineStr">
        <is>
          <t>eng</t>
        </is>
      </c>
      <c r="P683" t="inlineStr">
        <is>
          <t>enk</t>
        </is>
      </c>
      <c r="R683" t="inlineStr">
        <is>
          <t xml:space="preserve">QL </t>
        </is>
      </c>
      <c r="S683" t="n">
        <v>16</v>
      </c>
      <c r="T683" t="n">
        <v>16</v>
      </c>
      <c r="U683" t="inlineStr">
        <is>
          <t>2006-02-04</t>
        </is>
      </c>
      <c r="V683" t="inlineStr">
        <is>
          <t>2006-02-04</t>
        </is>
      </c>
      <c r="W683" t="inlineStr">
        <is>
          <t>1993-02-12</t>
        </is>
      </c>
      <c r="X683" t="inlineStr">
        <is>
          <t>1993-02-12</t>
        </is>
      </c>
      <c r="Y683" t="n">
        <v>418</v>
      </c>
      <c r="Z683" t="n">
        <v>276</v>
      </c>
      <c r="AA683" t="n">
        <v>277</v>
      </c>
      <c r="AB683" t="n">
        <v>2</v>
      </c>
      <c r="AC683" t="n">
        <v>2</v>
      </c>
      <c r="AD683" t="n">
        <v>4</v>
      </c>
      <c r="AE683" t="n">
        <v>4</v>
      </c>
      <c r="AF683" t="n">
        <v>1</v>
      </c>
      <c r="AG683" t="n">
        <v>1</v>
      </c>
      <c r="AH683" t="n">
        <v>1</v>
      </c>
      <c r="AI683" t="n">
        <v>1</v>
      </c>
      <c r="AJ683" t="n">
        <v>2</v>
      </c>
      <c r="AK683" t="n">
        <v>2</v>
      </c>
      <c r="AL683" t="n">
        <v>1</v>
      </c>
      <c r="AM683" t="n">
        <v>1</v>
      </c>
      <c r="AN683" t="n">
        <v>0</v>
      </c>
      <c r="AO683" t="n">
        <v>0</v>
      </c>
      <c r="AP683" t="inlineStr">
        <is>
          <t>No</t>
        </is>
      </c>
      <c r="AQ683" t="inlineStr">
        <is>
          <t>Yes</t>
        </is>
      </c>
      <c r="AR683">
        <f>HYPERLINK("http://catalog.hathitrust.org/Record/000209628","HathiTrust Record")</f>
        <v/>
      </c>
      <c r="AS683">
        <f>HYPERLINK("https://creighton-primo.hosted.exlibrisgroup.com/primo-explore/search?tab=default_tab&amp;search_scope=EVERYTHING&amp;vid=01CRU&amp;lang=en_US&amp;offset=0&amp;query=any,contains,991000402819702656","Catalog Record")</f>
        <v/>
      </c>
      <c r="AT683">
        <f>HYPERLINK("http://www.worldcat.org/oclc/10636786","WorldCat Record")</f>
        <v/>
      </c>
      <c r="AU683" t="inlineStr">
        <is>
          <t>796044093:eng</t>
        </is>
      </c>
      <c r="AV683" t="inlineStr">
        <is>
          <t>10636786</t>
        </is>
      </c>
      <c r="AW683" t="inlineStr">
        <is>
          <t>991000402819702656</t>
        </is>
      </c>
      <c r="AX683" t="inlineStr">
        <is>
          <t>991000402819702656</t>
        </is>
      </c>
      <c r="AY683" t="inlineStr">
        <is>
          <t>2269229450002656</t>
        </is>
      </c>
      <c r="AZ683" t="inlineStr">
        <is>
          <t>BOOK</t>
        </is>
      </c>
      <c r="BB683" t="inlineStr">
        <is>
          <t>9780125636605</t>
        </is>
      </c>
      <c r="BC683" t="inlineStr">
        <is>
          <t>32285001532836</t>
        </is>
      </c>
      <c r="BD683" t="inlineStr">
        <is>
          <t>893902986</t>
        </is>
      </c>
    </row>
    <row r="684">
      <c r="A684" t="inlineStr">
        <is>
          <t>No</t>
        </is>
      </c>
      <c r="B684" t="inlineStr">
        <is>
          <t>QL639.2 .I58 1995</t>
        </is>
      </c>
      <c r="C684" t="inlineStr">
        <is>
          <t>0                      QL 0639200I  58          1995</t>
        </is>
      </c>
      <c r="D684" t="inlineStr">
        <is>
          <t>Proceedings of the Fifth International Symposium on the Reproductive Physiology of Fish : the University of Texas at Austin, Austin, Texas U.S.A., 2-8 July 1995 / edited by F.W. Goetz and P. Thomas.</t>
        </is>
      </c>
      <c r="F684" t="inlineStr">
        <is>
          <t>No</t>
        </is>
      </c>
      <c r="G684" t="inlineStr">
        <is>
          <t>1</t>
        </is>
      </c>
      <c r="H684" t="inlineStr">
        <is>
          <t>No</t>
        </is>
      </c>
      <c r="I684" t="inlineStr">
        <is>
          <t>No</t>
        </is>
      </c>
      <c r="J684" t="inlineStr">
        <is>
          <t>0</t>
        </is>
      </c>
      <c r="K684" t="inlineStr">
        <is>
          <t>International Symposium on Reproductive Physiology of Fish (5th : 1995 : University of Texas at Austin)</t>
        </is>
      </c>
      <c r="L684" t="inlineStr">
        <is>
          <t>Austin : Fish Symposium 95, c1995.</t>
        </is>
      </c>
      <c r="M684" t="inlineStr">
        <is>
          <t>1995</t>
        </is>
      </c>
      <c r="O684" t="inlineStr">
        <is>
          <t>eng</t>
        </is>
      </c>
      <c r="P684" t="inlineStr">
        <is>
          <t>txu</t>
        </is>
      </c>
      <c r="R684" t="inlineStr">
        <is>
          <t xml:space="preserve">QL </t>
        </is>
      </c>
      <c r="S684" t="n">
        <v>5</v>
      </c>
      <c r="T684" t="n">
        <v>5</v>
      </c>
      <c r="U684" t="inlineStr">
        <is>
          <t>2006-03-22</t>
        </is>
      </c>
      <c r="V684" t="inlineStr">
        <is>
          <t>2006-03-22</t>
        </is>
      </c>
      <c r="W684" t="inlineStr">
        <is>
          <t>1996-08-01</t>
        </is>
      </c>
      <c r="X684" t="inlineStr">
        <is>
          <t>1996-08-01</t>
        </is>
      </c>
      <c r="Y684" t="n">
        <v>170</v>
      </c>
      <c r="Z684" t="n">
        <v>119</v>
      </c>
      <c r="AA684" t="n">
        <v>121</v>
      </c>
      <c r="AB684" t="n">
        <v>2</v>
      </c>
      <c r="AC684" t="n">
        <v>2</v>
      </c>
      <c r="AD684" t="n">
        <v>2</v>
      </c>
      <c r="AE684" t="n">
        <v>2</v>
      </c>
      <c r="AF684" t="n">
        <v>0</v>
      </c>
      <c r="AG684" t="n">
        <v>0</v>
      </c>
      <c r="AH684" t="n">
        <v>1</v>
      </c>
      <c r="AI684" t="n">
        <v>1</v>
      </c>
      <c r="AJ684" t="n">
        <v>0</v>
      </c>
      <c r="AK684" t="n">
        <v>0</v>
      </c>
      <c r="AL684" t="n">
        <v>1</v>
      </c>
      <c r="AM684" t="n">
        <v>1</v>
      </c>
      <c r="AN684" t="n">
        <v>0</v>
      </c>
      <c r="AO684" t="n">
        <v>0</v>
      </c>
      <c r="AP684" t="inlineStr">
        <is>
          <t>No</t>
        </is>
      </c>
      <c r="AQ684" t="inlineStr">
        <is>
          <t>Yes</t>
        </is>
      </c>
      <c r="AR684">
        <f>HYPERLINK("http://catalog.hathitrust.org/Record/003081201","HathiTrust Record")</f>
        <v/>
      </c>
      <c r="AS684">
        <f>HYPERLINK("https://creighton-primo.hosted.exlibrisgroup.com/primo-explore/search?tab=default_tab&amp;search_scope=EVERYTHING&amp;vid=01CRU&amp;lang=en_US&amp;offset=0&amp;query=any,contains,991002635549702656","Catalog Record")</f>
        <v/>
      </c>
      <c r="AT684">
        <f>HYPERLINK("http://www.worldcat.org/oclc/34521762","WorldCat Record")</f>
        <v/>
      </c>
      <c r="AU684" t="inlineStr">
        <is>
          <t>150519357:eng</t>
        </is>
      </c>
      <c r="AV684" t="inlineStr">
        <is>
          <t>34521762</t>
        </is>
      </c>
      <c r="AW684" t="inlineStr">
        <is>
          <t>991002635549702656</t>
        </is>
      </c>
      <c r="AX684" t="inlineStr">
        <is>
          <t>991002635549702656</t>
        </is>
      </c>
      <c r="AY684" t="inlineStr">
        <is>
          <t>2257889650002656</t>
        </is>
      </c>
      <c r="AZ684" t="inlineStr">
        <is>
          <t>BOOK</t>
        </is>
      </c>
      <c r="BC684" t="inlineStr">
        <is>
          <t>32285002209087</t>
        </is>
      </c>
      <c r="BD684" t="inlineStr">
        <is>
          <t>893262385</t>
        </is>
      </c>
    </row>
    <row r="685">
      <c r="A685" t="inlineStr">
        <is>
          <t>No</t>
        </is>
      </c>
      <c r="B685" t="inlineStr">
        <is>
          <t>QL639.2 .T5 1984</t>
        </is>
      </c>
      <c r="C685" t="inlineStr">
        <is>
          <t>0                      QL 0639200T  5           1984</t>
        </is>
      </c>
      <c r="D685" t="inlineStr">
        <is>
          <t>Reproduction in reef fishes / R.E. Thresher.</t>
        </is>
      </c>
      <c r="F685" t="inlineStr">
        <is>
          <t>No</t>
        </is>
      </c>
      <c r="G685" t="inlineStr">
        <is>
          <t>1</t>
        </is>
      </c>
      <c r="H685" t="inlineStr">
        <is>
          <t>No</t>
        </is>
      </c>
      <c r="I685" t="inlineStr">
        <is>
          <t>No</t>
        </is>
      </c>
      <c r="J685" t="inlineStr">
        <is>
          <t>0</t>
        </is>
      </c>
      <c r="K685" t="inlineStr">
        <is>
          <t>Thresher, Ronald E., 1949-</t>
        </is>
      </c>
      <c r="L685" t="inlineStr">
        <is>
          <t>Neptune City, N.J. : T.F.H. Publications, Inc., c1984.</t>
        </is>
      </c>
      <c r="M685" t="inlineStr">
        <is>
          <t>1984</t>
        </is>
      </c>
      <c r="O685" t="inlineStr">
        <is>
          <t>eng</t>
        </is>
      </c>
      <c r="P685" t="inlineStr">
        <is>
          <t>nju</t>
        </is>
      </c>
      <c r="R685" t="inlineStr">
        <is>
          <t xml:space="preserve">QL </t>
        </is>
      </c>
      <c r="S685" t="n">
        <v>15</v>
      </c>
      <c r="T685" t="n">
        <v>15</v>
      </c>
      <c r="U685" t="inlineStr">
        <is>
          <t>2008-07-10</t>
        </is>
      </c>
      <c r="V685" t="inlineStr">
        <is>
          <t>2008-07-10</t>
        </is>
      </c>
      <c r="W685" t="inlineStr">
        <is>
          <t>1992-03-12</t>
        </is>
      </c>
      <c r="X685" t="inlineStr">
        <is>
          <t>1992-03-12</t>
        </is>
      </c>
      <c r="Y685" t="n">
        <v>272</v>
      </c>
      <c r="Z685" t="n">
        <v>217</v>
      </c>
      <c r="AA685" t="n">
        <v>224</v>
      </c>
      <c r="AB685" t="n">
        <v>1</v>
      </c>
      <c r="AC685" t="n">
        <v>1</v>
      </c>
      <c r="AD685" t="n">
        <v>5</v>
      </c>
      <c r="AE685" t="n">
        <v>5</v>
      </c>
      <c r="AF685" t="n">
        <v>3</v>
      </c>
      <c r="AG685" t="n">
        <v>3</v>
      </c>
      <c r="AH685" t="n">
        <v>2</v>
      </c>
      <c r="AI685" t="n">
        <v>2</v>
      </c>
      <c r="AJ685" t="n">
        <v>2</v>
      </c>
      <c r="AK685" t="n">
        <v>2</v>
      </c>
      <c r="AL685" t="n">
        <v>0</v>
      </c>
      <c r="AM685" t="n">
        <v>0</v>
      </c>
      <c r="AN685" t="n">
        <v>0</v>
      </c>
      <c r="AO685" t="n">
        <v>0</v>
      </c>
      <c r="AP685" t="inlineStr">
        <is>
          <t>No</t>
        </is>
      </c>
      <c r="AQ685" t="inlineStr">
        <is>
          <t>Yes</t>
        </is>
      </c>
      <c r="AR685">
        <f>HYPERLINK("http://catalog.hathitrust.org/Record/000570936","HathiTrust Record")</f>
        <v/>
      </c>
      <c r="AS685">
        <f>HYPERLINK("https://creighton-primo.hosted.exlibrisgroup.com/primo-explore/search?tab=default_tab&amp;search_scope=EVERYTHING&amp;vid=01CRU&amp;lang=en_US&amp;offset=0&amp;query=any,contains,991000496289702656","Catalog Record")</f>
        <v/>
      </c>
      <c r="AT685">
        <f>HYPERLINK("http://www.worldcat.org/oclc/11137349","WorldCat Record")</f>
        <v/>
      </c>
      <c r="AU685" t="inlineStr">
        <is>
          <t>4113267:eng</t>
        </is>
      </c>
      <c r="AV685" t="inlineStr">
        <is>
          <t>11137349</t>
        </is>
      </c>
      <c r="AW685" t="inlineStr">
        <is>
          <t>991000496289702656</t>
        </is>
      </c>
      <c r="AX685" t="inlineStr">
        <is>
          <t>991000496289702656</t>
        </is>
      </c>
      <c r="AY685" t="inlineStr">
        <is>
          <t>2264005080002656</t>
        </is>
      </c>
      <c r="AZ685" t="inlineStr">
        <is>
          <t>BOOK</t>
        </is>
      </c>
      <c r="BB685" t="inlineStr">
        <is>
          <t>9780876668085</t>
        </is>
      </c>
      <c r="BC685" t="inlineStr">
        <is>
          <t>32285000998210</t>
        </is>
      </c>
      <c r="BD685" t="inlineStr">
        <is>
          <t>893796706</t>
        </is>
      </c>
    </row>
    <row r="686">
      <c r="A686" t="inlineStr">
        <is>
          <t>No</t>
        </is>
      </c>
      <c r="B686" t="inlineStr">
        <is>
          <t>QL639.3 .B43</t>
        </is>
      </c>
      <c r="C686" t="inlineStr">
        <is>
          <t>0                      QL 0639300B  43</t>
        </is>
      </c>
      <c r="D686" t="inlineStr">
        <is>
          <t>The Behavior of fish and other aquatic animals / edited by David I. Mostofsky.</t>
        </is>
      </c>
      <c r="F686" t="inlineStr">
        <is>
          <t>No</t>
        </is>
      </c>
      <c r="G686" t="inlineStr">
        <is>
          <t>1</t>
        </is>
      </c>
      <c r="H686" t="inlineStr">
        <is>
          <t>No</t>
        </is>
      </c>
      <c r="I686" t="inlineStr">
        <is>
          <t>No</t>
        </is>
      </c>
      <c r="J686" t="inlineStr">
        <is>
          <t>0</t>
        </is>
      </c>
      <c r="L686" t="inlineStr">
        <is>
          <t>New York : Academic Press, 1978.</t>
        </is>
      </c>
      <c r="M686" t="inlineStr">
        <is>
          <t>1978</t>
        </is>
      </c>
      <c r="O686" t="inlineStr">
        <is>
          <t>eng</t>
        </is>
      </c>
      <c r="P686" t="inlineStr">
        <is>
          <t>nyu</t>
        </is>
      </c>
      <c r="R686" t="inlineStr">
        <is>
          <t xml:space="preserve">QL </t>
        </is>
      </c>
      <c r="S686" t="n">
        <v>16</v>
      </c>
      <c r="T686" t="n">
        <v>16</v>
      </c>
      <c r="U686" t="inlineStr">
        <is>
          <t>2000-12-15</t>
        </is>
      </c>
      <c r="V686" t="inlineStr">
        <is>
          <t>2000-12-15</t>
        </is>
      </c>
      <c r="W686" t="inlineStr">
        <is>
          <t>1992-04-16</t>
        </is>
      </c>
      <c r="X686" t="inlineStr">
        <is>
          <t>1992-04-16</t>
        </is>
      </c>
      <c r="Y686" t="n">
        <v>495</v>
      </c>
      <c r="Z686" t="n">
        <v>368</v>
      </c>
      <c r="AA686" t="n">
        <v>411</v>
      </c>
      <c r="AB686" t="n">
        <v>2</v>
      </c>
      <c r="AC686" t="n">
        <v>3</v>
      </c>
      <c r="AD686" t="n">
        <v>6</v>
      </c>
      <c r="AE686" t="n">
        <v>9</v>
      </c>
      <c r="AF686" t="n">
        <v>3</v>
      </c>
      <c r="AG686" t="n">
        <v>4</v>
      </c>
      <c r="AH686" t="n">
        <v>1</v>
      </c>
      <c r="AI686" t="n">
        <v>3</v>
      </c>
      <c r="AJ686" t="n">
        <v>2</v>
      </c>
      <c r="AK686" t="n">
        <v>2</v>
      </c>
      <c r="AL686" t="n">
        <v>1</v>
      </c>
      <c r="AM686" t="n">
        <v>2</v>
      </c>
      <c r="AN686" t="n">
        <v>0</v>
      </c>
      <c r="AO686" t="n">
        <v>0</v>
      </c>
      <c r="AP686" t="inlineStr">
        <is>
          <t>No</t>
        </is>
      </c>
      <c r="AQ686" t="inlineStr">
        <is>
          <t>Yes</t>
        </is>
      </c>
      <c r="AR686">
        <f>HYPERLINK("http://catalog.hathitrust.org/Record/000087321","HathiTrust Record")</f>
        <v/>
      </c>
      <c r="AS686">
        <f>HYPERLINK("https://creighton-primo.hosted.exlibrisgroup.com/primo-explore/search?tab=default_tab&amp;search_scope=EVERYTHING&amp;vid=01CRU&amp;lang=en_US&amp;offset=0&amp;query=any,contains,991004444489702656","Catalog Record")</f>
        <v/>
      </c>
      <c r="AT686">
        <f>HYPERLINK("http://www.worldcat.org/oclc/3480658","WorldCat Record")</f>
        <v/>
      </c>
      <c r="AU686" t="inlineStr">
        <is>
          <t>54199924:eng</t>
        </is>
      </c>
      <c r="AV686" t="inlineStr">
        <is>
          <t>3480658</t>
        </is>
      </c>
      <c r="AW686" t="inlineStr">
        <is>
          <t>991004444489702656</t>
        </is>
      </c>
      <c r="AX686" t="inlineStr">
        <is>
          <t>991004444489702656</t>
        </is>
      </c>
      <c r="AY686" t="inlineStr">
        <is>
          <t>2265140230002656</t>
        </is>
      </c>
      <c r="AZ686" t="inlineStr">
        <is>
          <t>BOOK</t>
        </is>
      </c>
      <c r="BB686" t="inlineStr">
        <is>
          <t>9780125092500</t>
        </is>
      </c>
      <c r="BC686" t="inlineStr">
        <is>
          <t>32285001068799</t>
        </is>
      </c>
      <c r="BD686" t="inlineStr">
        <is>
          <t>893599844</t>
        </is>
      </c>
    </row>
    <row r="687">
      <c r="A687" t="inlineStr">
        <is>
          <t>No</t>
        </is>
      </c>
      <c r="B687" t="inlineStr">
        <is>
          <t>QL639.3 .B44 1993</t>
        </is>
      </c>
      <c r="C687" t="inlineStr">
        <is>
          <t>0                      QL 0639300B  44          1993</t>
        </is>
      </c>
      <c r="D687" t="inlineStr">
        <is>
          <t>Behaviour of teleost fishes / edited by Tony J. Pitcher.</t>
        </is>
      </c>
      <c r="F687" t="inlineStr">
        <is>
          <t>No</t>
        </is>
      </c>
      <c r="G687" t="inlineStr">
        <is>
          <t>1</t>
        </is>
      </c>
      <c r="H687" t="inlineStr">
        <is>
          <t>No</t>
        </is>
      </c>
      <c r="I687" t="inlineStr">
        <is>
          <t>No</t>
        </is>
      </c>
      <c r="J687" t="inlineStr">
        <is>
          <t>0</t>
        </is>
      </c>
      <c r="L687" t="inlineStr">
        <is>
          <t>London ; New York : Chapman &amp; Hall, 1993.</t>
        </is>
      </c>
      <c r="M687" t="inlineStr">
        <is>
          <t>1993</t>
        </is>
      </c>
      <c r="N687" t="inlineStr">
        <is>
          <t>2nd ed.</t>
        </is>
      </c>
      <c r="O687" t="inlineStr">
        <is>
          <t>eng</t>
        </is>
      </c>
      <c r="P687" t="inlineStr">
        <is>
          <t>enk</t>
        </is>
      </c>
      <c r="Q687" t="inlineStr">
        <is>
          <t>Fish and fisheries series ; 7</t>
        </is>
      </c>
      <c r="R687" t="inlineStr">
        <is>
          <t xml:space="preserve">QL </t>
        </is>
      </c>
      <c r="S687" t="n">
        <v>12</v>
      </c>
      <c r="T687" t="n">
        <v>12</v>
      </c>
      <c r="U687" t="inlineStr">
        <is>
          <t>2008-05-20</t>
        </is>
      </c>
      <c r="V687" t="inlineStr">
        <is>
          <t>2008-05-20</t>
        </is>
      </c>
      <c r="W687" t="inlineStr">
        <is>
          <t>1996-06-06</t>
        </is>
      </c>
      <c r="X687" t="inlineStr">
        <is>
          <t>1996-06-06</t>
        </is>
      </c>
      <c r="Y687" t="n">
        <v>322</v>
      </c>
      <c r="Z687" t="n">
        <v>204</v>
      </c>
      <c r="AA687" t="n">
        <v>204</v>
      </c>
      <c r="AB687" t="n">
        <v>3</v>
      </c>
      <c r="AC687" t="n">
        <v>3</v>
      </c>
      <c r="AD687" t="n">
        <v>7</v>
      </c>
      <c r="AE687" t="n">
        <v>7</v>
      </c>
      <c r="AF687" t="n">
        <v>2</v>
      </c>
      <c r="AG687" t="n">
        <v>2</v>
      </c>
      <c r="AH687" t="n">
        <v>1</v>
      </c>
      <c r="AI687" t="n">
        <v>1</v>
      </c>
      <c r="AJ687" t="n">
        <v>3</v>
      </c>
      <c r="AK687" t="n">
        <v>3</v>
      </c>
      <c r="AL687" t="n">
        <v>2</v>
      </c>
      <c r="AM687" t="n">
        <v>2</v>
      </c>
      <c r="AN687" t="n">
        <v>0</v>
      </c>
      <c r="AO687" t="n">
        <v>0</v>
      </c>
      <c r="AP687" t="inlineStr">
        <is>
          <t>No</t>
        </is>
      </c>
      <c r="AQ687" t="inlineStr">
        <is>
          <t>No</t>
        </is>
      </c>
      <c r="AS687">
        <f>HYPERLINK("https://creighton-primo.hosted.exlibrisgroup.com/primo-explore/search?tab=default_tab&amp;search_scope=EVERYTHING&amp;vid=01CRU&amp;lang=en_US&amp;offset=0&amp;query=any,contains,991002079449702656","Catalog Record")</f>
        <v/>
      </c>
      <c r="AT687">
        <f>HYPERLINK("http://www.worldcat.org/oclc/26672472","WorldCat Record")</f>
        <v/>
      </c>
      <c r="AU687" t="inlineStr">
        <is>
          <t>2789059482:eng</t>
        </is>
      </c>
      <c r="AV687" t="inlineStr">
        <is>
          <t>26672472</t>
        </is>
      </c>
      <c r="AW687" t="inlineStr">
        <is>
          <t>991002079449702656</t>
        </is>
      </c>
      <c r="AX687" t="inlineStr">
        <is>
          <t>991002079449702656</t>
        </is>
      </c>
      <c r="AY687" t="inlineStr">
        <is>
          <t>2268586680002656</t>
        </is>
      </c>
      <c r="AZ687" t="inlineStr">
        <is>
          <t>BOOK</t>
        </is>
      </c>
      <c r="BB687" t="inlineStr">
        <is>
          <t>9780412429309</t>
        </is>
      </c>
      <c r="BC687" t="inlineStr">
        <is>
          <t>32285002188927</t>
        </is>
      </c>
      <c r="BD687" t="inlineStr">
        <is>
          <t>893809296</t>
        </is>
      </c>
    </row>
    <row r="688">
      <c r="A688" t="inlineStr">
        <is>
          <t>No</t>
        </is>
      </c>
      <c r="B688" t="inlineStr">
        <is>
          <t>QL639.3 .S68</t>
        </is>
      </c>
      <c r="C688" t="inlineStr">
        <is>
          <t>0                      QL 0639300S  68</t>
        </is>
      </c>
      <c r="D688" t="inlineStr">
        <is>
          <t>Sound production in fishes / edited by William N. Tavolga. --</t>
        </is>
      </c>
      <c r="F688" t="inlineStr">
        <is>
          <t>No</t>
        </is>
      </c>
      <c r="G688" t="inlineStr">
        <is>
          <t>1</t>
        </is>
      </c>
      <c r="H688" t="inlineStr">
        <is>
          <t>No</t>
        </is>
      </c>
      <c r="I688" t="inlineStr">
        <is>
          <t>No</t>
        </is>
      </c>
      <c r="J688" t="inlineStr">
        <is>
          <t>0</t>
        </is>
      </c>
      <c r="L688" t="inlineStr">
        <is>
          <t>Stroudsburg, Pa. : Dowden, Hutchinson &amp; Ross ; [New York] : distributed by Halsted Press, c1977.</t>
        </is>
      </c>
      <c r="M688" t="inlineStr">
        <is>
          <t>1977</t>
        </is>
      </c>
      <c r="O688" t="inlineStr">
        <is>
          <t>eng</t>
        </is>
      </c>
      <c r="P688" t="inlineStr">
        <is>
          <t>pau</t>
        </is>
      </c>
      <c r="Q688" t="inlineStr">
        <is>
          <t>Benchmark papers in animal behavior ; 9</t>
        </is>
      </c>
      <c r="R688" t="inlineStr">
        <is>
          <t xml:space="preserve">QL </t>
        </is>
      </c>
      <c r="S688" t="n">
        <v>5</v>
      </c>
      <c r="T688" t="n">
        <v>5</v>
      </c>
      <c r="U688" t="inlineStr">
        <is>
          <t>2008-05-20</t>
        </is>
      </c>
      <c r="V688" t="inlineStr">
        <is>
          <t>2008-05-20</t>
        </is>
      </c>
      <c r="W688" t="inlineStr">
        <is>
          <t>1990-02-21</t>
        </is>
      </c>
      <c r="X688" t="inlineStr">
        <is>
          <t>1990-02-21</t>
        </is>
      </c>
      <c r="Y688" t="n">
        <v>248</v>
      </c>
      <c r="Z688" t="n">
        <v>204</v>
      </c>
      <c r="AA688" t="n">
        <v>218</v>
      </c>
      <c r="AB688" t="n">
        <v>3</v>
      </c>
      <c r="AC688" t="n">
        <v>3</v>
      </c>
      <c r="AD688" t="n">
        <v>4</v>
      </c>
      <c r="AE688" t="n">
        <v>4</v>
      </c>
      <c r="AF688" t="n">
        <v>0</v>
      </c>
      <c r="AG688" t="n">
        <v>0</v>
      </c>
      <c r="AH688" t="n">
        <v>1</v>
      </c>
      <c r="AI688" t="n">
        <v>1</v>
      </c>
      <c r="AJ688" t="n">
        <v>1</v>
      </c>
      <c r="AK688" t="n">
        <v>1</v>
      </c>
      <c r="AL688" t="n">
        <v>2</v>
      </c>
      <c r="AM688" t="n">
        <v>2</v>
      </c>
      <c r="AN688" t="n">
        <v>0</v>
      </c>
      <c r="AO688" t="n">
        <v>0</v>
      </c>
      <c r="AP688" t="inlineStr">
        <is>
          <t>No</t>
        </is>
      </c>
      <c r="AQ688" t="inlineStr">
        <is>
          <t>Yes</t>
        </is>
      </c>
      <c r="AR688">
        <f>HYPERLINK("http://catalog.hathitrust.org/Record/000737955","HathiTrust Record")</f>
        <v/>
      </c>
      <c r="AS688">
        <f>HYPERLINK("https://creighton-primo.hosted.exlibrisgroup.com/primo-explore/search?tab=default_tab&amp;search_scope=EVERYTHING&amp;vid=01CRU&amp;lang=en_US&amp;offset=0&amp;query=any,contains,991004108199702656","Catalog Record")</f>
        <v/>
      </c>
      <c r="AT688">
        <f>HYPERLINK("http://www.worldcat.org/oclc/2388278","WorldCat Record")</f>
        <v/>
      </c>
      <c r="AU688" t="inlineStr">
        <is>
          <t>54128833:eng</t>
        </is>
      </c>
      <c r="AV688" t="inlineStr">
        <is>
          <t>2388278</t>
        </is>
      </c>
      <c r="AW688" t="inlineStr">
        <is>
          <t>991004108199702656</t>
        </is>
      </c>
      <c r="AX688" t="inlineStr">
        <is>
          <t>991004108199702656</t>
        </is>
      </c>
      <c r="AY688" t="inlineStr">
        <is>
          <t>2259324120002656</t>
        </is>
      </c>
      <c r="AZ688" t="inlineStr">
        <is>
          <t>BOOK</t>
        </is>
      </c>
      <c r="BB688" t="inlineStr">
        <is>
          <t>9780879332617</t>
        </is>
      </c>
      <c r="BC688" t="inlineStr">
        <is>
          <t>32285000055441</t>
        </is>
      </c>
      <c r="BD688" t="inlineStr">
        <is>
          <t>893337331</t>
        </is>
      </c>
    </row>
    <row r="689">
      <c r="A689" t="inlineStr">
        <is>
          <t>No</t>
        </is>
      </c>
      <c r="B689" t="inlineStr">
        <is>
          <t>QL639.5 .H29 1968</t>
        </is>
      </c>
      <c r="C689" t="inlineStr">
        <is>
          <t>0                      QL 0639500H  29          1968</t>
        </is>
      </c>
      <c r="D689" t="inlineStr">
        <is>
          <t>Fish migration [by] F. R. Harden Jones. Illustrated by H. E. Jenner.</t>
        </is>
      </c>
      <c r="F689" t="inlineStr">
        <is>
          <t>No</t>
        </is>
      </c>
      <c r="G689" t="inlineStr">
        <is>
          <t>1</t>
        </is>
      </c>
      <c r="H689" t="inlineStr">
        <is>
          <t>No</t>
        </is>
      </c>
      <c r="I689" t="inlineStr">
        <is>
          <t>No</t>
        </is>
      </c>
      <c r="J689" t="inlineStr">
        <is>
          <t>0</t>
        </is>
      </c>
      <c r="K689" t="inlineStr">
        <is>
          <t>Harden Jones, F. R.</t>
        </is>
      </c>
      <c r="L689" t="inlineStr">
        <is>
          <t>New York, St. Martin's Press, 1968.</t>
        </is>
      </c>
      <c r="M689" t="inlineStr">
        <is>
          <t>1968</t>
        </is>
      </c>
      <c r="O689" t="inlineStr">
        <is>
          <t>eng</t>
        </is>
      </c>
      <c r="P689" t="inlineStr">
        <is>
          <t>nyu</t>
        </is>
      </c>
      <c r="R689" t="inlineStr">
        <is>
          <t xml:space="preserve">QL </t>
        </is>
      </c>
      <c r="S689" t="n">
        <v>4</v>
      </c>
      <c r="T689" t="n">
        <v>4</v>
      </c>
      <c r="U689" t="inlineStr">
        <is>
          <t>2008-07-15</t>
        </is>
      </c>
      <c r="V689" t="inlineStr">
        <is>
          <t>2008-07-15</t>
        </is>
      </c>
      <c r="W689" t="inlineStr">
        <is>
          <t>1997-07-25</t>
        </is>
      </c>
      <c r="X689" t="inlineStr">
        <is>
          <t>1997-07-25</t>
        </is>
      </c>
      <c r="Y689" t="n">
        <v>187</v>
      </c>
      <c r="Z689" t="n">
        <v>173</v>
      </c>
      <c r="AA689" t="n">
        <v>407</v>
      </c>
      <c r="AB689" t="n">
        <v>3</v>
      </c>
      <c r="AC689" t="n">
        <v>5</v>
      </c>
      <c r="AD689" t="n">
        <v>8</v>
      </c>
      <c r="AE689" t="n">
        <v>18</v>
      </c>
      <c r="AF689" t="n">
        <v>2</v>
      </c>
      <c r="AG689" t="n">
        <v>5</v>
      </c>
      <c r="AH689" t="n">
        <v>1</v>
      </c>
      <c r="AI689" t="n">
        <v>4</v>
      </c>
      <c r="AJ689" t="n">
        <v>4</v>
      </c>
      <c r="AK689" t="n">
        <v>10</v>
      </c>
      <c r="AL689" t="n">
        <v>2</v>
      </c>
      <c r="AM689" t="n">
        <v>4</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HYPERLINK("https://creighton-primo.hosted.exlibrisgroup.com/primo-explore/search?tab=default_tab&amp;search_scope=EVERYTHING&amp;vid=01CRU&amp;lang=en_US&amp;offset=0&amp;query=any,contains,991002789049702656","Catalog Record")</f>
        <v/>
      </c>
      <c r="AT689">
        <f>HYPERLINK("http://www.worldcat.org/oclc/442748","WorldCat Record")</f>
        <v/>
      </c>
      <c r="AU689" t="inlineStr">
        <is>
          <t>1331006:eng</t>
        </is>
      </c>
      <c r="AV689" t="inlineStr">
        <is>
          <t>442748</t>
        </is>
      </c>
      <c r="AW689" t="inlineStr">
        <is>
          <t>991002789049702656</t>
        </is>
      </c>
      <c r="AX689" t="inlineStr">
        <is>
          <t>991002789049702656</t>
        </is>
      </c>
      <c r="AY689" t="inlineStr">
        <is>
          <t>2255994790002656</t>
        </is>
      </c>
      <c r="AZ689" t="inlineStr">
        <is>
          <t>BOOK</t>
        </is>
      </c>
      <c r="BC689" t="inlineStr">
        <is>
          <t>32285002981743</t>
        </is>
      </c>
      <c r="BD689" t="inlineStr">
        <is>
          <t>893440526</t>
        </is>
      </c>
    </row>
    <row r="690">
      <c r="A690" t="inlineStr">
        <is>
          <t>No</t>
        </is>
      </c>
      <c r="B690" t="inlineStr">
        <is>
          <t>QL639.5 .M42 1984</t>
        </is>
      </c>
      <c r="C690" t="inlineStr">
        <is>
          <t>0                      QL 0639500M  42          1984</t>
        </is>
      </c>
      <c r="D690" t="inlineStr">
        <is>
          <t>Fish migration / Brian A. McKeown.</t>
        </is>
      </c>
      <c r="F690" t="inlineStr">
        <is>
          <t>No</t>
        </is>
      </c>
      <c r="G690" t="inlineStr">
        <is>
          <t>1</t>
        </is>
      </c>
      <c r="H690" t="inlineStr">
        <is>
          <t>No</t>
        </is>
      </c>
      <c r="I690" t="inlineStr">
        <is>
          <t>No</t>
        </is>
      </c>
      <c r="J690" t="inlineStr">
        <is>
          <t>0</t>
        </is>
      </c>
      <c r="K690" t="inlineStr">
        <is>
          <t>McKeown, Brian A.</t>
        </is>
      </c>
      <c r="L690" t="inlineStr">
        <is>
          <t>London : Croom Helm, c1984.</t>
        </is>
      </c>
      <c r="M690" t="inlineStr">
        <is>
          <t>1984</t>
        </is>
      </c>
      <c r="O690" t="inlineStr">
        <is>
          <t>eng</t>
        </is>
      </c>
      <c r="P690" t="inlineStr">
        <is>
          <t>enk</t>
        </is>
      </c>
      <c r="R690" t="inlineStr">
        <is>
          <t xml:space="preserve">QL </t>
        </is>
      </c>
      <c r="S690" t="n">
        <v>8</v>
      </c>
      <c r="T690" t="n">
        <v>8</v>
      </c>
      <c r="U690" t="inlineStr">
        <is>
          <t>2008-07-15</t>
        </is>
      </c>
      <c r="V690" t="inlineStr">
        <is>
          <t>2008-07-15</t>
        </is>
      </c>
      <c r="W690" t="inlineStr">
        <is>
          <t>1993-02-12</t>
        </is>
      </c>
      <c r="X690" t="inlineStr">
        <is>
          <t>1993-02-12</t>
        </is>
      </c>
      <c r="Y690" t="n">
        <v>369</v>
      </c>
      <c r="Z690" t="n">
        <v>230</v>
      </c>
      <c r="AA690" t="n">
        <v>235</v>
      </c>
      <c r="AB690" t="n">
        <v>3</v>
      </c>
      <c r="AC690" t="n">
        <v>3</v>
      </c>
      <c r="AD690" t="n">
        <v>5</v>
      </c>
      <c r="AE690" t="n">
        <v>5</v>
      </c>
      <c r="AF690" t="n">
        <v>0</v>
      </c>
      <c r="AG690" t="n">
        <v>0</v>
      </c>
      <c r="AH690" t="n">
        <v>1</v>
      </c>
      <c r="AI690" t="n">
        <v>1</v>
      </c>
      <c r="AJ690" t="n">
        <v>2</v>
      </c>
      <c r="AK690" t="n">
        <v>2</v>
      </c>
      <c r="AL690" t="n">
        <v>2</v>
      </c>
      <c r="AM690" t="n">
        <v>2</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HYPERLINK("https://creighton-primo.hosted.exlibrisgroup.com/primo-explore/search?tab=default_tab&amp;search_scope=EVERYTHING&amp;vid=01CRU&amp;lang=en_US&amp;offset=0&amp;query=any,contains,991000557059702656","Catalog Record")</f>
        <v/>
      </c>
      <c r="AT690">
        <f>HYPERLINK("http://www.worldcat.org/oclc/11569944","WorldCat Record")</f>
        <v/>
      </c>
      <c r="AU690" t="inlineStr">
        <is>
          <t>4425805:eng</t>
        </is>
      </c>
      <c r="AV690" t="inlineStr">
        <is>
          <t>11569944</t>
        </is>
      </c>
      <c r="AW690" t="inlineStr">
        <is>
          <t>991000557059702656</t>
        </is>
      </c>
      <c r="AX690" t="inlineStr">
        <is>
          <t>991000557059702656</t>
        </is>
      </c>
      <c r="AY690" t="inlineStr">
        <is>
          <t>2263387920002656</t>
        </is>
      </c>
      <c r="AZ690" t="inlineStr">
        <is>
          <t>BOOK</t>
        </is>
      </c>
      <c r="BB690" t="inlineStr">
        <is>
          <t>9780917304996</t>
        </is>
      </c>
      <c r="BC690" t="inlineStr">
        <is>
          <t>32285001532869</t>
        </is>
      </c>
      <c r="BD690" t="inlineStr">
        <is>
          <t>893683533</t>
        </is>
      </c>
    </row>
    <row r="691">
      <c r="A691" t="inlineStr">
        <is>
          <t>No</t>
        </is>
      </c>
      <c r="B691" t="inlineStr">
        <is>
          <t>QL639.5 .S65 1985</t>
        </is>
      </c>
      <c r="C691" t="inlineStr">
        <is>
          <t>0                      QL 0639500S  65          1985</t>
        </is>
      </c>
      <c r="D691" t="inlineStr">
        <is>
          <t>The control of fish migration / R.J.F. Smith.</t>
        </is>
      </c>
      <c r="F691" t="inlineStr">
        <is>
          <t>No</t>
        </is>
      </c>
      <c r="G691" t="inlineStr">
        <is>
          <t>1</t>
        </is>
      </c>
      <c r="H691" t="inlineStr">
        <is>
          <t>No</t>
        </is>
      </c>
      <c r="I691" t="inlineStr">
        <is>
          <t>No</t>
        </is>
      </c>
      <c r="J691" t="inlineStr">
        <is>
          <t>0</t>
        </is>
      </c>
      <c r="K691" t="inlineStr">
        <is>
          <t>Smith, R. J. F. (Reginald Jan Frederick), 1940-</t>
        </is>
      </c>
      <c r="L691" t="inlineStr">
        <is>
          <t>Berlin ; New York : Springer-Verlag, 1985.</t>
        </is>
      </c>
      <c r="M691" t="inlineStr">
        <is>
          <t>1985</t>
        </is>
      </c>
      <c r="O691" t="inlineStr">
        <is>
          <t>eng</t>
        </is>
      </c>
      <c r="P691" t="inlineStr">
        <is>
          <t xml:space="preserve">gw </t>
        </is>
      </c>
      <c r="Q691" t="inlineStr">
        <is>
          <t>Zoophysiology ; v. 17</t>
        </is>
      </c>
      <c r="R691" t="inlineStr">
        <is>
          <t xml:space="preserve">QL </t>
        </is>
      </c>
      <c r="S691" t="n">
        <v>8</v>
      </c>
      <c r="T691" t="n">
        <v>8</v>
      </c>
      <c r="U691" t="inlineStr">
        <is>
          <t>2008-07-15</t>
        </is>
      </c>
      <c r="V691" t="inlineStr">
        <is>
          <t>2008-07-15</t>
        </is>
      </c>
      <c r="W691" t="inlineStr">
        <is>
          <t>1993-02-12</t>
        </is>
      </c>
      <c r="X691" t="inlineStr">
        <is>
          <t>1993-02-12</t>
        </is>
      </c>
      <c r="Y691" t="n">
        <v>374</v>
      </c>
      <c r="Z691" t="n">
        <v>275</v>
      </c>
      <c r="AA691" t="n">
        <v>282</v>
      </c>
      <c r="AB691" t="n">
        <v>3</v>
      </c>
      <c r="AC691" t="n">
        <v>3</v>
      </c>
      <c r="AD691" t="n">
        <v>7</v>
      </c>
      <c r="AE691" t="n">
        <v>7</v>
      </c>
      <c r="AF691" t="n">
        <v>1</v>
      </c>
      <c r="AG691" t="n">
        <v>1</v>
      </c>
      <c r="AH691" t="n">
        <v>2</v>
      </c>
      <c r="AI691" t="n">
        <v>2</v>
      </c>
      <c r="AJ691" t="n">
        <v>4</v>
      </c>
      <c r="AK691" t="n">
        <v>4</v>
      </c>
      <c r="AL691" t="n">
        <v>2</v>
      </c>
      <c r="AM691" t="n">
        <v>2</v>
      </c>
      <c r="AN691" t="n">
        <v>0</v>
      </c>
      <c r="AO691" t="n">
        <v>0</v>
      </c>
      <c r="AP691" t="inlineStr">
        <is>
          <t>No</t>
        </is>
      </c>
      <c r="AQ691" t="inlineStr">
        <is>
          <t>Yes</t>
        </is>
      </c>
      <c r="AR691">
        <f>HYPERLINK("http://catalog.hathitrust.org/Record/000364600","HathiTrust Record")</f>
        <v/>
      </c>
      <c r="AS691">
        <f>HYPERLINK("https://creighton-primo.hosted.exlibrisgroup.com/primo-explore/search?tab=default_tab&amp;search_scope=EVERYTHING&amp;vid=01CRU&amp;lang=en_US&amp;offset=0&amp;query=any,contains,991000487889702656","Catalog Record")</f>
        <v/>
      </c>
      <c r="AT691">
        <f>HYPERLINK("http://www.worldcat.org/oclc/11090101","WorldCat Record")</f>
        <v/>
      </c>
      <c r="AU691" t="inlineStr">
        <is>
          <t>4061876:eng</t>
        </is>
      </c>
      <c r="AV691" t="inlineStr">
        <is>
          <t>11090101</t>
        </is>
      </c>
      <c r="AW691" t="inlineStr">
        <is>
          <t>991000487889702656</t>
        </is>
      </c>
      <c r="AX691" t="inlineStr">
        <is>
          <t>991000487889702656</t>
        </is>
      </c>
      <c r="AY691" t="inlineStr">
        <is>
          <t>2269232200002656</t>
        </is>
      </c>
      <c r="AZ691" t="inlineStr">
        <is>
          <t>BOOK</t>
        </is>
      </c>
      <c r="BB691" t="inlineStr">
        <is>
          <t>9780387137070</t>
        </is>
      </c>
      <c r="BC691" t="inlineStr">
        <is>
          <t>32285001532877</t>
        </is>
      </c>
      <c r="BD691" t="inlineStr">
        <is>
          <t>893771674</t>
        </is>
      </c>
    </row>
    <row r="692">
      <c r="A692" t="inlineStr">
        <is>
          <t>No</t>
        </is>
      </c>
      <c r="B692" t="inlineStr">
        <is>
          <t>QL640 .M67</t>
        </is>
      </c>
      <c r="C692" t="inlineStr">
        <is>
          <t>0                      QL 0640000M  67</t>
        </is>
      </c>
      <c r="D692" t="inlineStr">
        <is>
          <t>Morphology and biology of reptiles / edited by A. d'A. Bellairs and C. Barry Cox.</t>
        </is>
      </c>
      <c r="F692" t="inlineStr">
        <is>
          <t>No</t>
        </is>
      </c>
      <c r="G692" t="inlineStr">
        <is>
          <t>1</t>
        </is>
      </c>
      <c r="H692" t="inlineStr">
        <is>
          <t>No</t>
        </is>
      </c>
      <c r="I692" t="inlineStr">
        <is>
          <t>No</t>
        </is>
      </c>
      <c r="J692" t="inlineStr">
        <is>
          <t>0</t>
        </is>
      </c>
      <c r="L692" t="inlineStr">
        <is>
          <t>London : Published for the Linnean Society of London by Academic Press, c1976.</t>
        </is>
      </c>
      <c r="M692" t="inlineStr">
        <is>
          <t>1976</t>
        </is>
      </c>
      <c r="O692" t="inlineStr">
        <is>
          <t>eng</t>
        </is>
      </c>
      <c r="P692" t="inlineStr">
        <is>
          <t>enk</t>
        </is>
      </c>
      <c r="Q692" t="inlineStr">
        <is>
          <t>Linnean Society symposium series ; no. 3</t>
        </is>
      </c>
      <c r="R692" t="inlineStr">
        <is>
          <t xml:space="preserve">QL </t>
        </is>
      </c>
      <c r="S692" t="n">
        <v>3</v>
      </c>
      <c r="T692" t="n">
        <v>3</v>
      </c>
      <c r="U692" t="inlineStr">
        <is>
          <t>2004-11-17</t>
        </is>
      </c>
      <c r="V692" t="inlineStr">
        <is>
          <t>2004-11-17</t>
        </is>
      </c>
      <c r="W692" t="inlineStr">
        <is>
          <t>1997-07-25</t>
        </is>
      </c>
      <c r="X692" t="inlineStr">
        <is>
          <t>1997-07-25</t>
        </is>
      </c>
      <c r="Y692" t="n">
        <v>385</v>
      </c>
      <c r="Z692" t="n">
        <v>234</v>
      </c>
      <c r="AA692" t="n">
        <v>235</v>
      </c>
      <c r="AB692" t="n">
        <v>2</v>
      </c>
      <c r="AC692" t="n">
        <v>2</v>
      </c>
      <c r="AD692" t="n">
        <v>2</v>
      </c>
      <c r="AE692" t="n">
        <v>2</v>
      </c>
      <c r="AF692" t="n">
        <v>0</v>
      </c>
      <c r="AG692" t="n">
        <v>0</v>
      </c>
      <c r="AH692" t="n">
        <v>1</v>
      </c>
      <c r="AI692" t="n">
        <v>1</v>
      </c>
      <c r="AJ692" t="n">
        <v>0</v>
      </c>
      <c r="AK692" t="n">
        <v>0</v>
      </c>
      <c r="AL692" t="n">
        <v>1</v>
      </c>
      <c r="AM692" t="n">
        <v>1</v>
      </c>
      <c r="AN692" t="n">
        <v>0</v>
      </c>
      <c r="AO692" t="n">
        <v>0</v>
      </c>
      <c r="AP692" t="inlineStr">
        <is>
          <t>No</t>
        </is>
      </c>
      <c r="AQ692" t="inlineStr">
        <is>
          <t>Yes</t>
        </is>
      </c>
      <c r="AR692">
        <f>HYPERLINK("http://catalog.hathitrust.org/Record/000211835","HathiTrust Record")</f>
        <v/>
      </c>
      <c r="AS692">
        <f>HYPERLINK("https://creighton-primo.hosted.exlibrisgroup.com/primo-explore/search?tab=default_tab&amp;search_scope=EVERYTHING&amp;vid=01CRU&amp;lang=en_US&amp;offset=0&amp;query=any,contains,991004261669702656","Catalog Record")</f>
        <v/>
      </c>
      <c r="AT692">
        <f>HYPERLINK("http://www.worldcat.org/oclc/2846860","WorldCat Record")</f>
        <v/>
      </c>
      <c r="AU692" t="inlineStr">
        <is>
          <t>363756342:eng</t>
        </is>
      </c>
      <c r="AV692" t="inlineStr">
        <is>
          <t>2846860</t>
        </is>
      </c>
      <c r="AW692" t="inlineStr">
        <is>
          <t>991004261669702656</t>
        </is>
      </c>
      <c r="AX692" t="inlineStr">
        <is>
          <t>991004261669702656</t>
        </is>
      </c>
      <c r="AY692" t="inlineStr">
        <is>
          <t>2263592990002656</t>
        </is>
      </c>
      <c r="AZ692" t="inlineStr">
        <is>
          <t>BOOK</t>
        </is>
      </c>
      <c r="BB692" t="inlineStr">
        <is>
          <t>9780120858507</t>
        </is>
      </c>
      <c r="BC692" t="inlineStr">
        <is>
          <t>32285002981768</t>
        </is>
      </c>
      <c r="BD692" t="inlineStr">
        <is>
          <t>893693722</t>
        </is>
      </c>
    </row>
    <row r="693">
      <c r="A693" t="inlineStr">
        <is>
          <t>No</t>
        </is>
      </c>
      <c r="B693" t="inlineStr">
        <is>
          <t>QL640 .V48 1984</t>
        </is>
      </c>
      <c r="C693" t="inlineStr">
        <is>
          <t>0                      QL 0640000V  48          1984</t>
        </is>
      </c>
      <c r="D693" t="inlineStr">
        <is>
          <t>Vertebrate ecology and systematics : a tribute to Henry S. Fitch / edited by Richard A. Seigel ... [et al].</t>
        </is>
      </c>
      <c r="F693" t="inlineStr">
        <is>
          <t>No</t>
        </is>
      </c>
      <c r="G693" t="inlineStr">
        <is>
          <t>1</t>
        </is>
      </c>
      <c r="H693" t="inlineStr">
        <is>
          <t>No</t>
        </is>
      </c>
      <c r="I693" t="inlineStr">
        <is>
          <t>No</t>
        </is>
      </c>
      <c r="J693" t="inlineStr">
        <is>
          <t>0</t>
        </is>
      </c>
      <c r="L693" t="inlineStr">
        <is>
          <t>Lawrence : University of Kansas, Museum of Natural History, 1984.</t>
        </is>
      </c>
      <c r="M693" t="inlineStr">
        <is>
          <t>1984</t>
        </is>
      </c>
      <c r="O693" t="inlineStr">
        <is>
          <t>eng</t>
        </is>
      </c>
      <c r="P693" t="inlineStr">
        <is>
          <t>ksu</t>
        </is>
      </c>
      <c r="Q693" t="inlineStr">
        <is>
          <t>Special publication (University of Kansas. Museum of Natural History) ; no. 10</t>
        </is>
      </c>
      <c r="R693" t="inlineStr">
        <is>
          <t xml:space="preserve">QL </t>
        </is>
      </c>
      <c r="S693" t="n">
        <v>3</v>
      </c>
      <c r="T693" t="n">
        <v>3</v>
      </c>
      <c r="U693" t="inlineStr">
        <is>
          <t>1999-10-06</t>
        </is>
      </c>
      <c r="V693" t="inlineStr">
        <is>
          <t>1999-10-06</t>
        </is>
      </c>
      <c r="W693" t="inlineStr">
        <is>
          <t>1993-02-12</t>
        </is>
      </c>
      <c r="X693" t="inlineStr">
        <is>
          <t>1993-02-12</t>
        </is>
      </c>
      <c r="Y693" t="n">
        <v>109</v>
      </c>
      <c r="Z693" t="n">
        <v>95</v>
      </c>
      <c r="AA693" t="n">
        <v>114</v>
      </c>
      <c r="AB693" t="n">
        <v>2</v>
      </c>
      <c r="AC693" t="n">
        <v>2</v>
      </c>
      <c r="AD693" t="n">
        <v>1</v>
      </c>
      <c r="AE693" t="n">
        <v>1</v>
      </c>
      <c r="AF693" t="n">
        <v>0</v>
      </c>
      <c r="AG693" t="n">
        <v>0</v>
      </c>
      <c r="AH693" t="n">
        <v>0</v>
      </c>
      <c r="AI693" t="n">
        <v>0</v>
      </c>
      <c r="AJ693" t="n">
        <v>0</v>
      </c>
      <c r="AK693" t="n">
        <v>0</v>
      </c>
      <c r="AL693" t="n">
        <v>1</v>
      </c>
      <c r="AM693" t="n">
        <v>1</v>
      </c>
      <c r="AN693" t="n">
        <v>0</v>
      </c>
      <c r="AO693" t="n">
        <v>0</v>
      </c>
      <c r="AP693" t="inlineStr">
        <is>
          <t>No</t>
        </is>
      </c>
      <c r="AQ693" t="inlineStr">
        <is>
          <t>Yes</t>
        </is>
      </c>
      <c r="AR693">
        <f>HYPERLINK("http://catalog.hathitrust.org/Record/000208902","HathiTrust Record")</f>
        <v/>
      </c>
      <c r="AS693">
        <f>HYPERLINK("https://creighton-primo.hosted.exlibrisgroup.com/primo-explore/search?tab=default_tab&amp;search_scope=EVERYTHING&amp;vid=01CRU&amp;lang=en_US&amp;offset=0&amp;query=any,contains,991000453359702656","Catalog Record")</f>
        <v/>
      </c>
      <c r="AT693">
        <f>HYPERLINK("http://www.worldcat.org/oclc/10911912","WorldCat Record")</f>
        <v/>
      </c>
      <c r="AU693" t="inlineStr">
        <is>
          <t>898223377:eng</t>
        </is>
      </c>
      <c r="AV693" t="inlineStr">
        <is>
          <t>10911912</t>
        </is>
      </c>
      <c r="AW693" t="inlineStr">
        <is>
          <t>991000453359702656</t>
        </is>
      </c>
      <c r="AX693" t="inlineStr">
        <is>
          <t>991000453359702656</t>
        </is>
      </c>
      <c r="AY693" t="inlineStr">
        <is>
          <t>2257595570002656</t>
        </is>
      </c>
      <c r="AZ693" t="inlineStr">
        <is>
          <t>BOOK</t>
        </is>
      </c>
      <c r="BC693" t="inlineStr">
        <is>
          <t>32285001532901</t>
        </is>
      </c>
      <c r="BD693" t="inlineStr">
        <is>
          <t>893438265</t>
        </is>
      </c>
    </row>
    <row r="694">
      <c r="A694" t="inlineStr">
        <is>
          <t>No</t>
        </is>
      </c>
      <c r="B694" t="inlineStr">
        <is>
          <t>QL641 .A35 1983</t>
        </is>
      </c>
      <c r="C694" t="inlineStr">
        <is>
          <t>0                      QL 0641000A  35          1983</t>
        </is>
      </c>
      <c r="D694" t="inlineStr">
        <is>
          <t>Advances in herpetology and evolutionary biology : essays in honor of Ernest E. Williams / edited by Anders G.J. Rhodin, Kenneth Miyata.</t>
        </is>
      </c>
      <c r="F694" t="inlineStr">
        <is>
          <t>No</t>
        </is>
      </c>
      <c r="G694" t="inlineStr">
        <is>
          <t>1</t>
        </is>
      </c>
      <c r="H694" t="inlineStr">
        <is>
          <t>No</t>
        </is>
      </c>
      <c r="I694" t="inlineStr">
        <is>
          <t>No</t>
        </is>
      </c>
      <c r="J694" t="inlineStr">
        <is>
          <t>0</t>
        </is>
      </c>
      <c r="L694" t="inlineStr">
        <is>
          <t>Cambridge, Mass. : Museum of Comparative Zoology, 1983.</t>
        </is>
      </c>
      <c r="M694" t="inlineStr">
        <is>
          <t>1983</t>
        </is>
      </c>
      <c r="O694" t="inlineStr">
        <is>
          <t>eng</t>
        </is>
      </c>
      <c r="P694" t="inlineStr">
        <is>
          <t>mau</t>
        </is>
      </c>
      <c r="R694" t="inlineStr">
        <is>
          <t xml:space="preserve">QL </t>
        </is>
      </c>
      <c r="S694" t="n">
        <v>3</v>
      </c>
      <c r="T694" t="n">
        <v>3</v>
      </c>
      <c r="U694" t="inlineStr">
        <is>
          <t>2004-02-23</t>
        </is>
      </c>
      <c r="V694" t="inlineStr">
        <is>
          <t>2004-02-23</t>
        </is>
      </c>
      <c r="W694" t="inlineStr">
        <is>
          <t>1993-02-12</t>
        </is>
      </c>
      <c r="X694" t="inlineStr">
        <is>
          <t>1993-02-12</t>
        </is>
      </c>
      <c r="Y694" t="n">
        <v>175</v>
      </c>
      <c r="Z694" t="n">
        <v>132</v>
      </c>
      <c r="AA694" t="n">
        <v>148</v>
      </c>
      <c r="AB694" t="n">
        <v>3</v>
      </c>
      <c r="AC694" t="n">
        <v>3</v>
      </c>
      <c r="AD694" t="n">
        <v>4</v>
      </c>
      <c r="AE694" t="n">
        <v>4</v>
      </c>
      <c r="AF694" t="n">
        <v>1</v>
      </c>
      <c r="AG694" t="n">
        <v>1</v>
      </c>
      <c r="AH694" t="n">
        <v>2</v>
      </c>
      <c r="AI694" t="n">
        <v>2</v>
      </c>
      <c r="AJ694" t="n">
        <v>0</v>
      </c>
      <c r="AK694" t="n">
        <v>0</v>
      </c>
      <c r="AL694" t="n">
        <v>2</v>
      </c>
      <c r="AM694" t="n">
        <v>2</v>
      </c>
      <c r="AN694" t="n">
        <v>0</v>
      </c>
      <c r="AO694" t="n">
        <v>0</v>
      </c>
      <c r="AP694" t="inlineStr">
        <is>
          <t>No</t>
        </is>
      </c>
      <c r="AQ694" t="inlineStr">
        <is>
          <t>Yes</t>
        </is>
      </c>
      <c r="AR694">
        <f>HYPERLINK("http://catalog.hathitrust.org/Record/000285388","HathiTrust Record")</f>
        <v/>
      </c>
      <c r="AS694">
        <f>HYPERLINK("https://creighton-primo.hosted.exlibrisgroup.com/primo-explore/search?tab=default_tab&amp;search_scope=EVERYTHING&amp;vid=01CRU&amp;lang=en_US&amp;offset=0&amp;query=any,contains,991000340939702656","Catalog Record")</f>
        <v/>
      </c>
      <c r="AT694">
        <f>HYPERLINK("http://www.worldcat.org/oclc/10270558","WorldCat Record")</f>
        <v/>
      </c>
      <c r="AU694" t="inlineStr">
        <is>
          <t>796082881:eng</t>
        </is>
      </c>
      <c r="AV694" t="inlineStr">
        <is>
          <t>10270558</t>
        </is>
      </c>
      <c r="AW694" t="inlineStr">
        <is>
          <t>991000340939702656</t>
        </is>
      </c>
      <c r="AX694" t="inlineStr">
        <is>
          <t>991000340939702656</t>
        </is>
      </c>
      <c r="AY694" t="inlineStr">
        <is>
          <t>2271952070002656</t>
        </is>
      </c>
      <c r="AZ694" t="inlineStr">
        <is>
          <t>BOOK</t>
        </is>
      </c>
      <c r="BB694" t="inlineStr">
        <is>
          <t>9780910999007</t>
        </is>
      </c>
      <c r="BC694" t="inlineStr">
        <is>
          <t>32285001532919</t>
        </is>
      </c>
      <c r="BD694" t="inlineStr">
        <is>
          <t>893777856</t>
        </is>
      </c>
    </row>
    <row r="695">
      <c r="A695" t="inlineStr">
        <is>
          <t>No</t>
        </is>
      </c>
      <c r="B695" t="inlineStr">
        <is>
          <t>QL641 .B38 1970</t>
        </is>
      </c>
      <c r="C695" t="inlineStr">
        <is>
          <t>0                      QL 0641000B  38          1970</t>
        </is>
      </c>
      <c r="D695" t="inlineStr">
        <is>
          <t>The life of reptiles [by] Angus Bellairs.</t>
        </is>
      </c>
      <c r="F695" t="inlineStr">
        <is>
          <t>Yes</t>
        </is>
      </c>
      <c r="G695" t="inlineStr">
        <is>
          <t>1</t>
        </is>
      </c>
      <c r="H695" t="inlineStr">
        <is>
          <t>Yes</t>
        </is>
      </c>
      <c r="I695" t="inlineStr">
        <is>
          <t>No</t>
        </is>
      </c>
      <c r="J695" t="inlineStr">
        <is>
          <t>0</t>
        </is>
      </c>
      <c r="K695" t="inlineStr">
        <is>
          <t>Bellairs, Angus d'A.</t>
        </is>
      </c>
      <c r="L695" t="inlineStr">
        <is>
          <t>New York, Universe Books [1970]</t>
        </is>
      </c>
      <c r="M695" t="inlineStr">
        <is>
          <t>1970</t>
        </is>
      </c>
      <c r="O695" t="inlineStr">
        <is>
          <t>eng</t>
        </is>
      </c>
      <c r="P695" t="inlineStr">
        <is>
          <t>nyu</t>
        </is>
      </c>
      <c r="Q695" t="inlineStr">
        <is>
          <t>The Universe natural history series</t>
        </is>
      </c>
      <c r="R695" t="inlineStr">
        <is>
          <t xml:space="preserve">QL </t>
        </is>
      </c>
      <c r="S695" t="n">
        <v>1</v>
      </c>
      <c r="T695" t="n">
        <v>2</v>
      </c>
      <c r="U695" t="inlineStr">
        <is>
          <t>2003-02-27</t>
        </is>
      </c>
      <c r="V695" t="inlineStr">
        <is>
          <t>2003-02-27</t>
        </is>
      </c>
      <c r="W695" t="inlineStr">
        <is>
          <t>1997-07-25</t>
        </is>
      </c>
      <c r="X695" t="inlineStr">
        <is>
          <t>1997-07-25</t>
        </is>
      </c>
      <c r="Y695" t="n">
        <v>548</v>
      </c>
      <c r="Z695" t="n">
        <v>510</v>
      </c>
      <c r="AA695" t="n">
        <v>511</v>
      </c>
      <c r="AB695" t="n">
        <v>5</v>
      </c>
      <c r="AC695" t="n">
        <v>5</v>
      </c>
      <c r="AD695" t="n">
        <v>16</v>
      </c>
      <c r="AE695" t="n">
        <v>16</v>
      </c>
      <c r="AF695" t="n">
        <v>8</v>
      </c>
      <c r="AG695" t="n">
        <v>8</v>
      </c>
      <c r="AH695" t="n">
        <v>1</v>
      </c>
      <c r="AI695" t="n">
        <v>1</v>
      </c>
      <c r="AJ695" t="n">
        <v>6</v>
      </c>
      <c r="AK695" t="n">
        <v>6</v>
      </c>
      <c r="AL695" t="n">
        <v>4</v>
      </c>
      <c r="AM695" t="n">
        <v>4</v>
      </c>
      <c r="AN695" t="n">
        <v>0</v>
      </c>
      <c r="AO695" t="n">
        <v>0</v>
      </c>
      <c r="AP695" t="inlineStr">
        <is>
          <t>No</t>
        </is>
      </c>
      <c r="AQ695" t="inlineStr">
        <is>
          <t>Yes</t>
        </is>
      </c>
      <c r="AR695">
        <f>HYPERLINK("http://catalog.hathitrust.org/Record/002014365","HathiTrust Record")</f>
        <v/>
      </c>
      <c r="AS695">
        <f>HYPERLINK("https://creighton-primo.hosted.exlibrisgroup.com/primo-explore/search?tab=default_tab&amp;search_scope=EVERYTHING&amp;vid=01CRU&amp;lang=en_US&amp;offset=0&amp;query=any,contains,991000424629702656","Catalog Record")</f>
        <v/>
      </c>
      <c r="AT695">
        <f>HYPERLINK("http://www.worldcat.org/oclc/74606","WorldCat Record")</f>
        <v/>
      </c>
      <c r="AU695" t="inlineStr">
        <is>
          <t>10628319111:eng</t>
        </is>
      </c>
      <c r="AV695" t="inlineStr">
        <is>
          <t>74606</t>
        </is>
      </c>
      <c r="AW695" t="inlineStr">
        <is>
          <t>991000424629702656</t>
        </is>
      </c>
      <c r="AX695" t="inlineStr">
        <is>
          <t>991000424629702656</t>
        </is>
      </c>
      <c r="AY695" t="inlineStr">
        <is>
          <t>2272176750002656</t>
        </is>
      </c>
      <c r="AZ695" t="inlineStr">
        <is>
          <t>BOOK</t>
        </is>
      </c>
      <c r="BB695" t="inlineStr">
        <is>
          <t>9780876631133</t>
        </is>
      </c>
      <c r="BC695" t="inlineStr">
        <is>
          <t>32285002981776</t>
        </is>
      </c>
      <c r="BD695" t="inlineStr">
        <is>
          <t>893345644</t>
        </is>
      </c>
    </row>
    <row r="696">
      <c r="A696" t="inlineStr">
        <is>
          <t>No</t>
        </is>
      </c>
      <c r="B696" t="inlineStr">
        <is>
          <t>QL641 .B38 1970 V.2</t>
        </is>
      </c>
      <c r="C696" t="inlineStr">
        <is>
          <t>0                      QL 0641000B  38          1970                                        V.2</t>
        </is>
      </c>
      <c r="D696" t="inlineStr">
        <is>
          <t>The life of reptiles [by] Angus Bellairs.</t>
        </is>
      </c>
      <c r="E696" t="inlineStr">
        <is>
          <t>V.2*</t>
        </is>
      </c>
      <c r="F696" t="inlineStr">
        <is>
          <t>Yes</t>
        </is>
      </c>
      <c r="G696" t="inlineStr">
        <is>
          <t>1</t>
        </is>
      </c>
      <c r="H696" t="inlineStr">
        <is>
          <t>No</t>
        </is>
      </c>
      <c r="I696" t="inlineStr">
        <is>
          <t>No</t>
        </is>
      </c>
      <c r="J696" t="inlineStr">
        <is>
          <t>0</t>
        </is>
      </c>
      <c r="K696" t="inlineStr">
        <is>
          <t>Bellairs, Angus d'A.</t>
        </is>
      </c>
      <c r="L696" t="inlineStr">
        <is>
          <t>New York, Universe Books [1970]</t>
        </is>
      </c>
      <c r="M696" t="inlineStr">
        <is>
          <t>1970</t>
        </is>
      </c>
      <c r="O696" t="inlineStr">
        <is>
          <t>eng</t>
        </is>
      </c>
      <c r="P696" t="inlineStr">
        <is>
          <t>nyu</t>
        </is>
      </c>
      <c r="Q696" t="inlineStr">
        <is>
          <t>The Universe natural history series</t>
        </is>
      </c>
      <c r="R696" t="inlineStr">
        <is>
          <t xml:space="preserve">QL </t>
        </is>
      </c>
      <c r="S696" t="n">
        <v>1</v>
      </c>
      <c r="T696" t="n">
        <v>2</v>
      </c>
      <c r="U696" t="inlineStr">
        <is>
          <t>2003-02-27</t>
        </is>
      </c>
      <c r="V696" t="inlineStr">
        <is>
          <t>2003-02-27</t>
        </is>
      </c>
      <c r="W696" t="inlineStr">
        <is>
          <t>1997-07-25</t>
        </is>
      </c>
      <c r="X696" t="inlineStr">
        <is>
          <t>1997-07-25</t>
        </is>
      </c>
      <c r="Y696" t="n">
        <v>548</v>
      </c>
      <c r="Z696" t="n">
        <v>510</v>
      </c>
      <c r="AA696" t="n">
        <v>511</v>
      </c>
      <c r="AB696" t="n">
        <v>5</v>
      </c>
      <c r="AC696" t="n">
        <v>5</v>
      </c>
      <c r="AD696" t="n">
        <v>16</v>
      </c>
      <c r="AE696" t="n">
        <v>16</v>
      </c>
      <c r="AF696" t="n">
        <v>8</v>
      </c>
      <c r="AG696" t="n">
        <v>8</v>
      </c>
      <c r="AH696" t="n">
        <v>1</v>
      </c>
      <c r="AI696" t="n">
        <v>1</v>
      </c>
      <c r="AJ696" t="n">
        <v>6</v>
      </c>
      <c r="AK696" t="n">
        <v>6</v>
      </c>
      <c r="AL696" t="n">
        <v>4</v>
      </c>
      <c r="AM696" t="n">
        <v>4</v>
      </c>
      <c r="AN696" t="n">
        <v>0</v>
      </c>
      <c r="AO696" t="n">
        <v>0</v>
      </c>
      <c r="AP696" t="inlineStr">
        <is>
          <t>No</t>
        </is>
      </c>
      <c r="AQ696" t="inlineStr">
        <is>
          <t>Yes</t>
        </is>
      </c>
      <c r="AR696">
        <f>HYPERLINK("http://catalog.hathitrust.org/Record/002014365","HathiTrust Record")</f>
        <v/>
      </c>
      <c r="AS696">
        <f>HYPERLINK("https://creighton-primo.hosted.exlibrisgroup.com/primo-explore/search?tab=default_tab&amp;search_scope=EVERYTHING&amp;vid=01CRU&amp;lang=en_US&amp;offset=0&amp;query=any,contains,991000424629702656","Catalog Record")</f>
        <v/>
      </c>
      <c r="AT696">
        <f>HYPERLINK("http://www.worldcat.org/oclc/74606","WorldCat Record")</f>
        <v/>
      </c>
      <c r="AU696" t="inlineStr">
        <is>
          <t>10628319111:eng</t>
        </is>
      </c>
      <c r="AV696" t="inlineStr">
        <is>
          <t>74606</t>
        </is>
      </c>
      <c r="AW696" t="inlineStr">
        <is>
          <t>991000424629702656</t>
        </is>
      </c>
      <c r="AX696" t="inlineStr">
        <is>
          <t>991000424629702656</t>
        </is>
      </c>
      <c r="AY696" t="inlineStr">
        <is>
          <t>2272176750002656</t>
        </is>
      </c>
      <c r="AZ696" t="inlineStr">
        <is>
          <t>BOOK</t>
        </is>
      </c>
      <c r="BB696" t="inlineStr">
        <is>
          <t>9780876631133</t>
        </is>
      </c>
      <c r="BC696" t="inlineStr">
        <is>
          <t>32285002981784</t>
        </is>
      </c>
      <c r="BD696" t="inlineStr">
        <is>
          <t>893351517</t>
        </is>
      </c>
    </row>
    <row r="697">
      <c r="A697" t="inlineStr">
        <is>
          <t>No</t>
        </is>
      </c>
      <c r="B697" t="inlineStr">
        <is>
          <t>QL641 .B4 1968</t>
        </is>
      </c>
      <c r="C697" t="inlineStr">
        <is>
          <t>0                      QL 0641000B  4           1968</t>
        </is>
      </c>
      <c r="D697" t="inlineStr">
        <is>
          <t>Reptiles.</t>
        </is>
      </c>
      <c r="F697" t="inlineStr">
        <is>
          <t>No</t>
        </is>
      </c>
      <c r="G697" t="inlineStr">
        <is>
          <t>1</t>
        </is>
      </c>
      <c r="H697" t="inlineStr">
        <is>
          <t>No</t>
        </is>
      </c>
      <c r="I697" t="inlineStr">
        <is>
          <t>No</t>
        </is>
      </c>
      <c r="J697" t="inlineStr">
        <is>
          <t>0</t>
        </is>
      </c>
      <c r="K697" t="inlineStr">
        <is>
          <t>Bellairs, Angus d'A.</t>
        </is>
      </c>
      <c r="L697" t="inlineStr">
        <is>
          <t>London, Hutchinson, 1968.</t>
        </is>
      </c>
      <c r="M697" t="inlineStr">
        <is>
          <t>1968</t>
        </is>
      </c>
      <c r="N697" t="inlineStr">
        <is>
          <t>2nd ed.</t>
        </is>
      </c>
      <c r="O697" t="inlineStr">
        <is>
          <t>eng</t>
        </is>
      </c>
      <c r="P697" t="inlineStr">
        <is>
          <t>enk</t>
        </is>
      </c>
      <c r="Q697" t="inlineStr">
        <is>
          <t>Hutchinson university library. Biological sciences</t>
        </is>
      </c>
      <c r="R697" t="inlineStr">
        <is>
          <t xml:space="preserve">QL </t>
        </is>
      </c>
      <c r="S697" t="n">
        <v>2</v>
      </c>
      <c r="T697" t="n">
        <v>2</v>
      </c>
      <c r="U697" t="inlineStr">
        <is>
          <t>2001-03-19</t>
        </is>
      </c>
      <c r="V697" t="inlineStr">
        <is>
          <t>2001-03-19</t>
        </is>
      </c>
      <c r="W697" t="inlineStr">
        <is>
          <t>1997-07-25</t>
        </is>
      </c>
      <c r="X697" t="inlineStr">
        <is>
          <t>1997-07-25</t>
        </is>
      </c>
      <c r="Y697" t="n">
        <v>170</v>
      </c>
      <c r="Z697" t="n">
        <v>95</v>
      </c>
      <c r="AA697" t="n">
        <v>298</v>
      </c>
      <c r="AB697" t="n">
        <v>2</v>
      </c>
      <c r="AC697" t="n">
        <v>5</v>
      </c>
      <c r="AD697" t="n">
        <v>4</v>
      </c>
      <c r="AE697" t="n">
        <v>11</v>
      </c>
      <c r="AF697" t="n">
        <v>1</v>
      </c>
      <c r="AG697" t="n">
        <v>2</v>
      </c>
      <c r="AH697" t="n">
        <v>0</v>
      </c>
      <c r="AI697" t="n">
        <v>3</v>
      </c>
      <c r="AJ697" t="n">
        <v>2</v>
      </c>
      <c r="AK697" t="n">
        <v>4</v>
      </c>
      <c r="AL697" t="n">
        <v>1</v>
      </c>
      <c r="AM697" t="n">
        <v>4</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HYPERLINK("https://creighton-primo.hosted.exlibrisgroup.com/primo-explore/search?tab=default_tab&amp;search_scope=EVERYTHING&amp;vid=01CRU&amp;lang=en_US&amp;offset=0&amp;query=any,contains,991002816209702656","Catalog Record")</f>
        <v/>
      </c>
      <c r="AT697">
        <f>HYPERLINK("http://www.worldcat.org/oclc/459886","WorldCat Record")</f>
        <v/>
      </c>
      <c r="AU697" t="inlineStr">
        <is>
          <t>4928079414:eng</t>
        </is>
      </c>
      <c r="AV697" t="inlineStr">
        <is>
          <t>459886</t>
        </is>
      </c>
      <c r="AW697" t="inlineStr">
        <is>
          <t>991002816209702656</t>
        </is>
      </c>
      <c r="AX697" t="inlineStr">
        <is>
          <t>991002816209702656</t>
        </is>
      </c>
      <c r="AY697" t="inlineStr">
        <is>
          <t>2264364270002656</t>
        </is>
      </c>
      <c r="AZ697" t="inlineStr">
        <is>
          <t>BOOK</t>
        </is>
      </c>
      <c r="BB697" t="inlineStr">
        <is>
          <t>9780090399420</t>
        </is>
      </c>
      <c r="BC697" t="inlineStr">
        <is>
          <t>32285002981792</t>
        </is>
      </c>
      <c r="BD697" t="inlineStr">
        <is>
          <t>893245682</t>
        </is>
      </c>
    </row>
    <row r="698">
      <c r="A698" t="inlineStr">
        <is>
          <t>No</t>
        </is>
      </c>
      <c r="B698" t="inlineStr">
        <is>
          <t>QL641 .C6</t>
        </is>
      </c>
      <c r="C698" t="inlineStr">
        <is>
          <t>0                      QL 0641000C  6</t>
        </is>
      </c>
      <c r="D698" t="inlineStr">
        <is>
          <t>Living amphibians of the world. With photos. by Robert S. Simmons, and others.</t>
        </is>
      </c>
      <c r="F698" t="inlineStr">
        <is>
          <t>No</t>
        </is>
      </c>
      <c r="G698" t="inlineStr">
        <is>
          <t>1</t>
        </is>
      </c>
      <c r="H698" t="inlineStr">
        <is>
          <t>No</t>
        </is>
      </c>
      <c r="I698" t="inlineStr">
        <is>
          <t>No</t>
        </is>
      </c>
      <c r="J698" t="inlineStr">
        <is>
          <t>0</t>
        </is>
      </c>
      <c r="K698" t="inlineStr">
        <is>
          <t>Cochran, Doris M. (Doris Mable), 1898-1968.</t>
        </is>
      </c>
      <c r="L698" t="inlineStr">
        <is>
          <t>Garden City, N.Y., Doubleday [1961]</t>
        </is>
      </c>
      <c r="M698" t="inlineStr">
        <is>
          <t>1961</t>
        </is>
      </c>
      <c r="O698" t="inlineStr">
        <is>
          <t>eng</t>
        </is>
      </c>
      <c r="P698" t="inlineStr">
        <is>
          <t>nyu</t>
        </is>
      </c>
      <c r="Q698" t="inlineStr">
        <is>
          <t>The World of nature series</t>
        </is>
      </c>
      <c r="R698" t="inlineStr">
        <is>
          <t xml:space="preserve">QL </t>
        </is>
      </c>
      <c r="S698" t="n">
        <v>4</v>
      </c>
      <c r="T698" t="n">
        <v>4</v>
      </c>
      <c r="U698" t="inlineStr">
        <is>
          <t>2006-02-24</t>
        </is>
      </c>
      <c r="V698" t="inlineStr">
        <is>
          <t>2006-02-24</t>
        </is>
      </c>
      <c r="W698" t="inlineStr">
        <is>
          <t>1997-07-25</t>
        </is>
      </c>
      <c r="X698" t="inlineStr">
        <is>
          <t>1997-07-25</t>
        </is>
      </c>
      <c r="Y698" t="n">
        <v>998</v>
      </c>
      <c r="Z698" t="n">
        <v>932</v>
      </c>
      <c r="AA698" t="n">
        <v>1005</v>
      </c>
      <c r="AB698" t="n">
        <v>6</v>
      </c>
      <c r="AC698" t="n">
        <v>6</v>
      </c>
      <c r="AD698" t="n">
        <v>17</v>
      </c>
      <c r="AE698" t="n">
        <v>18</v>
      </c>
      <c r="AF698" t="n">
        <v>9</v>
      </c>
      <c r="AG698" t="n">
        <v>9</v>
      </c>
      <c r="AH698" t="n">
        <v>2</v>
      </c>
      <c r="AI698" t="n">
        <v>3</v>
      </c>
      <c r="AJ698" t="n">
        <v>4</v>
      </c>
      <c r="AK698" t="n">
        <v>4</v>
      </c>
      <c r="AL698" t="n">
        <v>4</v>
      </c>
      <c r="AM698" t="n">
        <v>4</v>
      </c>
      <c r="AN698" t="n">
        <v>0</v>
      </c>
      <c r="AO698" t="n">
        <v>0</v>
      </c>
      <c r="AP698" t="inlineStr">
        <is>
          <t>Yes</t>
        </is>
      </c>
      <c r="AQ698" t="inlineStr">
        <is>
          <t>No</t>
        </is>
      </c>
      <c r="AR698">
        <f>HYPERLINK("http://catalog.hathitrust.org/Record/001515825","HathiTrust Record")</f>
        <v/>
      </c>
      <c r="AS698">
        <f>HYPERLINK("https://creighton-primo.hosted.exlibrisgroup.com/primo-explore/search?tab=default_tab&amp;search_scope=EVERYTHING&amp;vid=01CRU&amp;lang=en_US&amp;offset=0&amp;query=any,contains,991002999389702656","Catalog Record")</f>
        <v/>
      </c>
      <c r="AT698">
        <f>HYPERLINK("http://www.worldcat.org/oclc/567566","WorldCat Record")</f>
        <v/>
      </c>
      <c r="AU698" t="inlineStr">
        <is>
          <t>197547046:eng</t>
        </is>
      </c>
      <c r="AV698" t="inlineStr">
        <is>
          <t>567566</t>
        </is>
      </c>
      <c r="AW698" t="inlineStr">
        <is>
          <t>991002999389702656</t>
        </is>
      </c>
      <c r="AX698" t="inlineStr">
        <is>
          <t>991002999389702656</t>
        </is>
      </c>
      <c r="AY698" t="inlineStr">
        <is>
          <t>2257690670002656</t>
        </is>
      </c>
      <c r="AZ698" t="inlineStr">
        <is>
          <t>BOOK</t>
        </is>
      </c>
      <c r="BC698" t="inlineStr">
        <is>
          <t>32285002981800</t>
        </is>
      </c>
      <c r="BD698" t="inlineStr">
        <is>
          <t>893434545</t>
        </is>
      </c>
    </row>
    <row r="699">
      <c r="A699" t="inlineStr">
        <is>
          <t>No</t>
        </is>
      </c>
      <c r="B699" t="inlineStr">
        <is>
          <t>QL641 .D6 1933</t>
        </is>
      </c>
      <c r="C699" t="inlineStr">
        <is>
          <t>0                      QL 0641000D  6           1933</t>
        </is>
      </c>
      <c r="D699" t="inlineStr">
        <is>
          <t>Reptiles of the world : the crocodilians, lizards, snakes, turtles and tortoises of the eastern and western hemispheres / by Raymond L. Ditmars.</t>
        </is>
      </c>
      <c r="F699" t="inlineStr">
        <is>
          <t>No</t>
        </is>
      </c>
      <c r="G699" t="inlineStr">
        <is>
          <t>1</t>
        </is>
      </c>
      <c r="H699" t="inlineStr">
        <is>
          <t>No</t>
        </is>
      </c>
      <c r="I699" t="inlineStr">
        <is>
          <t>No</t>
        </is>
      </c>
      <c r="J699" t="inlineStr">
        <is>
          <t>0</t>
        </is>
      </c>
      <c r="K699" t="inlineStr">
        <is>
          <t>Ditmars, Raymond Lee, 1876-1942.</t>
        </is>
      </c>
      <c r="L699" t="inlineStr">
        <is>
          <t>New York, The Macmillan company, 1933.</t>
        </is>
      </c>
      <c r="M699" t="inlineStr">
        <is>
          <t>1933</t>
        </is>
      </c>
      <c r="N699" t="inlineStr">
        <is>
          <t>New rev. ed.</t>
        </is>
      </c>
      <c r="O699" t="inlineStr">
        <is>
          <t>eng</t>
        </is>
      </c>
      <c r="P699" t="inlineStr">
        <is>
          <t>___</t>
        </is>
      </c>
      <c r="R699" t="inlineStr">
        <is>
          <t xml:space="preserve">QL </t>
        </is>
      </c>
      <c r="S699" t="n">
        <v>6</v>
      </c>
      <c r="T699" t="n">
        <v>6</v>
      </c>
      <c r="U699" t="inlineStr">
        <is>
          <t>2006-02-24</t>
        </is>
      </c>
      <c r="V699" t="inlineStr">
        <is>
          <t>2006-02-24</t>
        </is>
      </c>
      <c r="W699" t="inlineStr">
        <is>
          <t>1993-02-12</t>
        </is>
      </c>
      <c r="X699" t="inlineStr">
        <is>
          <t>1993-02-12</t>
        </is>
      </c>
      <c r="Y699" t="n">
        <v>783</v>
      </c>
      <c r="Z699" t="n">
        <v>749</v>
      </c>
      <c r="AA699" t="n">
        <v>930</v>
      </c>
      <c r="AB699" t="n">
        <v>4</v>
      </c>
      <c r="AC699" t="n">
        <v>4</v>
      </c>
      <c r="AD699" t="n">
        <v>17</v>
      </c>
      <c r="AE699" t="n">
        <v>20</v>
      </c>
      <c r="AF699" t="n">
        <v>6</v>
      </c>
      <c r="AG699" t="n">
        <v>8</v>
      </c>
      <c r="AH699" t="n">
        <v>3</v>
      </c>
      <c r="AI699" t="n">
        <v>4</v>
      </c>
      <c r="AJ699" t="n">
        <v>10</v>
      </c>
      <c r="AK699" t="n">
        <v>12</v>
      </c>
      <c r="AL699" t="n">
        <v>2</v>
      </c>
      <c r="AM699" t="n">
        <v>2</v>
      </c>
      <c r="AN699" t="n">
        <v>0</v>
      </c>
      <c r="AO699" t="n">
        <v>0</v>
      </c>
      <c r="AP699" t="inlineStr">
        <is>
          <t>No</t>
        </is>
      </c>
      <c r="AQ699" t="inlineStr">
        <is>
          <t>Yes</t>
        </is>
      </c>
      <c r="AR699">
        <f>HYPERLINK("http://catalog.hathitrust.org/Record/001501044","HathiTrust Record")</f>
        <v/>
      </c>
      <c r="AS699">
        <f>HYPERLINK("https://creighton-primo.hosted.exlibrisgroup.com/primo-explore/search?tab=default_tab&amp;search_scope=EVERYTHING&amp;vid=01CRU&amp;lang=en_US&amp;offset=0&amp;query=any,contains,991002983999702656","Catalog Record")</f>
        <v/>
      </c>
      <c r="AT699">
        <f>HYPERLINK("http://www.worldcat.org/oclc/556381","WorldCat Record")</f>
        <v/>
      </c>
      <c r="AU699" t="inlineStr">
        <is>
          <t>1618067:eng</t>
        </is>
      </c>
      <c r="AV699" t="inlineStr">
        <is>
          <t>556381</t>
        </is>
      </c>
      <c r="AW699" t="inlineStr">
        <is>
          <t>991002983999702656</t>
        </is>
      </c>
      <c r="AX699" t="inlineStr">
        <is>
          <t>991002983999702656</t>
        </is>
      </c>
      <c r="AY699" t="inlineStr">
        <is>
          <t>2259902080002656</t>
        </is>
      </c>
      <c r="AZ699" t="inlineStr">
        <is>
          <t>BOOK</t>
        </is>
      </c>
      <c r="BC699" t="inlineStr">
        <is>
          <t>32285001532927</t>
        </is>
      </c>
      <c r="BD699" t="inlineStr">
        <is>
          <t>893317513</t>
        </is>
      </c>
    </row>
    <row r="700">
      <c r="A700" t="inlineStr">
        <is>
          <t>No</t>
        </is>
      </c>
      <c r="B700" t="inlineStr">
        <is>
          <t>QL641 .P6 1955</t>
        </is>
      </c>
      <c r="C700" t="inlineStr">
        <is>
          <t>0                      QL 0641000P  6           1955</t>
        </is>
      </c>
      <c r="D700" t="inlineStr">
        <is>
          <t>The reptile world : a natural history of the snakes, lizards, turtles, and crocodilians.</t>
        </is>
      </c>
      <c r="F700" t="inlineStr">
        <is>
          <t>No</t>
        </is>
      </c>
      <c r="G700" t="inlineStr">
        <is>
          <t>1</t>
        </is>
      </c>
      <c r="H700" t="inlineStr">
        <is>
          <t>No</t>
        </is>
      </c>
      <c r="I700" t="inlineStr">
        <is>
          <t>No</t>
        </is>
      </c>
      <c r="J700" t="inlineStr">
        <is>
          <t>0</t>
        </is>
      </c>
      <c r="K700" t="inlineStr">
        <is>
          <t>Pope, Clifford H. (Clifford Hillhouse), 1899-1974.</t>
        </is>
      </c>
      <c r="L700" t="inlineStr">
        <is>
          <t>New York : Knopf, 1955.</t>
        </is>
      </c>
      <c r="M700" t="inlineStr">
        <is>
          <t>1955</t>
        </is>
      </c>
      <c r="N700" t="inlineStr">
        <is>
          <t>[1st ed.]</t>
        </is>
      </c>
      <c r="O700" t="inlineStr">
        <is>
          <t>eng</t>
        </is>
      </c>
      <c r="P700" t="inlineStr">
        <is>
          <t>nyu</t>
        </is>
      </c>
      <c r="R700" t="inlineStr">
        <is>
          <t xml:space="preserve">QL </t>
        </is>
      </c>
      <c r="S700" t="n">
        <v>15</v>
      </c>
      <c r="T700" t="n">
        <v>15</v>
      </c>
      <c r="U700" t="inlineStr">
        <is>
          <t>2006-02-24</t>
        </is>
      </c>
      <c r="V700" t="inlineStr">
        <is>
          <t>2006-02-24</t>
        </is>
      </c>
      <c r="W700" t="inlineStr">
        <is>
          <t>1993-04-01</t>
        </is>
      </c>
      <c r="X700" t="inlineStr">
        <is>
          <t>1993-04-01</t>
        </is>
      </c>
      <c r="Y700" t="n">
        <v>704</v>
      </c>
      <c r="Z700" t="n">
        <v>661</v>
      </c>
      <c r="AA700" t="n">
        <v>738</v>
      </c>
      <c r="AB700" t="n">
        <v>6</v>
      </c>
      <c r="AC700" t="n">
        <v>6</v>
      </c>
      <c r="AD700" t="n">
        <v>15</v>
      </c>
      <c r="AE700" t="n">
        <v>15</v>
      </c>
      <c r="AF700" t="n">
        <v>6</v>
      </c>
      <c r="AG700" t="n">
        <v>6</v>
      </c>
      <c r="AH700" t="n">
        <v>1</v>
      </c>
      <c r="AI700" t="n">
        <v>1</v>
      </c>
      <c r="AJ700" t="n">
        <v>6</v>
      </c>
      <c r="AK700" t="n">
        <v>6</v>
      </c>
      <c r="AL700" t="n">
        <v>4</v>
      </c>
      <c r="AM700" t="n">
        <v>4</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HYPERLINK("https://creighton-primo.hosted.exlibrisgroup.com/primo-explore/search?tab=default_tab&amp;search_scope=EVERYTHING&amp;vid=01CRU&amp;lang=en_US&amp;offset=0&amp;query=any,contains,991002262839702656","Catalog Record")</f>
        <v/>
      </c>
      <c r="AT700">
        <f>HYPERLINK("http://www.worldcat.org/oclc/305269","WorldCat Record")</f>
        <v/>
      </c>
      <c r="AU700" t="inlineStr">
        <is>
          <t>196687105:eng</t>
        </is>
      </c>
      <c r="AV700" t="inlineStr">
        <is>
          <t>305269</t>
        </is>
      </c>
      <c r="AW700" t="inlineStr">
        <is>
          <t>991002262839702656</t>
        </is>
      </c>
      <c r="AX700" t="inlineStr">
        <is>
          <t>991002262839702656</t>
        </is>
      </c>
      <c r="AY700" t="inlineStr">
        <is>
          <t>2265620420002656</t>
        </is>
      </c>
      <c r="AZ700" t="inlineStr">
        <is>
          <t>BOOK</t>
        </is>
      </c>
      <c r="BC700" t="inlineStr">
        <is>
          <t>32285001597797</t>
        </is>
      </c>
      <c r="BD700" t="inlineStr">
        <is>
          <t>893244959</t>
        </is>
      </c>
    </row>
    <row r="701">
      <c r="A701" t="inlineStr">
        <is>
          <t>No</t>
        </is>
      </c>
      <c r="B701" t="inlineStr">
        <is>
          <t>QL644 .C3</t>
        </is>
      </c>
      <c r="C701" t="inlineStr">
        <is>
          <t>0                      QL 0644000C  3</t>
        </is>
      </c>
      <c r="D701" t="inlineStr">
        <is>
          <t>The reptiles / by Archie Carr and the editors of Life.</t>
        </is>
      </c>
      <c r="F701" t="inlineStr">
        <is>
          <t>No</t>
        </is>
      </c>
      <c r="G701" t="inlineStr">
        <is>
          <t>1</t>
        </is>
      </c>
      <c r="H701" t="inlineStr">
        <is>
          <t>No</t>
        </is>
      </c>
      <c r="I701" t="inlineStr">
        <is>
          <t>No</t>
        </is>
      </c>
      <c r="J701" t="inlineStr">
        <is>
          <t>0</t>
        </is>
      </c>
      <c r="K701" t="inlineStr">
        <is>
          <t>Carr, Archie, 1909-1987.</t>
        </is>
      </c>
      <c r="L701" t="inlineStr">
        <is>
          <t>New York : Time, inc., [1963]</t>
        </is>
      </c>
      <c r="M701" t="inlineStr">
        <is>
          <t>1963</t>
        </is>
      </c>
      <c r="O701" t="inlineStr">
        <is>
          <t>eng</t>
        </is>
      </c>
      <c r="P701" t="inlineStr">
        <is>
          <t>nyu</t>
        </is>
      </c>
      <c r="Q701" t="inlineStr">
        <is>
          <t>Life nature library</t>
        </is>
      </c>
      <c r="R701" t="inlineStr">
        <is>
          <t xml:space="preserve">QL </t>
        </is>
      </c>
      <c r="S701" t="n">
        <v>11</v>
      </c>
      <c r="T701" t="n">
        <v>11</v>
      </c>
      <c r="U701" t="inlineStr">
        <is>
          <t>2006-02-24</t>
        </is>
      </c>
      <c r="V701" t="inlineStr">
        <is>
          <t>2006-02-24</t>
        </is>
      </c>
      <c r="W701" t="inlineStr">
        <is>
          <t>1994-03-02</t>
        </is>
      </c>
      <c r="X701" t="inlineStr">
        <is>
          <t>1994-03-02</t>
        </is>
      </c>
      <c r="Y701" t="n">
        <v>1278</v>
      </c>
      <c r="Z701" t="n">
        <v>1208</v>
      </c>
      <c r="AA701" t="n">
        <v>1632</v>
      </c>
      <c r="AB701" t="n">
        <v>17</v>
      </c>
      <c r="AC701" t="n">
        <v>25</v>
      </c>
      <c r="AD701" t="n">
        <v>21</v>
      </c>
      <c r="AE701" t="n">
        <v>22</v>
      </c>
      <c r="AF701" t="n">
        <v>8</v>
      </c>
      <c r="AG701" t="n">
        <v>9</v>
      </c>
      <c r="AH701" t="n">
        <v>1</v>
      </c>
      <c r="AI701" t="n">
        <v>1</v>
      </c>
      <c r="AJ701" t="n">
        <v>12</v>
      </c>
      <c r="AK701" t="n">
        <v>13</v>
      </c>
      <c r="AL701" t="n">
        <v>5</v>
      </c>
      <c r="AM701" t="n">
        <v>5</v>
      </c>
      <c r="AN701" t="n">
        <v>0</v>
      </c>
      <c r="AO701" t="n">
        <v>0</v>
      </c>
      <c r="AP701" t="inlineStr">
        <is>
          <t>Yes</t>
        </is>
      </c>
      <c r="AQ701" t="inlineStr">
        <is>
          <t>No</t>
        </is>
      </c>
      <c r="AR701">
        <f>HYPERLINK("http://catalog.hathitrust.org/Record/001501062","HathiTrust Record")</f>
        <v/>
      </c>
      <c r="AS701">
        <f>HYPERLINK("https://creighton-primo.hosted.exlibrisgroup.com/primo-explore/search?tab=default_tab&amp;search_scope=EVERYTHING&amp;vid=01CRU&amp;lang=en_US&amp;offset=0&amp;query=any,contains,991003431709702656","Catalog Record")</f>
        <v/>
      </c>
      <c r="AT701">
        <f>HYPERLINK("http://www.worldcat.org/oclc/966452","WorldCat Record")</f>
        <v/>
      </c>
      <c r="AU701" t="inlineStr">
        <is>
          <t>68813918:eng</t>
        </is>
      </c>
      <c r="AV701" t="inlineStr">
        <is>
          <t>966452</t>
        </is>
      </c>
      <c r="AW701" t="inlineStr">
        <is>
          <t>991003431709702656</t>
        </is>
      </c>
      <c r="AX701" t="inlineStr">
        <is>
          <t>991003431709702656</t>
        </is>
      </c>
      <c r="AY701" t="inlineStr">
        <is>
          <t>2262157510002656</t>
        </is>
      </c>
      <c r="AZ701" t="inlineStr">
        <is>
          <t>BOOK</t>
        </is>
      </c>
      <c r="BC701" t="inlineStr">
        <is>
          <t>32285001851210</t>
        </is>
      </c>
      <c r="BD701" t="inlineStr">
        <is>
          <t>893445655</t>
        </is>
      </c>
    </row>
    <row r="702">
      <c r="A702" t="inlineStr">
        <is>
          <t>No</t>
        </is>
      </c>
      <c r="B702" t="inlineStr">
        <is>
          <t>QL644 .C6</t>
        </is>
      </c>
      <c r="C702" t="inlineStr">
        <is>
          <t>0                      QL 0644000C  6</t>
        </is>
      </c>
      <c r="D702" t="inlineStr">
        <is>
          <t>The new field book of reptiles and amphibians / [by] Doris M. Cochran [and] Coleman J. Goin.</t>
        </is>
      </c>
      <c r="F702" t="inlineStr">
        <is>
          <t>No</t>
        </is>
      </c>
      <c r="G702" t="inlineStr">
        <is>
          <t>1</t>
        </is>
      </c>
      <c r="H702" t="inlineStr">
        <is>
          <t>No</t>
        </is>
      </c>
      <c r="I702" t="inlineStr">
        <is>
          <t>No</t>
        </is>
      </c>
      <c r="J702" t="inlineStr">
        <is>
          <t>0</t>
        </is>
      </c>
      <c r="K702" t="inlineStr">
        <is>
          <t>Cochran, Doris M. (Doris Mable), 1898-1968.</t>
        </is>
      </c>
      <c r="L702" t="inlineStr">
        <is>
          <t>New York : Putnam, [1970]</t>
        </is>
      </c>
      <c r="M702" t="inlineStr">
        <is>
          <t>1970</t>
        </is>
      </c>
      <c r="O702" t="inlineStr">
        <is>
          <t>eng</t>
        </is>
      </c>
      <c r="P702" t="inlineStr">
        <is>
          <t>nyu</t>
        </is>
      </c>
      <c r="R702" t="inlineStr">
        <is>
          <t xml:space="preserve">QL </t>
        </is>
      </c>
      <c r="S702" t="n">
        <v>12</v>
      </c>
      <c r="T702" t="n">
        <v>12</v>
      </c>
      <c r="U702" t="inlineStr">
        <is>
          <t>2007-03-18</t>
        </is>
      </c>
      <c r="V702" t="inlineStr">
        <is>
          <t>2007-03-18</t>
        </is>
      </c>
      <c r="W702" t="inlineStr">
        <is>
          <t>1995-01-14</t>
        </is>
      </c>
      <c r="X702" t="inlineStr">
        <is>
          <t>1995-01-14</t>
        </is>
      </c>
      <c r="Y702" t="n">
        <v>939</v>
      </c>
      <c r="Z702" t="n">
        <v>900</v>
      </c>
      <c r="AA702" t="n">
        <v>916</v>
      </c>
      <c r="AB702" t="n">
        <v>7</v>
      </c>
      <c r="AC702" t="n">
        <v>7</v>
      </c>
      <c r="AD702" t="n">
        <v>16</v>
      </c>
      <c r="AE702" t="n">
        <v>16</v>
      </c>
      <c r="AF702" t="n">
        <v>6</v>
      </c>
      <c r="AG702" t="n">
        <v>6</v>
      </c>
      <c r="AH702" t="n">
        <v>0</v>
      </c>
      <c r="AI702" t="n">
        <v>0</v>
      </c>
      <c r="AJ702" t="n">
        <v>7</v>
      </c>
      <c r="AK702" t="n">
        <v>7</v>
      </c>
      <c r="AL702" t="n">
        <v>4</v>
      </c>
      <c r="AM702" t="n">
        <v>4</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HYPERLINK("https://creighton-primo.hosted.exlibrisgroup.com/primo-explore/search?tab=default_tab&amp;search_scope=EVERYTHING&amp;vid=01CRU&amp;lang=en_US&amp;offset=0&amp;query=any,contains,991000431499702656","Catalog Record")</f>
        <v/>
      </c>
      <c r="AT702">
        <f>HYPERLINK("http://www.worldcat.org/oclc/75884","WorldCat Record")</f>
        <v/>
      </c>
      <c r="AU702" t="inlineStr">
        <is>
          <t>1249101:eng</t>
        </is>
      </c>
      <c r="AV702" t="inlineStr">
        <is>
          <t>75884</t>
        </is>
      </c>
      <c r="AW702" t="inlineStr">
        <is>
          <t>991000431499702656</t>
        </is>
      </c>
      <c r="AX702" t="inlineStr">
        <is>
          <t>991000431499702656</t>
        </is>
      </c>
      <c r="AY702" t="inlineStr">
        <is>
          <t>2255781850002656</t>
        </is>
      </c>
      <c r="AZ702" t="inlineStr">
        <is>
          <t>BOOK</t>
        </is>
      </c>
      <c r="BC702" t="inlineStr">
        <is>
          <t>32285001986768</t>
        </is>
      </c>
      <c r="BD702" t="inlineStr">
        <is>
          <t>893620479</t>
        </is>
      </c>
    </row>
    <row r="703">
      <c r="A703" t="inlineStr">
        <is>
          <t>No</t>
        </is>
      </c>
      <c r="B703" t="inlineStr">
        <is>
          <t>QL644 .S35</t>
        </is>
      </c>
      <c r="C703" t="inlineStr">
        <is>
          <t>0                      QL 0644000S  35</t>
        </is>
      </c>
      <c r="D703" t="inlineStr">
        <is>
          <t>Living reptiles of the world, by Karl P. Schmidt and Robert F. Inger. Photos. by Roy Pinney [and others]</t>
        </is>
      </c>
      <c r="F703" t="inlineStr">
        <is>
          <t>No</t>
        </is>
      </c>
      <c r="G703" t="inlineStr">
        <is>
          <t>1</t>
        </is>
      </c>
      <c r="H703" t="inlineStr">
        <is>
          <t>No</t>
        </is>
      </c>
      <c r="I703" t="inlineStr">
        <is>
          <t>No</t>
        </is>
      </c>
      <c r="J703" t="inlineStr">
        <is>
          <t>0</t>
        </is>
      </c>
      <c r="K703" t="inlineStr">
        <is>
          <t>Schmidt, Karl Patterson, 1890-1957.</t>
        </is>
      </c>
      <c r="L703" t="inlineStr">
        <is>
          <t>Garden City, N.Y., Hanover House [1957]</t>
        </is>
      </c>
      <c r="M703" t="inlineStr">
        <is>
          <t>1957</t>
        </is>
      </c>
      <c r="O703" t="inlineStr">
        <is>
          <t>eng</t>
        </is>
      </c>
      <c r="P703" t="inlineStr">
        <is>
          <t>nyu</t>
        </is>
      </c>
      <c r="R703" t="inlineStr">
        <is>
          <t xml:space="preserve">QL </t>
        </is>
      </c>
      <c r="S703" t="n">
        <v>14</v>
      </c>
      <c r="T703" t="n">
        <v>14</v>
      </c>
      <c r="U703" t="inlineStr">
        <is>
          <t>2004-03-21</t>
        </is>
      </c>
      <c r="V703" t="inlineStr">
        <is>
          <t>2004-03-21</t>
        </is>
      </c>
      <c r="W703" t="inlineStr">
        <is>
          <t>1992-04-16</t>
        </is>
      </c>
      <c r="X703" t="inlineStr">
        <is>
          <t>1992-04-16</t>
        </is>
      </c>
      <c r="Y703" t="n">
        <v>554</v>
      </c>
      <c r="Z703" t="n">
        <v>512</v>
      </c>
      <c r="AA703" t="n">
        <v>722</v>
      </c>
      <c r="AB703" t="n">
        <v>5</v>
      </c>
      <c r="AC703" t="n">
        <v>6</v>
      </c>
      <c r="AD703" t="n">
        <v>13</v>
      </c>
      <c r="AE703" t="n">
        <v>19</v>
      </c>
      <c r="AF703" t="n">
        <v>3</v>
      </c>
      <c r="AG703" t="n">
        <v>5</v>
      </c>
      <c r="AH703" t="n">
        <v>2</v>
      </c>
      <c r="AI703" t="n">
        <v>4</v>
      </c>
      <c r="AJ703" t="n">
        <v>7</v>
      </c>
      <c r="AK703" t="n">
        <v>9</v>
      </c>
      <c r="AL703" t="n">
        <v>3</v>
      </c>
      <c r="AM703" t="n">
        <v>4</v>
      </c>
      <c r="AN703" t="n">
        <v>0</v>
      </c>
      <c r="AO703" t="n">
        <v>0</v>
      </c>
      <c r="AP703" t="inlineStr">
        <is>
          <t>No</t>
        </is>
      </c>
      <c r="AQ703" t="inlineStr">
        <is>
          <t>Yes</t>
        </is>
      </c>
      <c r="AR703">
        <f>HYPERLINK("http://catalog.hathitrust.org/Record/001501065","HathiTrust Record")</f>
        <v/>
      </c>
      <c r="AS703">
        <f>HYPERLINK("https://creighton-primo.hosted.exlibrisgroup.com/primo-explore/search?tab=default_tab&amp;search_scope=EVERYTHING&amp;vid=01CRU&amp;lang=en_US&amp;offset=0&amp;query=any,contains,991002982339702656","Catalog Record")</f>
        <v/>
      </c>
      <c r="AT703">
        <f>HYPERLINK("http://www.worldcat.org/oclc/555533","WorldCat Record")</f>
        <v/>
      </c>
      <c r="AU703" t="inlineStr">
        <is>
          <t>4494927850:eng</t>
        </is>
      </c>
      <c r="AV703" t="inlineStr">
        <is>
          <t>555533</t>
        </is>
      </c>
      <c r="AW703" t="inlineStr">
        <is>
          <t>991002982339702656</t>
        </is>
      </c>
      <c r="AX703" t="inlineStr">
        <is>
          <t>991002982339702656</t>
        </is>
      </c>
      <c r="AY703" t="inlineStr">
        <is>
          <t>2260491820002656</t>
        </is>
      </c>
      <c r="AZ703" t="inlineStr">
        <is>
          <t>BOOK</t>
        </is>
      </c>
      <c r="BC703" t="inlineStr">
        <is>
          <t>32285001053452</t>
        </is>
      </c>
      <c r="BD703" t="inlineStr">
        <is>
          <t>893598134</t>
        </is>
      </c>
    </row>
    <row r="704">
      <c r="A704" t="inlineStr">
        <is>
          <t>No</t>
        </is>
      </c>
      <c r="B704" t="inlineStr">
        <is>
          <t>QL645 .G68 1986</t>
        </is>
      </c>
      <c r="C704" t="inlineStr">
        <is>
          <t>0                      QL 0645000G  68          1986</t>
        </is>
      </c>
      <c r="D704" t="inlineStr">
        <is>
          <t>Reptiles, their Latin names explained : a guide to animal classification / A.F. Gotch.</t>
        </is>
      </c>
      <c r="F704" t="inlineStr">
        <is>
          <t>No</t>
        </is>
      </c>
      <c r="G704" t="inlineStr">
        <is>
          <t>1</t>
        </is>
      </c>
      <c r="H704" t="inlineStr">
        <is>
          <t>No</t>
        </is>
      </c>
      <c r="I704" t="inlineStr">
        <is>
          <t>No</t>
        </is>
      </c>
      <c r="J704" t="inlineStr">
        <is>
          <t>0</t>
        </is>
      </c>
      <c r="K704" t="inlineStr">
        <is>
          <t>Gotch, A. F. (Arthur Frederick)</t>
        </is>
      </c>
      <c r="L704" t="inlineStr">
        <is>
          <t>Poole, Dorset ; New York : Blandford Press ; New York, NY : Distributed in the U.S. by Sterling Pub., c1986.</t>
        </is>
      </c>
      <c r="M704" t="inlineStr">
        <is>
          <t>1986</t>
        </is>
      </c>
      <c r="O704" t="inlineStr">
        <is>
          <t>eng</t>
        </is>
      </c>
      <c r="P704" t="inlineStr">
        <is>
          <t>enk</t>
        </is>
      </c>
      <c r="R704" t="inlineStr">
        <is>
          <t xml:space="preserve">QL </t>
        </is>
      </c>
      <c r="S704" t="n">
        <v>5</v>
      </c>
      <c r="T704" t="n">
        <v>5</v>
      </c>
      <c r="U704" t="inlineStr">
        <is>
          <t>2003-02-27</t>
        </is>
      </c>
      <c r="V704" t="inlineStr">
        <is>
          <t>2003-02-27</t>
        </is>
      </c>
      <c r="W704" t="inlineStr">
        <is>
          <t>1990-11-26</t>
        </is>
      </c>
      <c r="X704" t="inlineStr">
        <is>
          <t>1990-11-26</t>
        </is>
      </c>
      <c r="Y704" t="n">
        <v>178</v>
      </c>
      <c r="Z704" t="n">
        <v>127</v>
      </c>
      <c r="AA704" t="n">
        <v>127</v>
      </c>
      <c r="AB704" t="n">
        <v>3</v>
      </c>
      <c r="AC704" t="n">
        <v>3</v>
      </c>
      <c r="AD704" t="n">
        <v>3</v>
      </c>
      <c r="AE704" t="n">
        <v>3</v>
      </c>
      <c r="AF704" t="n">
        <v>1</v>
      </c>
      <c r="AG704" t="n">
        <v>1</v>
      </c>
      <c r="AH704" t="n">
        <v>0</v>
      </c>
      <c r="AI704" t="n">
        <v>0</v>
      </c>
      <c r="AJ704" t="n">
        <v>0</v>
      </c>
      <c r="AK704" t="n">
        <v>0</v>
      </c>
      <c r="AL704" t="n">
        <v>2</v>
      </c>
      <c r="AM704" t="n">
        <v>2</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HYPERLINK("https://creighton-primo.hosted.exlibrisgroup.com/primo-explore/search?tab=default_tab&amp;search_scope=EVERYTHING&amp;vid=01CRU&amp;lang=en_US&amp;offset=0&amp;query=any,contains,991000941239702656","Catalog Record")</f>
        <v/>
      </c>
      <c r="AT704">
        <f>HYPERLINK("http://www.worldcat.org/oclc/14412159","WorldCat Record")</f>
        <v/>
      </c>
      <c r="AU704" t="inlineStr">
        <is>
          <t>8326102:eng</t>
        </is>
      </c>
      <c r="AV704" t="inlineStr">
        <is>
          <t>14412159</t>
        </is>
      </c>
      <c r="AW704" t="inlineStr">
        <is>
          <t>991000941239702656</t>
        </is>
      </c>
      <c r="AX704" t="inlineStr">
        <is>
          <t>991000941239702656</t>
        </is>
      </c>
      <c r="AY704" t="inlineStr">
        <is>
          <t>2261957830002656</t>
        </is>
      </c>
      <c r="AZ704" t="inlineStr">
        <is>
          <t>BOOK</t>
        </is>
      </c>
      <c r="BB704" t="inlineStr">
        <is>
          <t>9780713717044</t>
        </is>
      </c>
      <c r="BC704" t="inlineStr">
        <is>
          <t>32285000356625</t>
        </is>
      </c>
      <c r="BD704" t="inlineStr">
        <is>
          <t>893515765</t>
        </is>
      </c>
    </row>
    <row r="705">
      <c r="A705" t="inlineStr">
        <is>
          <t>No</t>
        </is>
      </c>
      <c r="B705" t="inlineStr">
        <is>
          <t>QL645 .W4</t>
        </is>
      </c>
      <c r="C705" t="inlineStr">
        <is>
          <t>0                      QL 0645000W  4</t>
        </is>
      </c>
      <c r="D705" t="inlineStr">
        <is>
          <t>Guide to living reptiles / J.E. Webb, J.A. Wallwork, J.H. Elgood.</t>
        </is>
      </c>
      <c r="F705" t="inlineStr">
        <is>
          <t>No</t>
        </is>
      </c>
      <c r="G705" t="inlineStr">
        <is>
          <t>1</t>
        </is>
      </c>
      <c r="H705" t="inlineStr">
        <is>
          <t>No</t>
        </is>
      </c>
      <c r="I705" t="inlineStr">
        <is>
          <t>No</t>
        </is>
      </c>
      <c r="J705" t="inlineStr">
        <is>
          <t>0</t>
        </is>
      </c>
      <c r="K705" t="inlineStr">
        <is>
          <t>Webb, J. E.</t>
        </is>
      </c>
      <c r="L705" t="inlineStr">
        <is>
          <t>London : Macmillan, 1978.</t>
        </is>
      </c>
      <c r="M705" t="inlineStr">
        <is>
          <t>1978</t>
        </is>
      </c>
      <c r="O705" t="inlineStr">
        <is>
          <t>eng</t>
        </is>
      </c>
      <c r="P705" t="inlineStr">
        <is>
          <t>enk</t>
        </is>
      </c>
      <c r="R705" t="inlineStr">
        <is>
          <t xml:space="preserve">QL </t>
        </is>
      </c>
      <c r="S705" t="n">
        <v>6</v>
      </c>
      <c r="T705" t="n">
        <v>6</v>
      </c>
      <c r="U705" t="inlineStr">
        <is>
          <t>1996-06-12</t>
        </is>
      </c>
      <c r="V705" t="inlineStr">
        <is>
          <t>1996-06-12</t>
        </is>
      </c>
      <c r="W705" t="inlineStr">
        <is>
          <t>1993-02-12</t>
        </is>
      </c>
      <c r="X705" t="inlineStr">
        <is>
          <t>1993-02-12</t>
        </is>
      </c>
      <c r="Y705" t="n">
        <v>141</v>
      </c>
      <c r="Z705" t="n">
        <v>27</v>
      </c>
      <c r="AA705" t="n">
        <v>48</v>
      </c>
      <c r="AB705" t="n">
        <v>2</v>
      </c>
      <c r="AC705" t="n">
        <v>2</v>
      </c>
      <c r="AD705" t="n">
        <v>1</v>
      </c>
      <c r="AE705" t="n">
        <v>1</v>
      </c>
      <c r="AF705" t="n">
        <v>0</v>
      </c>
      <c r="AG705" t="n">
        <v>0</v>
      </c>
      <c r="AH705" t="n">
        <v>0</v>
      </c>
      <c r="AI705" t="n">
        <v>0</v>
      </c>
      <c r="AJ705" t="n">
        <v>0</v>
      </c>
      <c r="AK705" t="n">
        <v>0</v>
      </c>
      <c r="AL705" t="n">
        <v>1</v>
      </c>
      <c r="AM705" t="n">
        <v>1</v>
      </c>
      <c r="AN705" t="n">
        <v>0</v>
      </c>
      <c r="AO705" t="n">
        <v>0</v>
      </c>
      <c r="AP705" t="inlineStr">
        <is>
          <t>No</t>
        </is>
      </c>
      <c r="AQ705" t="inlineStr">
        <is>
          <t>Yes</t>
        </is>
      </c>
      <c r="AR705">
        <f>HYPERLINK("http://catalog.hathitrust.org/Record/100222217","HathiTrust Record")</f>
        <v/>
      </c>
      <c r="AS705">
        <f>HYPERLINK("https://creighton-primo.hosted.exlibrisgroup.com/primo-explore/search?tab=default_tab&amp;search_scope=EVERYTHING&amp;vid=01CRU&amp;lang=en_US&amp;offset=0&amp;query=any,contains,991004823209702656","Catalog Record")</f>
        <v/>
      </c>
      <c r="AT705">
        <f>HYPERLINK("http://www.worldcat.org/oclc/5338533","WorldCat Record")</f>
        <v/>
      </c>
      <c r="AU705" t="inlineStr">
        <is>
          <t>17917837:eng</t>
        </is>
      </c>
      <c r="AV705" t="inlineStr">
        <is>
          <t>5338533</t>
        </is>
      </c>
      <c r="AW705" t="inlineStr">
        <is>
          <t>991004823209702656</t>
        </is>
      </c>
      <c r="AX705" t="inlineStr">
        <is>
          <t>991004823209702656</t>
        </is>
      </c>
      <c r="AY705" t="inlineStr">
        <is>
          <t>2268193470002656</t>
        </is>
      </c>
      <c r="AZ705" t="inlineStr">
        <is>
          <t>BOOK</t>
        </is>
      </c>
      <c r="BB705" t="inlineStr">
        <is>
          <t>9780333256534</t>
        </is>
      </c>
      <c r="BC705" t="inlineStr">
        <is>
          <t>32285001532943</t>
        </is>
      </c>
      <c r="BD705" t="inlineStr">
        <is>
          <t>893241877</t>
        </is>
      </c>
    </row>
    <row r="706">
      <c r="A706" t="inlineStr">
        <is>
          <t>No</t>
        </is>
      </c>
      <c r="B706" t="inlineStr">
        <is>
          <t>QL651 .B37</t>
        </is>
      </c>
      <c r="C706" t="inlineStr">
        <is>
          <t>0                      QL 0651000B  37</t>
        </is>
      </c>
      <c r="D706" t="inlineStr">
        <is>
          <t>Familiar reptiles and amphibians of America / drawings by John Cameron Yrizarry.</t>
        </is>
      </c>
      <c r="F706" t="inlineStr">
        <is>
          <t>No</t>
        </is>
      </c>
      <c r="G706" t="inlineStr">
        <is>
          <t>1</t>
        </is>
      </c>
      <c r="H706" t="inlineStr">
        <is>
          <t>No</t>
        </is>
      </c>
      <c r="I706" t="inlineStr">
        <is>
          <t>No</t>
        </is>
      </c>
      <c r="J706" t="inlineStr">
        <is>
          <t>0</t>
        </is>
      </c>
      <c r="K706" t="inlineStr">
        <is>
          <t>Barker, Will.</t>
        </is>
      </c>
      <c r="L706" t="inlineStr">
        <is>
          <t>New York : Harper &amp; Row, [1964]</t>
        </is>
      </c>
      <c r="M706" t="inlineStr">
        <is>
          <t>1964</t>
        </is>
      </c>
      <c r="N706" t="inlineStr">
        <is>
          <t>[1st ed.]</t>
        </is>
      </c>
      <c r="O706" t="inlineStr">
        <is>
          <t>eng</t>
        </is>
      </c>
      <c r="P706" t="inlineStr">
        <is>
          <t>nyu</t>
        </is>
      </c>
      <c r="R706" t="inlineStr">
        <is>
          <t xml:space="preserve">QL </t>
        </is>
      </c>
      <c r="S706" t="n">
        <v>9</v>
      </c>
      <c r="T706" t="n">
        <v>9</v>
      </c>
      <c r="U706" t="inlineStr">
        <is>
          <t>2001-03-11</t>
        </is>
      </c>
      <c r="V706" t="inlineStr">
        <is>
          <t>2001-03-11</t>
        </is>
      </c>
      <c r="W706" t="inlineStr">
        <is>
          <t>1991-10-16</t>
        </is>
      </c>
      <c r="X706" t="inlineStr">
        <is>
          <t>1991-10-16</t>
        </is>
      </c>
      <c r="Y706" t="n">
        <v>792</v>
      </c>
      <c r="Z706" t="n">
        <v>764</v>
      </c>
      <c r="AA706" t="n">
        <v>771</v>
      </c>
      <c r="AB706" t="n">
        <v>8</v>
      </c>
      <c r="AC706" t="n">
        <v>8</v>
      </c>
      <c r="AD706" t="n">
        <v>15</v>
      </c>
      <c r="AE706" t="n">
        <v>15</v>
      </c>
      <c r="AF706" t="n">
        <v>8</v>
      </c>
      <c r="AG706" t="n">
        <v>8</v>
      </c>
      <c r="AH706" t="n">
        <v>2</v>
      </c>
      <c r="AI706" t="n">
        <v>2</v>
      </c>
      <c r="AJ706" t="n">
        <v>5</v>
      </c>
      <c r="AK706" t="n">
        <v>5</v>
      </c>
      <c r="AL706" t="n">
        <v>4</v>
      </c>
      <c r="AM706" t="n">
        <v>4</v>
      </c>
      <c r="AN706" t="n">
        <v>0</v>
      </c>
      <c r="AO706" t="n">
        <v>0</v>
      </c>
      <c r="AP706" t="inlineStr">
        <is>
          <t>No</t>
        </is>
      </c>
      <c r="AQ706" t="inlineStr">
        <is>
          <t>Yes</t>
        </is>
      </c>
      <c r="AR706">
        <f>HYPERLINK("http://catalog.hathitrust.org/Record/007063170","HathiTrust Record")</f>
        <v/>
      </c>
      <c r="AS706">
        <f>HYPERLINK("https://creighton-primo.hosted.exlibrisgroup.com/primo-explore/search?tab=default_tab&amp;search_scope=EVERYTHING&amp;vid=01CRU&amp;lang=en_US&amp;offset=0&amp;query=any,contains,991002823259702656","Catalog Record")</f>
        <v/>
      </c>
      <c r="AT706">
        <f>HYPERLINK("http://www.worldcat.org/oclc/469406","WorldCat Record")</f>
        <v/>
      </c>
      <c r="AU706" t="inlineStr">
        <is>
          <t>1532720:eng</t>
        </is>
      </c>
      <c r="AV706" t="inlineStr">
        <is>
          <t>469406</t>
        </is>
      </c>
      <c r="AW706" t="inlineStr">
        <is>
          <t>991002823259702656</t>
        </is>
      </c>
      <c r="AX706" t="inlineStr">
        <is>
          <t>991002823259702656</t>
        </is>
      </c>
      <c r="AY706" t="inlineStr">
        <is>
          <t>2262147550002656</t>
        </is>
      </c>
      <c r="AZ706" t="inlineStr">
        <is>
          <t>BOOK</t>
        </is>
      </c>
      <c r="BC706" t="inlineStr">
        <is>
          <t>32285000773704</t>
        </is>
      </c>
      <c r="BD706" t="inlineStr">
        <is>
          <t>893227326</t>
        </is>
      </c>
    </row>
    <row r="707">
      <c r="A707" t="inlineStr">
        <is>
          <t>No</t>
        </is>
      </c>
      <c r="B707" t="inlineStr">
        <is>
          <t>QL651 .C65 1975</t>
        </is>
      </c>
      <c r="C707" t="inlineStr">
        <is>
          <t>0                      QL 0651000C  65          1975</t>
        </is>
      </c>
      <c r="D707" t="inlineStr">
        <is>
          <t>A field guide to reptiles and amphibians of Eastern and Central North America / illustrated by Isabelle Hunt Conant.</t>
        </is>
      </c>
      <c r="F707" t="inlineStr">
        <is>
          <t>No</t>
        </is>
      </c>
      <c r="G707" t="inlineStr">
        <is>
          <t>1</t>
        </is>
      </c>
      <c r="H707" t="inlineStr">
        <is>
          <t>No</t>
        </is>
      </c>
      <c r="I707" t="inlineStr">
        <is>
          <t>No</t>
        </is>
      </c>
      <c r="J707" t="inlineStr">
        <is>
          <t>0</t>
        </is>
      </c>
      <c r="K707" t="inlineStr">
        <is>
          <t>Conant, Roger, 1909-2003.</t>
        </is>
      </c>
      <c r="L707" t="inlineStr">
        <is>
          <t>Boston : Houghton Mifflin, 1975.</t>
        </is>
      </c>
      <c r="M707" t="inlineStr">
        <is>
          <t>1975</t>
        </is>
      </c>
      <c r="N707" t="inlineStr">
        <is>
          <t>[2d ed.]</t>
        </is>
      </c>
      <c r="O707" t="inlineStr">
        <is>
          <t>eng</t>
        </is>
      </c>
      <c r="P707" t="inlineStr">
        <is>
          <t>mau</t>
        </is>
      </c>
      <c r="Q707" t="inlineStr">
        <is>
          <t>The Peterson field guide series, 12</t>
        </is>
      </c>
      <c r="R707" t="inlineStr">
        <is>
          <t xml:space="preserve">QL </t>
        </is>
      </c>
      <c r="S707" t="n">
        <v>3</v>
      </c>
      <c r="T707" t="n">
        <v>3</v>
      </c>
      <c r="U707" t="inlineStr">
        <is>
          <t>2001-03-25</t>
        </is>
      </c>
      <c r="V707" t="inlineStr">
        <is>
          <t>2001-03-25</t>
        </is>
      </c>
      <c r="W707" t="inlineStr">
        <is>
          <t>1998-01-07</t>
        </is>
      </c>
      <c r="X707" t="inlineStr">
        <is>
          <t>1998-01-07</t>
        </is>
      </c>
      <c r="Y707" t="n">
        <v>1292</v>
      </c>
      <c r="Z707" t="n">
        <v>1238</v>
      </c>
      <c r="AA707" t="n">
        <v>1268</v>
      </c>
      <c r="AB707" t="n">
        <v>10</v>
      </c>
      <c r="AC707" t="n">
        <v>10</v>
      </c>
      <c r="AD707" t="n">
        <v>22</v>
      </c>
      <c r="AE707" t="n">
        <v>22</v>
      </c>
      <c r="AF707" t="n">
        <v>9</v>
      </c>
      <c r="AG707" t="n">
        <v>9</v>
      </c>
      <c r="AH707" t="n">
        <v>4</v>
      </c>
      <c r="AI707" t="n">
        <v>4</v>
      </c>
      <c r="AJ707" t="n">
        <v>9</v>
      </c>
      <c r="AK707" t="n">
        <v>9</v>
      </c>
      <c r="AL707" t="n">
        <v>6</v>
      </c>
      <c r="AM707" t="n">
        <v>6</v>
      </c>
      <c r="AN707" t="n">
        <v>0</v>
      </c>
      <c r="AO707" t="n">
        <v>0</v>
      </c>
      <c r="AP707" t="inlineStr">
        <is>
          <t>No</t>
        </is>
      </c>
      <c r="AQ707" t="inlineStr">
        <is>
          <t>Yes</t>
        </is>
      </c>
      <c r="AR707">
        <f>HYPERLINK("http://catalog.hathitrust.org/Record/001501084","HathiTrust Record")</f>
        <v/>
      </c>
      <c r="AS707">
        <f>HYPERLINK("https://creighton-primo.hosted.exlibrisgroup.com/primo-explore/search?tab=default_tab&amp;search_scope=EVERYTHING&amp;vid=01CRU&amp;lang=en_US&amp;offset=0&amp;query=any,contains,991001408469702656","Catalog Record")</f>
        <v/>
      </c>
      <c r="AT707">
        <f>HYPERLINK("http://www.worldcat.org/oclc/1423604","WorldCat Record")</f>
        <v/>
      </c>
      <c r="AU707" t="inlineStr">
        <is>
          <t>3855351827:eng</t>
        </is>
      </c>
      <c r="AV707" t="inlineStr">
        <is>
          <t>1423604</t>
        </is>
      </c>
      <c r="AW707" t="inlineStr">
        <is>
          <t>991001408469702656</t>
        </is>
      </c>
      <c r="AX707" t="inlineStr">
        <is>
          <t>991001408469702656</t>
        </is>
      </c>
      <c r="AY707" t="inlineStr">
        <is>
          <t>2269589190002656</t>
        </is>
      </c>
      <c r="AZ707" t="inlineStr">
        <is>
          <t>BOOK</t>
        </is>
      </c>
      <c r="BB707" t="inlineStr">
        <is>
          <t>9780395199794</t>
        </is>
      </c>
      <c r="BC707" t="inlineStr">
        <is>
          <t>32285003308243</t>
        </is>
      </c>
      <c r="BD707" t="inlineStr">
        <is>
          <t>893690597</t>
        </is>
      </c>
    </row>
    <row r="708">
      <c r="A708" t="inlineStr">
        <is>
          <t>No</t>
        </is>
      </c>
      <c r="B708" t="inlineStr">
        <is>
          <t>QL651 .D54 1969</t>
        </is>
      </c>
      <c r="C708" t="inlineStr">
        <is>
          <t>0                      QL 0651000D  54          1969</t>
        </is>
      </c>
      <c r="D708" t="inlineStr">
        <is>
          <t>The frog book; North American toads and frogs, with a study of the habits and life histories of those of the northeastern States. With a new pref. and appendix of nomenclatural changes by James D. Anderson.</t>
        </is>
      </c>
      <c r="F708" t="inlineStr">
        <is>
          <t>No</t>
        </is>
      </c>
      <c r="G708" t="inlineStr">
        <is>
          <t>1</t>
        </is>
      </c>
      <c r="H708" t="inlineStr">
        <is>
          <t>No</t>
        </is>
      </c>
      <c r="I708" t="inlineStr">
        <is>
          <t>No</t>
        </is>
      </c>
      <c r="J708" t="inlineStr">
        <is>
          <t>0</t>
        </is>
      </c>
      <c r="K708" t="inlineStr">
        <is>
          <t>Dickerson, Mary Cynthia, 1866-1923.</t>
        </is>
      </c>
      <c r="L708" t="inlineStr">
        <is>
          <t>New York, Dover Publications [1969]</t>
        </is>
      </c>
      <c r="M708" t="inlineStr">
        <is>
          <t>1969</t>
        </is>
      </c>
      <c r="O708" t="inlineStr">
        <is>
          <t>eng</t>
        </is>
      </c>
      <c r="P708" t="inlineStr">
        <is>
          <t>nyu</t>
        </is>
      </c>
      <c r="R708" t="inlineStr">
        <is>
          <t xml:space="preserve">QL </t>
        </is>
      </c>
      <c r="S708" t="n">
        <v>18</v>
      </c>
      <c r="T708" t="n">
        <v>18</v>
      </c>
      <c r="U708" t="inlineStr">
        <is>
          <t>2009-04-08</t>
        </is>
      </c>
      <c r="V708" t="inlineStr">
        <is>
          <t>2009-04-08</t>
        </is>
      </c>
      <c r="W708" t="inlineStr">
        <is>
          <t>1993-02-12</t>
        </is>
      </c>
      <c r="X708" t="inlineStr">
        <is>
          <t>1993-02-12</t>
        </is>
      </c>
      <c r="Y708" t="n">
        <v>505</v>
      </c>
      <c r="Z708" t="n">
        <v>475</v>
      </c>
      <c r="AA708" t="n">
        <v>907</v>
      </c>
      <c r="AB708" t="n">
        <v>2</v>
      </c>
      <c r="AC708" t="n">
        <v>4</v>
      </c>
      <c r="AD708" t="n">
        <v>7</v>
      </c>
      <c r="AE708" t="n">
        <v>28</v>
      </c>
      <c r="AF708" t="n">
        <v>3</v>
      </c>
      <c r="AG708" t="n">
        <v>12</v>
      </c>
      <c r="AH708" t="n">
        <v>1</v>
      </c>
      <c r="AI708" t="n">
        <v>4</v>
      </c>
      <c r="AJ708" t="n">
        <v>3</v>
      </c>
      <c r="AK708" t="n">
        <v>16</v>
      </c>
      <c r="AL708" t="n">
        <v>1</v>
      </c>
      <c r="AM708" t="n">
        <v>3</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HYPERLINK("https://creighton-primo.hosted.exlibrisgroup.com/primo-explore/search?tab=default_tab&amp;search_scope=EVERYTHING&amp;vid=01CRU&amp;lang=en_US&amp;offset=0&amp;query=any,contains,991000004029702656","Catalog Record")</f>
        <v/>
      </c>
      <c r="AT708">
        <f>HYPERLINK("http://www.worldcat.org/oclc/12443","WorldCat Record")</f>
        <v/>
      </c>
      <c r="AU708" t="inlineStr">
        <is>
          <t>492208:eng</t>
        </is>
      </c>
      <c r="AV708" t="inlineStr">
        <is>
          <t>12443</t>
        </is>
      </c>
      <c r="AW708" t="inlineStr">
        <is>
          <t>991000004029702656</t>
        </is>
      </c>
      <c r="AX708" t="inlineStr">
        <is>
          <t>991000004029702656</t>
        </is>
      </c>
      <c r="AY708" t="inlineStr">
        <is>
          <t>2265026290002656</t>
        </is>
      </c>
      <c r="AZ708" t="inlineStr">
        <is>
          <t>BOOK</t>
        </is>
      </c>
      <c r="BB708" t="inlineStr">
        <is>
          <t>9780486219738</t>
        </is>
      </c>
      <c r="BC708" t="inlineStr">
        <is>
          <t>32285001532976</t>
        </is>
      </c>
      <c r="BD708" t="inlineStr">
        <is>
          <t>893708008</t>
        </is>
      </c>
    </row>
    <row r="709">
      <c r="A709" t="inlineStr">
        <is>
          <t>No</t>
        </is>
      </c>
      <c r="B709" t="inlineStr">
        <is>
          <t>QL651 .D6 1936</t>
        </is>
      </c>
      <c r="C709" t="inlineStr">
        <is>
          <t>0                      QL 0651000D  6           1936</t>
        </is>
      </c>
      <c r="D709" t="inlineStr">
        <is>
          <t>The reptiles of North America : a review of the crocodilians, lizard, snakes, turtles and tortoises inhabiting the United States and northern Mexico / by Raymond L. Ditmars ... Eight plates in color and more than four hundred photographs from life.</t>
        </is>
      </c>
      <c r="F709" t="inlineStr">
        <is>
          <t>No</t>
        </is>
      </c>
      <c r="G709" t="inlineStr">
        <is>
          <t>1</t>
        </is>
      </c>
      <c r="H709" t="inlineStr">
        <is>
          <t>No</t>
        </is>
      </c>
      <c r="I709" t="inlineStr">
        <is>
          <t>No</t>
        </is>
      </c>
      <c r="J709" t="inlineStr">
        <is>
          <t>0</t>
        </is>
      </c>
      <c r="K709" t="inlineStr">
        <is>
          <t>Ditmars, Raymond Lee, 1876-1942.</t>
        </is>
      </c>
      <c r="L709" t="inlineStr">
        <is>
          <t>Garden City, N.Y. : Doubleday, Doran &amp; Company, inc., 1936.</t>
        </is>
      </c>
      <c r="M709" t="inlineStr">
        <is>
          <t>1936</t>
        </is>
      </c>
      <c r="O709" t="inlineStr">
        <is>
          <t>eng</t>
        </is>
      </c>
      <c r="P709" t="inlineStr">
        <is>
          <t>nyu</t>
        </is>
      </c>
      <c r="R709" t="inlineStr">
        <is>
          <t xml:space="preserve">QL </t>
        </is>
      </c>
      <c r="S709" t="n">
        <v>5</v>
      </c>
      <c r="T709" t="n">
        <v>5</v>
      </c>
      <c r="U709" t="inlineStr">
        <is>
          <t>2005-02-27</t>
        </is>
      </c>
      <c r="V709" t="inlineStr">
        <is>
          <t>2005-02-27</t>
        </is>
      </c>
      <c r="W709" t="inlineStr">
        <is>
          <t>1992-04-01</t>
        </is>
      </c>
      <c r="X709" t="inlineStr">
        <is>
          <t>1992-04-01</t>
        </is>
      </c>
      <c r="Y709" t="n">
        <v>870</v>
      </c>
      <c r="Z709" t="n">
        <v>844</v>
      </c>
      <c r="AA709" t="n">
        <v>991</v>
      </c>
      <c r="AB709" t="n">
        <v>6</v>
      </c>
      <c r="AC709" t="n">
        <v>6</v>
      </c>
      <c r="AD709" t="n">
        <v>15</v>
      </c>
      <c r="AE709" t="n">
        <v>18</v>
      </c>
      <c r="AF709" t="n">
        <v>8</v>
      </c>
      <c r="AG709" t="n">
        <v>9</v>
      </c>
      <c r="AH709" t="n">
        <v>1</v>
      </c>
      <c r="AI709" t="n">
        <v>1</v>
      </c>
      <c r="AJ709" t="n">
        <v>4</v>
      </c>
      <c r="AK709" t="n">
        <v>7</v>
      </c>
      <c r="AL709" t="n">
        <v>3</v>
      </c>
      <c r="AM709" t="n">
        <v>3</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HYPERLINK("https://creighton-primo.hosted.exlibrisgroup.com/primo-explore/search?tab=default_tab&amp;search_scope=EVERYTHING&amp;vid=01CRU&amp;lang=en_US&amp;offset=0&amp;query=any,contains,991003916719702656","Catalog Record")</f>
        <v/>
      </c>
      <c r="AT709">
        <f>HYPERLINK("http://www.worldcat.org/oclc/1861610","WorldCat Record")</f>
        <v/>
      </c>
      <c r="AU709" t="inlineStr">
        <is>
          <t>6557513:eng</t>
        </is>
      </c>
      <c r="AV709" t="inlineStr">
        <is>
          <t>1861610</t>
        </is>
      </c>
      <c r="AW709" t="inlineStr">
        <is>
          <t>991003916719702656</t>
        </is>
      </c>
      <c r="AX709" t="inlineStr">
        <is>
          <t>991003916719702656</t>
        </is>
      </c>
      <c r="AY709" t="inlineStr">
        <is>
          <t>2261792410002656</t>
        </is>
      </c>
      <c r="AZ709" t="inlineStr">
        <is>
          <t>BOOK</t>
        </is>
      </c>
      <c r="BC709" t="inlineStr">
        <is>
          <t>32285001030732</t>
        </is>
      </c>
      <c r="BD709" t="inlineStr">
        <is>
          <t>893499884</t>
        </is>
      </c>
    </row>
    <row r="710">
      <c r="A710" t="inlineStr">
        <is>
          <t>No</t>
        </is>
      </c>
      <c r="B710" t="inlineStr">
        <is>
          <t>QL651 .H37 1983</t>
        </is>
      </c>
      <c r="C710" t="inlineStr">
        <is>
          <t>0                      QL 0651000H  37          1983</t>
        </is>
      </c>
      <c r="D710" t="inlineStr">
        <is>
          <t>Catalogue of New World amphibians / by Keith A. Harding.</t>
        </is>
      </c>
      <c r="F710" t="inlineStr">
        <is>
          <t>No</t>
        </is>
      </c>
      <c r="G710" t="inlineStr">
        <is>
          <t>1</t>
        </is>
      </c>
      <c r="H710" t="inlineStr">
        <is>
          <t>No</t>
        </is>
      </c>
      <c r="I710" t="inlineStr">
        <is>
          <t>No</t>
        </is>
      </c>
      <c r="J710" t="inlineStr">
        <is>
          <t>0</t>
        </is>
      </c>
      <c r="K710" t="inlineStr">
        <is>
          <t>Harding, Keith A.</t>
        </is>
      </c>
      <c r="L710" t="inlineStr">
        <is>
          <t>Oxford [Oxfordshire] ; New York : Pergamon Press, 1983.</t>
        </is>
      </c>
      <c r="M710" t="inlineStr">
        <is>
          <t>1983</t>
        </is>
      </c>
      <c r="N710" t="inlineStr">
        <is>
          <t>1st ed.</t>
        </is>
      </c>
      <c r="O710" t="inlineStr">
        <is>
          <t>eng</t>
        </is>
      </c>
      <c r="P710" t="inlineStr">
        <is>
          <t>enk</t>
        </is>
      </c>
      <c r="R710" t="inlineStr">
        <is>
          <t xml:space="preserve">QL </t>
        </is>
      </c>
      <c r="S710" t="n">
        <v>1</v>
      </c>
      <c r="T710" t="n">
        <v>1</v>
      </c>
      <c r="U710" t="inlineStr">
        <is>
          <t>1995-11-28</t>
        </is>
      </c>
      <c r="V710" t="inlineStr">
        <is>
          <t>1995-11-28</t>
        </is>
      </c>
      <c r="W710" t="inlineStr">
        <is>
          <t>1993-02-12</t>
        </is>
      </c>
      <c r="X710" t="inlineStr">
        <is>
          <t>1993-02-12</t>
        </is>
      </c>
      <c r="Y710" t="n">
        <v>219</v>
      </c>
      <c r="Z710" t="n">
        <v>171</v>
      </c>
      <c r="AA710" t="n">
        <v>172</v>
      </c>
      <c r="AB710" t="n">
        <v>2</v>
      </c>
      <c r="AC710" t="n">
        <v>2</v>
      </c>
      <c r="AD710" t="n">
        <v>3</v>
      </c>
      <c r="AE710" t="n">
        <v>3</v>
      </c>
      <c r="AF710" t="n">
        <v>0</v>
      </c>
      <c r="AG710" t="n">
        <v>0</v>
      </c>
      <c r="AH710" t="n">
        <v>2</v>
      </c>
      <c r="AI710" t="n">
        <v>2</v>
      </c>
      <c r="AJ710" t="n">
        <v>2</v>
      </c>
      <c r="AK710" t="n">
        <v>2</v>
      </c>
      <c r="AL710" t="n">
        <v>1</v>
      </c>
      <c r="AM710" t="n">
        <v>1</v>
      </c>
      <c r="AN710" t="n">
        <v>0</v>
      </c>
      <c r="AO710" t="n">
        <v>0</v>
      </c>
      <c r="AP710" t="inlineStr">
        <is>
          <t>No</t>
        </is>
      </c>
      <c r="AQ710" t="inlineStr">
        <is>
          <t>Yes</t>
        </is>
      </c>
      <c r="AR710">
        <f>HYPERLINK("http://catalog.hathitrust.org/Record/000320520","HathiTrust Record")</f>
        <v/>
      </c>
      <c r="AS710">
        <f>HYPERLINK("https://creighton-primo.hosted.exlibrisgroup.com/primo-explore/search?tab=default_tab&amp;search_scope=EVERYTHING&amp;vid=01CRU&amp;lang=en_US&amp;offset=0&amp;query=any,contains,991000232149702656","Catalog Record")</f>
        <v/>
      </c>
      <c r="AT710">
        <f>HYPERLINK("http://www.worldcat.org/oclc/9644553","WorldCat Record")</f>
        <v/>
      </c>
      <c r="AU710" t="inlineStr">
        <is>
          <t>43708529:eng</t>
        </is>
      </c>
      <c r="AV710" t="inlineStr">
        <is>
          <t>9644553</t>
        </is>
      </c>
      <c r="AW710" t="inlineStr">
        <is>
          <t>991000232149702656</t>
        </is>
      </c>
      <c r="AX710" t="inlineStr">
        <is>
          <t>991000232149702656</t>
        </is>
      </c>
      <c r="AY710" t="inlineStr">
        <is>
          <t>2267402930002656</t>
        </is>
      </c>
      <c r="AZ710" t="inlineStr">
        <is>
          <t>BOOK</t>
        </is>
      </c>
      <c r="BB710" t="inlineStr">
        <is>
          <t>9780080288994</t>
        </is>
      </c>
      <c r="BC710" t="inlineStr">
        <is>
          <t>32285001532984</t>
        </is>
      </c>
      <c r="BD710" t="inlineStr">
        <is>
          <t>893614038</t>
        </is>
      </c>
    </row>
    <row r="711">
      <c r="A711" t="inlineStr">
        <is>
          <t>No</t>
        </is>
      </c>
      <c r="B711" t="inlineStr">
        <is>
          <t>QL651 .O4</t>
        </is>
      </c>
      <c r="C711" t="inlineStr">
        <is>
          <t>0                      QL 0651000O  4</t>
        </is>
      </c>
      <c r="D711" t="inlineStr">
        <is>
          <t>The natural history of North American amphibians and reptiles.</t>
        </is>
      </c>
      <c r="F711" t="inlineStr">
        <is>
          <t>No</t>
        </is>
      </c>
      <c r="G711" t="inlineStr">
        <is>
          <t>2</t>
        </is>
      </c>
      <c r="H711" t="inlineStr">
        <is>
          <t>No</t>
        </is>
      </c>
      <c r="I711" t="inlineStr">
        <is>
          <t>No</t>
        </is>
      </c>
      <c r="J711" t="inlineStr">
        <is>
          <t>0</t>
        </is>
      </c>
      <c r="K711" t="inlineStr">
        <is>
          <t>Oliver, James A. (James Arthur), 1914-1981.</t>
        </is>
      </c>
      <c r="L711" t="inlineStr">
        <is>
          <t>Princeton, N.J., Van Nostrand [1955]</t>
        </is>
      </c>
      <c r="M711" t="inlineStr">
        <is>
          <t>1955</t>
        </is>
      </c>
      <c r="O711" t="inlineStr">
        <is>
          <t>eng</t>
        </is>
      </c>
      <c r="P711" t="inlineStr">
        <is>
          <t>nju</t>
        </is>
      </c>
      <c r="Q711" t="inlineStr">
        <is>
          <t>The New illustrated naturalist</t>
        </is>
      </c>
      <c r="R711" t="inlineStr">
        <is>
          <t xml:space="preserve">QL </t>
        </is>
      </c>
      <c r="S711" t="n">
        <v>4</v>
      </c>
      <c r="T711" t="n">
        <v>4</v>
      </c>
      <c r="U711" t="inlineStr">
        <is>
          <t>2006-02-24</t>
        </is>
      </c>
      <c r="V711" t="inlineStr">
        <is>
          <t>2006-02-24</t>
        </is>
      </c>
      <c r="W711" t="inlineStr">
        <is>
          <t>1997-07-25</t>
        </is>
      </c>
      <c r="X711" t="inlineStr">
        <is>
          <t>1997-07-25</t>
        </is>
      </c>
      <c r="Y711" t="n">
        <v>702</v>
      </c>
      <c r="Z711" t="n">
        <v>646</v>
      </c>
      <c r="AA711" t="n">
        <v>661</v>
      </c>
      <c r="AB711" t="n">
        <v>7</v>
      </c>
      <c r="AC711" t="n">
        <v>7</v>
      </c>
      <c r="AD711" t="n">
        <v>25</v>
      </c>
      <c r="AE711" t="n">
        <v>25</v>
      </c>
      <c r="AF711" t="n">
        <v>11</v>
      </c>
      <c r="AG711" t="n">
        <v>11</v>
      </c>
      <c r="AH711" t="n">
        <v>4</v>
      </c>
      <c r="AI711" t="n">
        <v>4</v>
      </c>
      <c r="AJ711" t="n">
        <v>7</v>
      </c>
      <c r="AK711" t="n">
        <v>7</v>
      </c>
      <c r="AL711" t="n">
        <v>7</v>
      </c>
      <c r="AM711" t="n">
        <v>7</v>
      </c>
      <c r="AN711" t="n">
        <v>0</v>
      </c>
      <c r="AO711" t="n">
        <v>0</v>
      </c>
      <c r="AP711" t="inlineStr">
        <is>
          <t>Yes</t>
        </is>
      </c>
      <c r="AQ711" t="inlineStr">
        <is>
          <t>No</t>
        </is>
      </c>
      <c r="AR711">
        <f>HYPERLINK("http://catalog.hathitrust.org/Record/001501088","HathiTrust Record")</f>
        <v/>
      </c>
      <c r="AS711">
        <f>HYPERLINK("https://creighton-primo.hosted.exlibrisgroup.com/primo-explore/search?tab=default_tab&amp;search_scope=EVERYTHING&amp;vid=01CRU&amp;lang=en_US&amp;offset=0&amp;query=any,contains,991002988099702656","Catalog Record")</f>
        <v/>
      </c>
      <c r="AT711">
        <f>HYPERLINK("http://www.worldcat.org/oclc/558672","WorldCat Record")</f>
        <v/>
      </c>
      <c r="AU711" t="inlineStr">
        <is>
          <t>20051675:eng</t>
        </is>
      </c>
      <c r="AV711" t="inlineStr">
        <is>
          <t>558672</t>
        </is>
      </c>
      <c r="AW711" t="inlineStr">
        <is>
          <t>991002988099702656</t>
        </is>
      </c>
      <c r="AX711" t="inlineStr">
        <is>
          <t>991002988099702656</t>
        </is>
      </c>
      <c r="AY711" t="inlineStr">
        <is>
          <t>2258418530002656</t>
        </is>
      </c>
      <c r="AZ711" t="inlineStr">
        <is>
          <t>BOOK</t>
        </is>
      </c>
      <c r="BC711" t="inlineStr">
        <is>
          <t>32285002981818</t>
        </is>
      </c>
      <c r="BD711" t="inlineStr">
        <is>
          <t>893704766</t>
        </is>
      </c>
    </row>
    <row r="712">
      <c r="A712" t="inlineStr">
        <is>
          <t>No</t>
        </is>
      </c>
      <c r="B712" t="inlineStr">
        <is>
          <t>QL651 .S59 1982</t>
        </is>
      </c>
      <c r="C712" t="inlineStr">
        <is>
          <t>0                      QL 0651000S  59          1982</t>
        </is>
      </c>
      <c r="D712" t="inlineStr">
        <is>
          <t>Reptiles of North America : a guide to field identification / by Hobart M. Smith and Edmund D. Brodie, Jr. ; illustrated by David M. Dennis and Sy Barlowe.</t>
        </is>
      </c>
      <c r="F712" t="inlineStr">
        <is>
          <t>No</t>
        </is>
      </c>
      <c r="G712" t="inlineStr">
        <is>
          <t>1</t>
        </is>
      </c>
      <c r="H712" t="inlineStr">
        <is>
          <t>No</t>
        </is>
      </c>
      <c r="I712" t="inlineStr">
        <is>
          <t>No</t>
        </is>
      </c>
      <c r="J712" t="inlineStr">
        <is>
          <t>0</t>
        </is>
      </c>
      <c r="K712" t="inlineStr">
        <is>
          <t>Smith, Hobart M. (Hobart Muir), 1912-2013.</t>
        </is>
      </c>
      <c r="L712" t="inlineStr">
        <is>
          <t>New York : Golden Press, c1982.</t>
        </is>
      </c>
      <c r="M712" t="inlineStr">
        <is>
          <t>1982</t>
        </is>
      </c>
      <c r="O712" t="inlineStr">
        <is>
          <t>eng</t>
        </is>
      </c>
      <c r="P712" t="inlineStr">
        <is>
          <t>nyu</t>
        </is>
      </c>
      <c r="Q712" t="inlineStr">
        <is>
          <t>The Golden field guide series</t>
        </is>
      </c>
      <c r="R712" t="inlineStr">
        <is>
          <t xml:space="preserve">QL </t>
        </is>
      </c>
      <c r="S712" t="n">
        <v>6</v>
      </c>
      <c r="T712" t="n">
        <v>6</v>
      </c>
      <c r="U712" t="inlineStr">
        <is>
          <t>2001-08-01</t>
        </is>
      </c>
      <c r="V712" t="inlineStr">
        <is>
          <t>2001-08-01</t>
        </is>
      </c>
      <c r="W712" t="inlineStr">
        <is>
          <t>1998-01-07</t>
        </is>
      </c>
      <c r="X712" t="inlineStr">
        <is>
          <t>1998-01-07</t>
        </is>
      </c>
      <c r="Y712" t="n">
        <v>1030</v>
      </c>
      <c r="Z712" t="n">
        <v>987</v>
      </c>
      <c r="AA712" t="n">
        <v>1105</v>
      </c>
      <c r="AB712" t="n">
        <v>9</v>
      </c>
      <c r="AC712" t="n">
        <v>10</v>
      </c>
      <c r="AD712" t="n">
        <v>13</v>
      </c>
      <c r="AE712" t="n">
        <v>14</v>
      </c>
      <c r="AF712" t="n">
        <v>4</v>
      </c>
      <c r="AG712" t="n">
        <v>5</v>
      </c>
      <c r="AH712" t="n">
        <v>3</v>
      </c>
      <c r="AI712" t="n">
        <v>3</v>
      </c>
      <c r="AJ712" t="n">
        <v>6</v>
      </c>
      <c r="AK712" t="n">
        <v>6</v>
      </c>
      <c r="AL712" t="n">
        <v>3</v>
      </c>
      <c r="AM712" t="n">
        <v>3</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HYPERLINK("https://creighton-primo.hosted.exlibrisgroup.com/primo-explore/search?tab=default_tab&amp;search_scope=EVERYTHING&amp;vid=01CRU&amp;lang=en_US&amp;offset=0&amp;query=any,contains,991001915129702656","Catalog Record")</f>
        <v/>
      </c>
      <c r="AT712">
        <f>HYPERLINK("http://www.worldcat.org/oclc/8785374","WorldCat Record")</f>
        <v/>
      </c>
      <c r="AU712" t="inlineStr">
        <is>
          <t>905706307:eng</t>
        </is>
      </c>
      <c r="AV712" t="inlineStr">
        <is>
          <t>8785374</t>
        </is>
      </c>
      <c r="AW712" t="inlineStr">
        <is>
          <t>991001915129702656</t>
        </is>
      </c>
      <c r="AX712" t="inlineStr">
        <is>
          <t>991001915129702656</t>
        </is>
      </c>
      <c r="AY712" t="inlineStr">
        <is>
          <t>2266893640002656</t>
        </is>
      </c>
      <c r="AZ712" t="inlineStr">
        <is>
          <t>BOOK</t>
        </is>
      </c>
      <c r="BB712" t="inlineStr">
        <is>
          <t>9780307136664</t>
        </is>
      </c>
      <c r="BC712" t="inlineStr">
        <is>
          <t>32285003308250</t>
        </is>
      </c>
      <c r="BD712" t="inlineStr">
        <is>
          <t>893334716</t>
        </is>
      </c>
    </row>
    <row r="713">
      <c r="A713" t="inlineStr">
        <is>
          <t>No</t>
        </is>
      </c>
      <c r="B713" t="inlineStr">
        <is>
          <t>QL653.A7 M5 1982</t>
        </is>
      </c>
      <c r="C713" t="inlineStr">
        <is>
          <t>0                      QL 0653000A  7                  M  5           1982</t>
        </is>
      </c>
      <c r="D713" t="inlineStr">
        <is>
          <t>Amphibians and reptiles of the Grand Canyon National Park / by Donald M. Miller ... [et al.]</t>
        </is>
      </c>
      <c r="F713" t="inlineStr">
        <is>
          <t>No</t>
        </is>
      </c>
      <c r="G713" t="inlineStr">
        <is>
          <t>1</t>
        </is>
      </c>
      <c r="H713" t="inlineStr">
        <is>
          <t>No</t>
        </is>
      </c>
      <c r="I713" t="inlineStr">
        <is>
          <t>No</t>
        </is>
      </c>
      <c r="J713" t="inlineStr">
        <is>
          <t>0</t>
        </is>
      </c>
      <c r="K713" t="inlineStr">
        <is>
          <t>Miller, Donald M.</t>
        </is>
      </c>
      <c r="L713" t="inlineStr">
        <is>
          <t>[Grand Canyon, Ariz.] : Grand Canyon Natural History Association, c1982.</t>
        </is>
      </c>
      <c r="M713" t="inlineStr">
        <is>
          <t>1982</t>
        </is>
      </c>
      <c r="O713" t="inlineStr">
        <is>
          <t>eng</t>
        </is>
      </c>
      <c r="P713" t="inlineStr">
        <is>
          <t>azu</t>
        </is>
      </c>
      <c r="Q713" t="inlineStr">
        <is>
          <t>Monograph (Grand Canyon Natural History Association) ; no. 4</t>
        </is>
      </c>
      <c r="R713" t="inlineStr">
        <is>
          <t xml:space="preserve">QL </t>
        </is>
      </c>
      <c r="S713" t="n">
        <v>3</v>
      </c>
      <c r="T713" t="n">
        <v>3</v>
      </c>
      <c r="U713" t="inlineStr">
        <is>
          <t>1997-02-05</t>
        </is>
      </c>
      <c r="V713" t="inlineStr">
        <is>
          <t>1997-02-05</t>
        </is>
      </c>
      <c r="W713" t="inlineStr">
        <is>
          <t>1993-02-12</t>
        </is>
      </c>
      <c r="X713" t="inlineStr">
        <is>
          <t>1993-02-12</t>
        </is>
      </c>
      <c r="Y713" t="n">
        <v>56</v>
      </c>
      <c r="Z713" t="n">
        <v>54</v>
      </c>
      <c r="AA713" t="n">
        <v>54</v>
      </c>
      <c r="AB713" t="n">
        <v>1</v>
      </c>
      <c r="AC713" t="n">
        <v>1</v>
      </c>
      <c r="AD713" t="n">
        <v>0</v>
      </c>
      <c r="AE713" t="n">
        <v>0</v>
      </c>
      <c r="AF713" t="n">
        <v>0</v>
      </c>
      <c r="AG713" t="n">
        <v>0</v>
      </c>
      <c r="AH713" t="n">
        <v>0</v>
      </c>
      <c r="AI713" t="n">
        <v>0</v>
      </c>
      <c r="AJ713" t="n">
        <v>0</v>
      </c>
      <c r="AK713" t="n">
        <v>0</v>
      </c>
      <c r="AL713" t="n">
        <v>0</v>
      </c>
      <c r="AM713" t="n">
        <v>0</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HYPERLINK("https://creighton-primo.hosted.exlibrisgroup.com/primo-explore/search?tab=default_tab&amp;search_scope=EVERYTHING&amp;vid=01CRU&amp;lang=en_US&amp;offset=0&amp;query=any,contains,991000159519702656","Catalog Record")</f>
        <v/>
      </c>
      <c r="AT713">
        <f>HYPERLINK("http://www.worldcat.org/oclc/13580466","WorldCat Record")</f>
        <v/>
      </c>
      <c r="AU713" t="inlineStr">
        <is>
          <t>7474493:eng</t>
        </is>
      </c>
      <c r="AV713" t="inlineStr">
        <is>
          <t>13580466</t>
        </is>
      </c>
      <c r="AW713" t="inlineStr">
        <is>
          <t>991000159519702656</t>
        </is>
      </c>
      <c r="AX713" t="inlineStr">
        <is>
          <t>991000159519702656</t>
        </is>
      </c>
      <c r="AY713" t="inlineStr">
        <is>
          <t>2256617440002656</t>
        </is>
      </c>
      <c r="AZ713" t="inlineStr">
        <is>
          <t>BOOK</t>
        </is>
      </c>
      <c r="BB713" t="inlineStr">
        <is>
          <t>9780938216179</t>
        </is>
      </c>
      <c r="BC713" t="inlineStr">
        <is>
          <t>32285001532992</t>
        </is>
      </c>
      <c r="BD713" t="inlineStr">
        <is>
          <t>893413137</t>
        </is>
      </c>
    </row>
    <row r="714">
      <c r="A714" t="inlineStr">
        <is>
          <t>No</t>
        </is>
      </c>
      <c r="B714" t="inlineStr">
        <is>
          <t>QL653.G4 M3 1956</t>
        </is>
      </c>
      <c r="C714" t="inlineStr">
        <is>
          <t>0                      QL 0653000G  4                  M  3           1956</t>
        </is>
      </c>
      <c r="D714" t="inlineStr">
        <is>
          <t>Amphibians and reptiles of Georgia, a guide / by Bernard S. Martof.</t>
        </is>
      </c>
      <c r="F714" t="inlineStr">
        <is>
          <t>No</t>
        </is>
      </c>
      <c r="G714" t="inlineStr">
        <is>
          <t>1</t>
        </is>
      </c>
      <c r="H714" t="inlineStr">
        <is>
          <t>No</t>
        </is>
      </c>
      <c r="I714" t="inlineStr">
        <is>
          <t>No</t>
        </is>
      </c>
      <c r="J714" t="inlineStr">
        <is>
          <t>0</t>
        </is>
      </c>
      <c r="K714" t="inlineStr">
        <is>
          <t>Martof, Bernard S. (Bernard Stephen), 1920-</t>
        </is>
      </c>
      <c r="L714" t="inlineStr">
        <is>
          <t>Athens : University of Georgia Press, c1956.</t>
        </is>
      </c>
      <c r="M714" t="inlineStr">
        <is>
          <t>1956</t>
        </is>
      </c>
      <c r="O714" t="inlineStr">
        <is>
          <t>eng</t>
        </is>
      </c>
      <c r="P714" t="inlineStr">
        <is>
          <t>___</t>
        </is>
      </c>
      <c r="R714" t="inlineStr">
        <is>
          <t xml:space="preserve">QL </t>
        </is>
      </c>
      <c r="S714" t="n">
        <v>3</v>
      </c>
      <c r="T714" t="n">
        <v>3</v>
      </c>
      <c r="U714" t="inlineStr">
        <is>
          <t>1999-12-06</t>
        </is>
      </c>
      <c r="V714" t="inlineStr">
        <is>
          <t>1999-12-06</t>
        </is>
      </c>
      <c r="W714" t="inlineStr">
        <is>
          <t>1993-02-12</t>
        </is>
      </c>
      <c r="X714" t="inlineStr">
        <is>
          <t>1993-02-12</t>
        </is>
      </c>
      <c r="Y714" t="n">
        <v>184</v>
      </c>
      <c r="Z714" t="n">
        <v>182</v>
      </c>
      <c r="AA714" t="n">
        <v>182</v>
      </c>
      <c r="AB714" t="n">
        <v>2</v>
      </c>
      <c r="AC714" t="n">
        <v>2</v>
      </c>
      <c r="AD714" t="n">
        <v>4</v>
      </c>
      <c r="AE714" t="n">
        <v>4</v>
      </c>
      <c r="AF714" t="n">
        <v>1</v>
      </c>
      <c r="AG714" t="n">
        <v>1</v>
      </c>
      <c r="AH714" t="n">
        <v>1</v>
      </c>
      <c r="AI714" t="n">
        <v>1</v>
      </c>
      <c r="AJ714" t="n">
        <v>1</v>
      </c>
      <c r="AK714" t="n">
        <v>1</v>
      </c>
      <c r="AL714" t="n">
        <v>1</v>
      </c>
      <c r="AM714" t="n">
        <v>1</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HYPERLINK("https://creighton-primo.hosted.exlibrisgroup.com/primo-explore/search?tab=default_tab&amp;search_scope=EVERYTHING&amp;vid=01CRU&amp;lang=en_US&amp;offset=0&amp;query=any,contains,991002986139702656","Catalog Record")</f>
        <v/>
      </c>
      <c r="AT714">
        <f>HYPERLINK("http://www.worldcat.org/oclc/557717","WorldCat Record")</f>
        <v/>
      </c>
      <c r="AU714" t="inlineStr">
        <is>
          <t>1623187:eng</t>
        </is>
      </c>
      <c r="AV714" t="inlineStr">
        <is>
          <t>557717</t>
        </is>
      </c>
      <c r="AW714" t="inlineStr">
        <is>
          <t>991002986139702656</t>
        </is>
      </c>
      <c r="AX714" t="inlineStr">
        <is>
          <t>991002986139702656</t>
        </is>
      </c>
      <c r="AY714" t="inlineStr">
        <is>
          <t>2261489720002656</t>
        </is>
      </c>
      <c r="AZ714" t="inlineStr">
        <is>
          <t>BOOK</t>
        </is>
      </c>
      <c r="BC714" t="inlineStr">
        <is>
          <t>32285001533008</t>
        </is>
      </c>
      <c r="BD714" t="inlineStr">
        <is>
          <t>893686049</t>
        </is>
      </c>
    </row>
    <row r="715">
      <c r="A715" t="inlineStr">
        <is>
          <t>No</t>
        </is>
      </c>
      <c r="B715" t="inlineStr">
        <is>
          <t>QL653.I5 S65</t>
        </is>
      </c>
      <c r="C715" t="inlineStr">
        <is>
          <t>0                      QL 0653000I  5                  S  65</t>
        </is>
      </c>
      <c r="D715" t="inlineStr">
        <is>
          <t>The amphibians and reptiles of Illinois / Philip W. Smith.</t>
        </is>
      </c>
      <c r="F715" t="inlineStr">
        <is>
          <t>No</t>
        </is>
      </c>
      <c r="G715" t="inlineStr">
        <is>
          <t>1</t>
        </is>
      </c>
      <c r="H715" t="inlineStr">
        <is>
          <t>No</t>
        </is>
      </c>
      <c r="I715" t="inlineStr">
        <is>
          <t>No</t>
        </is>
      </c>
      <c r="J715" t="inlineStr">
        <is>
          <t>0</t>
        </is>
      </c>
      <c r="K715" t="inlineStr">
        <is>
          <t>Smith, Philip W. (Philip Wayne), 1921-1986.</t>
        </is>
      </c>
      <c r="L715" t="inlineStr">
        <is>
          <t>Urbana : Illinois Dept. of Registration and Education, Natural History Survey Division, 1961.</t>
        </is>
      </c>
      <c r="M715" t="inlineStr">
        <is>
          <t>1961</t>
        </is>
      </c>
      <c r="O715" t="inlineStr">
        <is>
          <t>eng</t>
        </is>
      </c>
      <c r="P715" t="inlineStr">
        <is>
          <t>ilu</t>
        </is>
      </c>
      <c r="Q715" t="inlineStr">
        <is>
          <t>Illinois. Natural History Survey Division. Bulletin, v. 28, article 1</t>
        </is>
      </c>
      <c r="R715" t="inlineStr">
        <is>
          <t xml:space="preserve">QL </t>
        </is>
      </c>
      <c r="S715" t="n">
        <v>3</v>
      </c>
      <c r="T715" t="n">
        <v>3</v>
      </c>
      <c r="U715" t="inlineStr">
        <is>
          <t>1993-04-22</t>
        </is>
      </c>
      <c r="V715" t="inlineStr">
        <is>
          <t>1993-04-22</t>
        </is>
      </c>
      <c r="W715" t="inlineStr">
        <is>
          <t>1993-02-12</t>
        </is>
      </c>
      <c r="X715" t="inlineStr">
        <is>
          <t>1993-02-12</t>
        </is>
      </c>
      <c r="Y715" t="n">
        <v>156</v>
      </c>
      <c r="Z715" t="n">
        <v>142</v>
      </c>
      <c r="AA715" t="n">
        <v>156</v>
      </c>
      <c r="AB715" t="n">
        <v>1</v>
      </c>
      <c r="AC715" t="n">
        <v>1</v>
      </c>
      <c r="AD715" t="n">
        <v>5</v>
      </c>
      <c r="AE715" t="n">
        <v>5</v>
      </c>
      <c r="AF715" t="n">
        <v>1</v>
      </c>
      <c r="AG715" t="n">
        <v>1</v>
      </c>
      <c r="AH715" t="n">
        <v>3</v>
      </c>
      <c r="AI715" t="n">
        <v>3</v>
      </c>
      <c r="AJ715" t="n">
        <v>2</v>
      </c>
      <c r="AK715" t="n">
        <v>2</v>
      </c>
      <c r="AL715" t="n">
        <v>0</v>
      </c>
      <c r="AM715" t="n">
        <v>0</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HYPERLINK("https://creighton-primo.hosted.exlibrisgroup.com/primo-explore/search?tab=default_tab&amp;search_scope=EVERYTHING&amp;vid=01CRU&amp;lang=en_US&amp;offset=0&amp;query=any,contains,991003420399702656","Catalog Record")</f>
        <v/>
      </c>
      <c r="AT715">
        <f>HYPERLINK("http://www.worldcat.org/oclc/961212","WorldCat Record")</f>
        <v/>
      </c>
      <c r="AU715" t="inlineStr">
        <is>
          <t>3372179896:eng</t>
        </is>
      </c>
      <c r="AV715" t="inlineStr">
        <is>
          <t>961212</t>
        </is>
      </c>
      <c r="AW715" t="inlineStr">
        <is>
          <t>991003420399702656</t>
        </is>
      </c>
      <c r="AX715" t="inlineStr">
        <is>
          <t>991003420399702656</t>
        </is>
      </c>
      <c r="AY715" t="inlineStr">
        <is>
          <t>2258529040002656</t>
        </is>
      </c>
      <c r="AZ715" t="inlineStr">
        <is>
          <t>BOOK</t>
        </is>
      </c>
      <c r="BC715" t="inlineStr">
        <is>
          <t>32285001533016</t>
        </is>
      </c>
      <c r="BD715" t="inlineStr">
        <is>
          <t>893711360</t>
        </is>
      </c>
    </row>
    <row r="716">
      <c r="A716" t="inlineStr">
        <is>
          <t>No</t>
        </is>
      </c>
      <c r="B716" t="inlineStr">
        <is>
          <t>QL653.K3 C64 1982</t>
        </is>
      </c>
      <c r="C716" t="inlineStr">
        <is>
          <t>0                      QL 0653000K  3                  C  64          1982</t>
        </is>
      </c>
      <c r="D716" t="inlineStr">
        <is>
          <t>Amphibians and reptiles in Kansas / by Joseph T. Collins.</t>
        </is>
      </c>
      <c r="F716" t="inlineStr">
        <is>
          <t>No</t>
        </is>
      </c>
      <c r="G716" t="inlineStr">
        <is>
          <t>1</t>
        </is>
      </c>
      <c r="H716" t="inlineStr">
        <is>
          <t>No</t>
        </is>
      </c>
      <c r="I716" t="inlineStr">
        <is>
          <t>No</t>
        </is>
      </c>
      <c r="J716" t="inlineStr">
        <is>
          <t>0</t>
        </is>
      </c>
      <c r="K716" t="inlineStr">
        <is>
          <t>Collins, Joseph T.</t>
        </is>
      </c>
      <c r="L716" t="inlineStr">
        <is>
          <t>Lawrence, Kan. : University of Kansas, 1982.</t>
        </is>
      </c>
      <c r="M716" t="inlineStr">
        <is>
          <t>1982</t>
        </is>
      </c>
      <c r="N716" t="inlineStr">
        <is>
          <t>2nd (Revised) ed.</t>
        </is>
      </c>
      <c r="O716" t="inlineStr">
        <is>
          <t>eng</t>
        </is>
      </c>
      <c r="P716" t="inlineStr">
        <is>
          <t>ksu</t>
        </is>
      </c>
      <c r="Q716" t="inlineStr">
        <is>
          <t>Public education series ; no. 8</t>
        </is>
      </c>
      <c r="R716" t="inlineStr">
        <is>
          <t xml:space="preserve">QL </t>
        </is>
      </c>
      <c r="S716" t="n">
        <v>7</v>
      </c>
      <c r="T716" t="n">
        <v>7</v>
      </c>
      <c r="U716" t="inlineStr">
        <is>
          <t>2000-09-26</t>
        </is>
      </c>
      <c r="V716" t="inlineStr">
        <is>
          <t>2000-09-26</t>
        </is>
      </c>
      <c r="W716" t="inlineStr">
        <is>
          <t>1993-02-12</t>
        </is>
      </c>
      <c r="X716" t="inlineStr">
        <is>
          <t>1993-02-12</t>
        </is>
      </c>
      <c r="Y716" t="n">
        <v>134</v>
      </c>
      <c r="Z716" t="n">
        <v>123</v>
      </c>
      <c r="AA716" t="n">
        <v>300</v>
      </c>
      <c r="AB716" t="n">
        <v>4</v>
      </c>
      <c r="AC716" t="n">
        <v>4</v>
      </c>
      <c r="AD716" t="n">
        <v>3</v>
      </c>
      <c r="AE716" t="n">
        <v>5</v>
      </c>
      <c r="AF716" t="n">
        <v>0</v>
      </c>
      <c r="AG716" t="n">
        <v>1</v>
      </c>
      <c r="AH716" t="n">
        <v>0</v>
      </c>
      <c r="AI716" t="n">
        <v>1</v>
      </c>
      <c r="AJ716" t="n">
        <v>0</v>
      </c>
      <c r="AK716" t="n">
        <v>0</v>
      </c>
      <c r="AL716" t="n">
        <v>3</v>
      </c>
      <c r="AM716" t="n">
        <v>3</v>
      </c>
      <c r="AN716" t="n">
        <v>0</v>
      </c>
      <c r="AO716" t="n">
        <v>0</v>
      </c>
      <c r="AP716" t="inlineStr">
        <is>
          <t>No</t>
        </is>
      </c>
      <c r="AQ716" t="inlineStr">
        <is>
          <t>Yes</t>
        </is>
      </c>
      <c r="AR716">
        <f>HYPERLINK("http://catalog.hathitrust.org/Record/000148977","HathiTrust Record")</f>
        <v/>
      </c>
      <c r="AS716">
        <f>HYPERLINK("https://creighton-primo.hosted.exlibrisgroup.com/primo-explore/search?tab=default_tab&amp;search_scope=EVERYTHING&amp;vid=01CRU&amp;lang=en_US&amp;offset=0&amp;query=any,contains,991000063129702656","Catalog Record")</f>
        <v/>
      </c>
      <c r="AT716">
        <f>HYPERLINK("http://www.worldcat.org/oclc/8751430","WorldCat Record")</f>
        <v/>
      </c>
      <c r="AU716" t="inlineStr">
        <is>
          <t>379062:eng</t>
        </is>
      </c>
      <c r="AV716" t="inlineStr">
        <is>
          <t>8751430</t>
        </is>
      </c>
      <c r="AW716" t="inlineStr">
        <is>
          <t>991000063129702656</t>
        </is>
      </c>
      <c r="AX716" t="inlineStr">
        <is>
          <t>991000063129702656</t>
        </is>
      </c>
      <c r="AY716" t="inlineStr">
        <is>
          <t>2264953430002656</t>
        </is>
      </c>
      <c r="AZ716" t="inlineStr">
        <is>
          <t>BOOK</t>
        </is>
      </c>
      <c r="BB716" t="inlineStr">
        <is>
          <t>9780893380120</t>
        </is>
      </c>
      <c r="BC716" t="inlineStr">
        <is>
          <t>32285001533024</t>
        </is>
      </c>
      <c r="BD716" t="inlineStr">
        <is>
          <t>893695556</t>
        </is>
      </c>
    </row>
    <row r="717">
      <c r="A717" t="inlineStr">
        <is>
          <t>No</t>
        </is>
      </c>
      <c r="B717" t="inlineStr">
        <is>
          <t>QL653.K3 S5</t>
        </is>
      </c>
      <c r="C717" t="inlineStr">
        <is>
          <t>0                      QL 0653000K  3                  S  5</t>
        </is>
      </c>
      <c r="D717" t="inlineStr">
        <is>
          <t>Handbook of amphibians and reptiles of Kansas.</t>
        </is>
      </c>
      <c r="F717" t="inlineStr">
        <is>
          <t>No</t>
        </is>
      </c>
      <c r="G717" t="inlineStr">
        <is>
          <t>1</t>
        </is>
      </c>
      <c r="H717" t="inlineStr">
        <is>
          <t>No</t>
        </is>
      </c>
      <c r="I717" t="inlineStr">
        <is>
          <t>No</t>
        </is>
      </c>
      <c r="J717" t="inlineStr">
        <is>
          <t>0</t>
        </is>
      </c>
      <c r="K717" t="inlineStr">
        <is>
          <t>Smith, Hobart M. (Hobart Muir), 1912-2013.</t>
        </is>
      </c>
      <c r="L717" t="inlineStr">
        <is>
          <t>Lawrence : University of Kansas, 1950.</t>
        </is>
      </c>
      <c r="M717" t="inlineStr">
        <is>
          <t>1950</t>
        </is>
      </c>
      <c r="O717" t="inlineStr">
        <is>
          <t>eng</t>
        </is>
      </c>
      <c r="P717" t="inlineStr">
        <is>
          <t>___</t>
        </is>
      </c>
      <c r="Q717" t="inlineStr">
        <is>
          <t>University of Kansas Museum of Natural History. Miscellaneous publication, no.2</t>
        </is>
      </c>
      <c r="R717" t="inlineStr">
        <is>
          <t xml:space="preserve">QL </t>
        </is>
      </c>
      <c r="S717" t="n">
        <v>5</v>
      </c>
      <c r="T717" t="n">
        <v>5</v>
      </c>
      <c r="U717" t="inlineStr">
        <is>
          <t>1999-02-23</t>
        </is>
      </c>
      <c r="V717" t="inlineStr">
        <is>
          <t>1999-02-23</t>
        </is>
      </c>
      <c r="W717" t="inlineStr">
        <is>
          <t>1993-02-12</t>
        </is>
      </c>
      <c r="X717" t="inlineStr">
        <is>
          <t>1993-02-12</t>
        </is>
      </c>
      <c r="Y717" t="n">
        <v>115</v>
      </c>
      <c r="Z717" t="n">
        <v>100</v>
      </c>
      <c r="AA717" t="n">
        <v>195</v>
      </c>
      <c r="AB717" t="n">
        <v>1</v>
      </c>
      <c r="AC717" t="n">
        <v>4</v>
      </c>
      <c r="AD717" t="n">
        <v>2</v>
      </c>
      <c r="AE717" t="n">
        <v>6</v>
      </c>
      <c r="AF717" t="n">
        <v>1</v>
      </c>
      <c r="AG717" t="n">
        <v>1</v>
      </c>
      <c r="AH717" t="n">
        <v>1</v>
      </c>
      <c r="AI717" t="n">
        <v>2</v>
      </c>
      <c r="AJ717" t="n">
        <v>0</v>
      </c>
      <c r="AK717" t="n">
        <v>1</v>
      </c>
      <c r="AL717" t="n">
        <v>0</v>
      </c>
      <c r="AM717" t="n">
        <v>3</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HYPERLINK("https://creighton-primo.hosted.exlibrisgroup.com/primo-explore/search?tab=default_tab&amp;search_scope=EVERYTHING&amp;vid=01CRU&amp;lang=en_US&amp;offset=0&amp;query=any,contains,991003435689702656","Catalog Record")</f>
        <v/>
      </c>
      <c r="AT717">
        <f>HYPERLINK("http://www.worldcat.org/oclc/971197","WorldCat Record")</f>
        <v/>
      </c>
      <c r="AU717" t="inlineStr">
        <is>
          <t>1928956:eng</t>
        </is>
      </c>
      <c r="AV717" t="inlineStr">
        <is>
          <t>971197</t>
        </is>
      </c>
      <c r="AW717" t="inlineStr">
        <is>
          <t>991003435689702656</t>
        </is>
      </c>
      <c r="AX717" t="inlineStr">
        <is>
          <t>991003435689702656</t>
        </is>
      </c>
      <c r="AY717" t="inlineStr">
        <is>
          <t>2257024320002656</t>
        </is>
      </c>
      <c r="AZ717" t="inlineStr">
        <is>
          <t>BOOK</t>
        </is>
      </c>
      <c r="BC717" t="inlineStr">
        <is>
          <t>32285001533032</t>
        </is>
      </c>
      <c r="BD717" t="inlineStr">
        <is>
          <t>893531184</t>
        </is>
      </c>
    </row>
    <row r="718">
      <c r="A718" t="inlineStr">
        <is>
          <t>No</t>
        </is>
      </c>
      <c r="B718" t="inlineStr">
        <is>
          <t>QL653.M55 B7</t>
        </is>
      </c>
      <c r="C718" t="inlineStr">
        <is>
          <t>0                      QL 0653000M  55                 B  7</t>
        </is>
      </c>
      <c r="D718" t="inlineStr">
        <is>
          <t>Reptiles and amphibians of Minnesota / by W. J. Breckenridge.</t>
        </is>
      </c>
      <c r="F718" t="inlineStr">
        <is>
          <t>No</t>
        </is>
      </c>
      <c r="G718" t="inlineStr">
        <is>
          <t>1</t>
        </is>
      </c>
      <c r="H718" t="inlineStr">
        <is>
          <t>No</t>
        </is>
      </c>
      <c r="I718" t="inlineStr">
        <is>
          <t>No</t>
        </is>
      </c>
      <c r="J718" t="inlineStr">
        <is>
          <t>0</t>
        </is>
      </c>
      <c r="K718" t="inlineStr">
        <is>
          <t>Breckenridge, W. J. (Walter John), 1903-2003.</t>
        </is>
      </c>
      <c r="L718" t="inlineStr">
        <is>
          <t>Minneapolis, The University of Minnesota press [1944, 1970 printing]</t>
        </is>
      </c>
      <c r="M718" t="inlineStr">
        <is>
          <t>1944</t>
        </is>
      </c>
      <c r="O718" t="inlineStr">
        <is>
          <t>eng</t>
        </is>
      </c>
      <c r="P718" t="inlineStr">
        <is>
          <t>mnu</t>
        </is>
      </c>
      <c r="R718" t="inlineStr">
        <is>
          <t xml:space="preserve">QL </t>
        </is>
      </c>
      <c r="S718" t="n">
        <v>7</v>
      </c>
      <c r="T718" t="n">
        <v>7</v>
      </c>
      <c r="U718" t="inlineStr">
        <is>
          <t>1998-02-22</t>
        </is>
      </c>
      <c r="V718" t="inlineStr">
        <is>
          <t>1998-02-22</t>
        </is>
      </c>
      <c r="W718" t="inlineStr">
        <is>
          <t>1993-02-12</t>
        </is>
      </c>
      <c r="X718" t="inlineStr">
        <is>
          <t>1993-02-12</t>
        </is>
      </c>
      <c r="Y718" t="n">
        <v>199</v>
      </c>
      <c r="Z718" t="n">
        <v>188</v>
      </c>
      <c r="AA718" t="n">
        <v>718</v>
      </c>
      <c r="AB718" t="n">
        <v>4</v>
      </c>
      <c r="AC718" t="n">
        <v>7</v>
      </c>
      <c r="AD718" t="n">
        <v>8</v>
      </c>
      <c r="AE718" t="n">
        <v>34</v>
      </c>
      <c r="AF718" t="n">
        <v>1</v>
      </c>
      <c r="AG718" t="n">
        <v>12</v>
      </c>
      <c r="AH718" t="n">
        <v>3</v>
      </c>
      <c r="AI718" t="n">
        <v>9</v>
      </c>
      <c r="AJ718" t="n">
        <v>2</v>
      </c>
      <c r="AK718" t="n">
        <v>13</v>
      </c>
      <c r="AL718" t="n">
        <v>3</v>
      </c>
      <c r="AM718" t="n">
        <v>6</v>
      </c>
      <c r="AN718" t="n">
        <v>0</v>
      </c>
      <c r="AO718" t="n">
        <v>1</v>
      </c>
      <c r="AP718" t="inlineStr">
        <is>
          <t>No</t>
        </is>
      </c>
      <c r="AQ718" t="inlineStr">
        <is>
          <t>No</t>
        </is>
      </c>
      <c r="AS718">
        <f>HYPERLINK("https://creighton-primo.hosted.exlibrisgroup.com/primo-explore/search?tab=default_tab&amp;search_scope=EVERYTHING&amp;vid=01CRU&amp;lang=en_US&amp;offset=0&amp;query=any,contains,991004311609702656","Catalog Record")</f>
        <v/>
      </c>
      <c r="AT718">
        <f>HYPERLINK("http://www.worldcat.org/oclc/2997146","WorldCat Record")</f>
        <v/>
      </c>
      <c r="AU718" t="inlineStr">
        <is>
          <t>131333844:eng</t>
        </is>
      </c>
      <c r="AV718" t="inlineStr">
        <is>
          <t>2997146</t>
        </is>
      </c>
      <c r="AW718" t="inlineStr">
        <is>
          <t>991004311609702656</t>
        </is>
      </c>
      <c r="AX718" t="inlineStr">
        <is>
          <t>991004311609702656</t>
        </is>
      </c>
      <c r="AY718" t="inlineStr">
        <is>
          <t>2260310100002656</t>
        </is>
      </c>
      <c r="AZ718" t="inlineStr">
        <is>
          <t>BOOK</t>
        </is>
      </c>
      <c r="BC718" t="inlineStr">
        <is>
          <t>32285001533040</t>
        </is>
      </c>
      <c r="BD718" t="inlineStr">
        <is>
          <t>893888548</t>
        </is>
      </c>
    </row>
    <row r="719">
      <c r="A719" t="inlineStr">
        <is>
          <t>No</t>
        </is>
      </c>
      <c r="B719" t="inlineStr">
        <is>
          <t>QL653.P4 H86 2001</t>
        </is>
      </c>
      <c r="C719" t="inlineStr">
        <is>
          <t>0                      QL 0653000P  4                  H  86          2001</t>
        </is>
      </c>
      <c r="D719" t="inlineStr">
        <is>
          <t>Amphibians and reptiles of Pennsylvania and the Northeast / Arthur C. Hulse, C.J. McCoy, and Ellen Censky ; illustrated by Linda Witt Fries.</t>
        </is>
      </c>
      <c r="F719" t="inlineStr">
        <is>
          <t>No</t>
        </is>
      </c>
      <c r="G719" t="inlineStr">
        <is>
          <t>1</t>
        </is>
      </c>
      <c r="H719" t="inlineStr">
        <is>
          <t>No</t>
        </is>
      </c>
      <c r="I719" t="inlineStr">
        <is>
          <t>No</t>
        </is>
      </c>
      <c r="J719" t="inlineStr">
        <is>
          <t>0</t>
        </is>
      </c>
      <c r="K719" t="inlineStr">
        <is>
          <t>Hulse, Arthur C.</t>
        </is>
      </c>
      <c r="L719" t="inlineStr">
        <is>
          <t>Ithaca : Comstock Publishing Associates, 2001.</t>
        </is>
      </c>
      <c r="M719" t="inlineStr">
        <is>
          <t>2001</t>
        </is>
      </c>
      <c r="O719" t="inlineStr">
        <is>
          <t>eng</t>
        </is>
      </c>
      <c r="P719" t="inlineStr">
        <is>
          <t>nyu</t>
        </is>
      </c>
      <c r="Q719" t="inlineStr">
        <is>
          <t>Comstock books in herpetology</t>
        </is>
      </c>
      <c r="R719" t="inlineStr">
        <is>
          <t xml:space="preserve">QL </t>
        </is>
      </c>
      <c r="S719" t="n">
        <v>1</v>
      </c>
      <c r="T719" t="n">
        <v>1</v>
      </c>
      <c r="U719" t="inlineStr">
        <is>
          <t>2002-08-22</t>
        </is>
      </c>
      <c r="V719" t="inlineStr">
        <is>
          <t>2002-08-22</t>
        </is>
      </c>
      <c r="W719" t="inlineStr">
        <is>
          <t>2002-08-22</t>
        </is>
      </c>
      <c r="X719" t="inlineStr">
        <is>
          <t>2002-08-22</t>
        </is>
      </c>
      <c r="Y719" t="n">
        <v>310</v>
      </c>
      <c r="Z719" t="n">
        <v>296</v>
      </c>
      <c r="AA719" t="n">
        <v>305</v>
      </c>
      <c r="AB719" t="n">
        <v>3</v>
      </c>
      <c r="AC719" t="n">
        <v>3</v>
      </c>
      <c r="AD719" t="n">
        <v>13</v>
      </c>
      <c r="AE719" t="n">
        <v>13</v>
      </c>
      <c r="AF719" t="n">
        <v>7</v>
      </c>
      <c r="AG719" t="n">
        <v>7</v>
      </c>
      <c r="AH719" t="n">
        <v>3</v>
      </c>
      <c r="AI719" t="n">
        <v>3</v>
      </c>
      <c r="AJ719" t="n">
        <v>6</v>
      </c>
      <c r="AK719" t="n">
        <v>6</v>
      </c>
      <c r="AL719" t="n">
        <v>2</v>
      </c>
      <c r="AM719" t="n">
        <v>2</v>
      </c>
      <c r="AN719" t="n">
        <v>0</v>
      </c>
      <c r="AO719" t="n">
        <v>0</v>
      </c>
      <c r="AP719" t="inlineStr">
        <is>
          <t>No</t>
        </is>
      </c>
      <c r="AQ719" t="inlineStr">
        <is>
          <t>Yes</t>
        </is>
      </c>
      <c r="AR719">
        <f>HYPERLINK("http://catalog.hathitrust.org/Record/004185558","HathiTrust Record")</f>
        <v/>
      </c>
      <c r="AS719">
        <f>HYPERLINK("https://creighton-primo.hosted.exlibrisgroup.com/primo-explore/search?tab=default_tab&amp;search_scope=EVERYTHING&amp;vid=01CRU&amp;lang=en_US&amp;offset=0&amp;query=any,contains,991003859659702656","Catalog Record")</f>
        <v/>
      </c>
      <c r="AT719">
        <f>HYPERLINK("http://www.worldcat.org/oclc/45123228","WorldCat Record")</f>
        <v/>
      </c>
      <c r="AU719" t="inlineStr">
        <is>
          <t>34694898:eng</t>
        </is>
      </c>
      <c r="AV719" t="inlineStr">
        <is>
          <t>45123228</t>
        </is>
      </c>
      <c r="AW719" t="inlineStr">
        <is>
          <t>991003859659702656</t>
        </is>
      </c>
      <c r="AX719" t="inlineStr">
        <is>
          <t>991003859659702656</t>
        </is>
      </c>
      <c r="AY719" t="inlineStr">
        <is>
          <t>2254810000002656</t>
        </is>
      </c>
      <c r="AZ719" t="inlineStr">
        <is>
          <t>BOOK</t>
        </is>
      </c>
      <c r="BB719" t="inlineStr">
        <is>
          <t>9780801437687</t>
        </is>
      </c>
      <c r="BC719" t="inlineStr">
        <is>
          <t>32285004644760</t>
        </is>
      </c>
      <c r="BD719" t="inlineStr">
        <is>
          <t>893349286</t>
        </is>
      </c>
    </row>
    <row r="720">
      <c r="A720" t="inlineStr">
        <is>
          <t>No</t>
        </is>
      </c>
      <c r="B720" t="inlineStr">
        <is>
          <t>QL654 .A46 1997</t>
        </is>
      </c>
      <c r="C720" t="inlineStr">
        <is>
          <t>0                      QL 0654000A  46          1997</t>
        </is>
      </c>
      <c r="D720" t="inlineStr">
        <is>
          <t>Amphibians in decline : Canadian studies of a global problem / edited by David M. Green.</t>
        </is>
      </c>
      <c r="F720" t="inlineStr">
        <is>
          <t>No</t>
        </is>
      </c>
      <c r="G720" t="inlineStr">
        <is>
          <t>1</t>
        </is>
      </c>
      <c r="H720" t="inlineStr">
        <is>
          <t>No</t>
        </is>
      </c>
      <c r="I720" t="inlineStr">
        <is>
          <t>No</t>
        </is>
      </c>
      <c r="J720" t="inlineStr">
        <is>
          <t>0</t>
        </is>
      </c>
      <c r="L720" t="inlineStr">
        <is>
          <t>Saint Louis, Mo., U.S.A. : Society for the Study of Amphibians and Reptiles, c1997.</t>
        </is>
      </c>
      <c r="M720" t="inlineStr">
        <is>
          <t>1997</t>
        </is>
      </c>
      <c r="O720" t="inlineStr">
        <is>
          <t>eng</t>
        </is>
      </c>
      <c r="P720" t="inlineStr">
        <is>
          <t>mou</t>
        </is>
      </c>
      <c r="Q720" t="inlineStr">
        <is>
          <t>Herpetological conservation ; no. 1</t>
        </is>
      </c>
      <c r="R720" t="inlineStr">
        <is>
          <t xml:space="preserve">QL </t>
        </is>
      </c>
      <c r="S720" t="n">
        <v>6</v>
      </c>
      <c r="T720" t="n">
        <v>6</v>
      </c>
      <c r="U720" t="inlineStr">
        <is>
          <t>2010-02-27</t>
        </is>
      </c>
      <c r="V720" t="inlineStr">
        <is>
          <t>2010-02-27</t>
        </is>
      </c>
      <c r="W720" t="inlineStr">
        <is>
          <t>1998-03-12</t>
        </is>
      </c>
      <c r="X720" t="inlineStr">
        <is>
          <t>1998-03-12</t>
        </is>
      </c>
      <c r="Y720" t="n">
        <v>139</v>
      </c>
      <c r="Z720" t="n">
        <v>94</v>
      </c>
      <c r="AA720" t="n">
        <v>95</v>
      </c>
      <c r="AB720" t="n">
        <v>2</v>
      </c>
      <c r="AC720" t="n">
        <v>2</v>
      </c>
      <c r="AD720" t="n">
        <v>2</v>
      </c>
      <c r="AE720" t="n">
        <v>2</v>
      </c>
      <c r="AF720" t="n">
        <v>0</v>
      </c>
      <c r="AG720" t="n">
        <v>0</v>
      </c>
      <c r="AH720" t="n">
        <v>1</v>
      </c>
      <c r="AI720" t="n">
        <v>1</v>
      </c>
      <c r="AJ720" t="n">
        <v>0</v>
      </c>
      <c r="AK720" t="n">
        <v>0</v>
      </c>
      <c r="AL720" t="n">
        <v>1</v>
      </c>
      <c r="AM720" t="n">
        <v>1</v>
      </c>
      <c r="AN720" t="n">
        <v>0</v>
      </c>
      <c r="AO720" t="n">
        <v>0</v>
      </c>
      <c r="AP720" t="inlineStr">
        <is>
          <t>No</t>
        </is>
      </c>
      <c r="AQ720" t="inlineStr">
        <is>
          <t>Yes</t>
        </is>
      </c>
      <c r="AR720">
        <f>HYPERLINK("http://catalog.hathitrust.org/Record/003966537","HathiTrust Record")</f>
        <v/>
      </c>
      <c r="AS720">
        <f>HYPERLINK("https://creighton-primo.hosted.exlibrisgroup.com/primo-explore/search?tab=default_tab&amp;search_scope=EVERYTHING&amp;vid=01CRU&amp;lang=en_US&amp;offset=0&amp;query=any,contains,991002880759702656","Catalog Record")</f>
        <v/>
      </c>
      <c r="AT720">
        <f>HYPERLINK("http://www.worldcat.org/oclc/37968162","WorldCat Record")</f>
        <v/>
      </c>
      <c r="AU720" t="inlineStr">
        <is>
          <t>902444772:eng</t>
        </is>
      </c>
      <c r="AV720" t="inlineStr">
        <is>
          <t>37968162</t>
        </is>
      </c>
      <c r="AW720" t="inlineStr">
        <is>
          <t>991002880759702656</t>
        </is>
      </c>
      <c r="AX720" t="inlineStr">
        <is>
          <t>991002880759702656</t>
        </is>
      </c>
      <c r="AY720" t="inlineStr">
        <is>
          <t>2258929500002656</t>
        </is>
      </c>
      <c r="AZ720" t="inlineStr">
        <is>
          <t>BOOK</t>
        </is>
      </c>
      <c r="BB720" t="inlineStr">
        <is>
          <t>9780916984403</t>
        </is>
      </c>
      <c r="BC720" t="inlineStr">
        <is>
          <t>32285003357737</t>
        </is>
      </c>
      <c r="BD720" t="inlineStr">
        <is>
          <t>893598012</t>
        </is>
      </c>
    </row>
    <row r="721">
      <c r="A721" t="inlineStr">
        <is>
          <t>No</t>
        </is>
      </c>
      <c r="B721" t="inlineStr">
        <is>
          <t>QL655 .L424 1996</t>
        </is>
      </c>
      <c r="C721" t="inlineStr">
        <is>
          <t>0                      QL 0655000L  424         1996</t>
        </is>
      </c>
      <c r="D721" t="inlineStr">
        <is>
          <t>The amphibians and reptiles of the Yucatán Peninsula / Julian C. Lee ; drawings by Julian C. Lee.</t>
        </is>
      </c>
      <c r="F721" t="inlineStr">
        <is>
          <t>No</t>
        </is>
      </c>
      <c r="G721" t="inlineStr">
        <is>
          <t>1</t>
        </is>
      </c>
      <c r="H721" t="inlineStr">
        <is>
          <t>No</t>
        </is>
      </c>
      <c r="I721" t="inlineStr">
        <is>
          <t>No</t>
        </is>
      </c>
      <c r="J721" t="inlineStr">
        <is>
          <t>0</t>
        </is>
      </c>
      <c r="K721" t="inlineStr">
        <is>
          <t>Lee, Julian C.</t>
        </is>
      </c>
      <c r="L721" t="inlineStr">
        <is>
          <t>Ithaca : Comstock, 1996.</t>
        </is>
      </c>
      <c r="M721" t="inlineStr">
        <is>
          <t>1996</t>
        </is>
      </c>
      <c r="O721" t="inlineStr">
        <is>
          <t>eng</t>
        </is>
      </c>
      <c r="P721" t="inlineStr">
        <is>
          <t>nyu</t>
        </is>
      </c>
      <c r="R721" t="inlineStr">
        <is>
          <t xml:space="preserve">QL </t>
        </is>
      </c>
      <c r="S721" t="n">
        <v>0</v>
      </c>
      <c r="T721" t="n">
        <v>0</v>
      </c>
      <c r="U721" t="inlineStr">
        <is>
          <t>2006-02-15</t>
        </is>
      </c>
      <c r="V721" t="inlineStr">
        <is>
          <t>2006-02-15</t>
        </is>
      </c>
      <c r="W721" t="inlineStr">
        <is>
          <t>1997-02-05</t>
        </is>
      </c>
      <c r="X721" t="inlineStr">
        <is>
          <t>1997-02-05</t>
        </is>
      </c>
      <c r="Y721" t="n">
        <v>189</v>
      </c>
      <c r="Z721" t="n">
        <v>166</v>
      </c>
      <c r="AA721" t="n">
        <v>172</v>
      </c>
      <c r="AB721" t="n">
        <v>2</v>
      </c>
      <c r="AC721" t="n">
        <v>2</v>
      </c>
      <c r="AD721" t="n">
        <v>6</v>
      </c>
      <c r="AE721" t="n">
        <v>6</v>
      </c>
      <c r="AF721" t="n">
        <v>2</v>
      </c>
      <c r="AG721" t="n">
        <v>2</v>
      </c>
      <c r="AH721" t="n">
        <v>3</v>
      </c>
      <c r="AI721" t="n">
        <v>3</v>
      </c>
      <c r="AJ721" t="n">
        <v>1</v>
      </c>
      <c r="AK721" t="n">
        <v>1</v>
      </c>
      <c r="AL721" t="n">
        <v>1</v>
      </c>
      <c r="AM721" t="n">
        <v>1</v>
      </c>
      <c r="AN721" t="n">
        <v>0</v>
      </c>
      <c r="AO721" t="n">
        <v>0</v>
      </c>
      <c r="AP721" t="inlineStr">
        <is>
          <t>No</t>
        </is>
      </c>
      <c r="AQ721" t="inlineStr">
        <is>
          <t>Yes</t>
        </is>
      </c>
      <c r="AR721">
        <f>HYPERLINK("http://catalog.hathitrust.org/Record/003092673","HathiTrust Record")</f>
        <v/>
      </c>
      <c r="AS721">
        <f>HYPERLINK("https://creighton-primo.hosted.exlibrisgroup.com/primo-explore/search?tab=default_tab&amp;search_scope=EVERYTHING&amp;vid=01CRU&amp;lang=en_US&amp;offset=0&amp;query=any,contains,991002513139702656","Catalog Record")</f>
        <v/>
      </c>
      <c r="AT721">
        <f>HYPERLINK("http://www.worldcat.org/oclc/32666782","WorldCat Record")</f>
        <v/>
      </c>
      <c r="AU721" t="inlineStr">
        <is>
          <t>20537913:eng</t>
        </is>
      </c>
      <c r="AV721" t="inlineStr">
        <is>
          <t>32666782</t>
        </is>
      </c>
      <c r="AW721" t="inlineStr">
        <is>
          <t>991002513139702656</t>
        </is>
      </c>
      <c r="AX721" t="inlineStr">
        <is>
          <t>991002513139702656</t>
        </is>
      </c>
      <c r="AY721" t="inlineStr">
        <is>
          <t>2265053500002656</t>
        </is>
      </c>
      <c r="AZ721" t="inlineStr">
        <is>
          <t>BOOK</t>
        </is>
      </c>
      <c r="BB721" t="inlineStr">
        <is>
          <t>9780801424502</t>
        </is>
      </c>
      <c r="BC721" t="inlineStr">
        <is>
          <t>32285002414117</t>
        </is>
      </c>
      <c r="BD721" t="inlineStr">
        <is>
          <t>893421466</t>
        </is>
      </c>
    </row>
    <row r="722">
      <c r="A722" t="inlineStr">
        <is>
          <t>No</t>
        </is>
      </c>
      <c r="B722" t="inlineStr">
        <is>
          <t>QL655 .L44 2000</t>
        </is>
      </c>
      <c r="C722" t="inlineStr">
        <is>
          <t>0                      QL 0655000L  44          2000</t>
        </is>
      </c>
      <c r="D722" t="inlineStr">
        <is>
          <t>A field guide to the amphibians and reptiles of the Maya world : the lowlands of Mexico, Northern Guatemala, and Belize / Julian C. Lee.</t>
        </is>
      </c>
      <c r="F722" t="inlineStr">
        <is>
          <t>No</t>
        </is>
      </c>
      <c r="G722" t="inlineStr">
        <is>
          <t>1</t>
        </is>
      </c>
      <c r="H722" t="inlineStr">
        <is>
          <t>No</t>
        </is>
      </c>
      <c r="I722" t="inlineStr">
        <is>
          <t>No</t>
        </is>
      </c>
      <c r="J722" t="inlineStr">
        <is>
          <t>0</t>
        </is>
      </c>
      <c r="K722" t="inlineStr">
        <is>
          <t>Lee, Julian C.</t>
        </is>
      </c>
      <c r="L722" t="inlineStr">
        <is>
          <t>Ithaca, NY : Comstock Pub. Associates, 2000.</t>
        </is>
      </c>
      <c r="M722" t="inlineStr">
        <is>
          <t>2000</t>
        </is>
      </c>
      <c r="O722" t="inlineStr">
        <is>
          <t>eng</t>
        </is>
      </c>
      <c r="P722" t="inlineStr">
        <is>
          <t>nyu</t>
        </is>
      </c>
      <c r="R722" t="inlineStr">
        <is>
          <t xml:space="preserve">QL </t>
        </is>
      </c>
      <c r="S722" t="n">
        <v>3</v>
      </c>
      <c r="T722" t="n">
        <v>3</v>
      </c>
      <c r="U722" t="inlineStr">
        <is>
          <t>2006-02-26</t>
        </is>
      </c>
      <c r="V722" t="inlineStr">
        <is>
          <t>2006-02-26</t>
        </is>
      </c>
      <c r="W722" t="inlineStr">
        <is>
          <t>2001-10-17</t>
        </is>
      </c>
      <c r="X722" t="inlineStr">
        <is>
          <t>2001-10-17</t>
        </is>
      </c>
      <c r="Y722" t="n">
        <v>28</v>
      </c>
      <c r="Z722" t="n">
        <v>17</v>
      </c>
      <c r="AA722" t="n">
        <v>263</v>
      </c>
      <c r="AB722" t="n">
        <v>1</v>
      </c>
      <c r="AC722" t="n">
        <v>4</v>
      </c>
      <c r="AD722" t="n">
        <v>0</v>
      </c>
      <c r="AE722" t="n">
        <v>7</v>
      </c>
      <c r="AF722" t="n">
        <v>0</v>
      </c>
      <c r="AG722" t="n">
        <v>3</v>
      </c>
      <c r="AH722" t="n">
        <v>0</v>
      </c>
      <c r="AI722" t="n">
        <v>1</v>
      </c>
      <c r="AJ722" t="n">
        <v>0</v>
      </c>
      <c r="AK722" t="n">
        <v>3</v>
      </c>
      <c r="AL722" t="n">
        <v>0</v>
      </c>
      <c r="AM722" t="n">
        <v>2</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HYPERLINK("https://creighton-primo.hosted.exlibrisgroup.com/primo-explore/search?tab=default_tab&amp;search_scope=EVERYTHING&amp;vid=01CRU&amp;lang=en_US&amp;offset=0&amp;query=any,contains,991003629099702656","Catalog Record")</f>
        <v/>
      </c>
      <c r="AT722">
        <f>HYPERLINK("http://www.worldcat.org/oclc/47089183","WorldCat Record")</f>
        <v/>
      </c>
      <c r="AU722" t="inlineStr">
        <is>
          <t>1055948:eng</t>
        </is>
      </c>
      <c r="AV722" t="inlineStr">
        <is>
          <t>47089183</t>
        </is>
      </c>
      <c r="AW722" t="inlineStr">
        <is>
          <t>991003629099702656</t>
        </is>
      </c>
      <c r="AX722" t="inlineStr">
        <is>
          <t>991003629099702656</t>
        </is>
      </c>
      <c r="AY722" t="inlineStr">
        <is>
          <t>2268928180002656</t>
        </is>
      </c>
      <c r="AZ722" t="inlineStr">
        <is>
          <t>BOOK</t>
        </is>
      </c>
      <c r="BB722" t="inlineStr">
        <is>
          <t>9780801436246</t>
        </is>
      </c>
      <c r="BC722" t="inlineStr">
        <is>
          <t>32285004397674</t>
        </is>
      </c>
      <c r="BD722" t="inlineStr">
        <is>
          <t>893874980</t>
        </is>
      </c>
    </row>
    <row r="723">
      <c r="A723" t="inlineStr">
        <is>
          <t>No</t>
        </is>
      </c>
      <c r="B723" t="inlineStr">
        <is>
          <t>QL655 .M67</t>
        </is>
      </c>
      <c r="C723" t="inlineStr">
        <is>
          <t>0                      QL 0655000M  67</t>
        </is>
      </c>
      <c r="D723" t="inlineStr">
        <is>
          <t>A biogeoghaphical [sic] analysis of the Chihuahuan desert through its herpetofauna / by David J. Morafka.</t>
        </is>
      </c>
      <c r="F723" t="inlineStr">
        <is>
          <t>No</t>
        </is>
      </c>
      <c r="G723" t="inlineStr">
        <is>
          <t>1</t>
        </is>
      </c>
      <c r="H723" t="inlineStr">
        <is>
          <t>No</t>
        </is>
      </c>
      <c r="I723" t="inlineStr">
        <is>
          <t>No</t>
        </is>
      </c>
      <c r="J723" t="inlineStr">
        <is>
          <t>0</t>
        </is>
      </c>
      <c r="K723" t="inlineStr">
        <is>
          <t>Morafka, David J.</t>
        </is>
      </c>
      <c r="L723" t="inlineStr">
        <is>
          <t>The Hague : Junk, 1977.</t>
        </is>
      </c>
      <c r="M723" t="inlineStr">
        <is>
          <t>1977</t>
        </is>
      </c>
      <c r="O723" t="inlineStr">
        <is>
          <t>eng</t>
        </is>
      </c>
      <c r="P723" t="inlineStr">
        <is>
          <t xml:space="preserve">ne </t>
        </is>
      </c>
      <c r="Q723" t="inlineStr">
        <is>
          <t>Biogeographica ; v. 9</t>
        </is>
      </c>
      <c r="R723" t="inlineStr">
        <is>
          <t xml:space="preserve">QL </t>
        </is>
      </c>
      <c r="S723" t="n">
        <v>4</v>
      </c>
      <c r="T723" t="n">
        <v>4</v>
      </c>
      <c r="U723" t="inlineStr">
        <is>
          <t>1997-07-17</t>
        </is>
      </c>
      <c r="V723" t="inlineStr">
        <is>
          <t>1997-07-17</t>
        </is>
      </c>
      <c r="W723" t="inlineStr">
        <is>
          <t>1993-02-12</t>
        </is>
      </c>
      <c r="X723" t="inlineStr">
        <is>
          <t>1993-02-12</t>
        </is>
      </c>
      <c r="Y723" t="n">
        <v>149</v>
      </c>
      <c r="Z723" t="n">
        <v>106</v>
      </c>
      <c r="AA723" t="n">
        <v>131</v>
      </c>
      <c r="AB723" t="n">
        <v>2</v>
      </c>
      <c r="AC723" t="n">
        <v>2</v>
      </c>
      <c r="AD723" t="n">
        <v>3</v>
      </c>
      <c r="AE723" t="n">
        <v>5</v>
      </c>
      <c r="AF723" t="n">
        <v>0</v>
      </c>
      <c r="AG723" t="n">
        <v>2</v>
      </c>
      <c r="AH723" t="n">
        <v>1</v>
      </c>
      <c r="AI723" t="n">
        <v>2</v>
      </c>
      <c r="AJ723" t="n">
        <v>1</v>
      </c>
      <c r="AK723" t="n">
        <v>2</v>
      </c>
      <c r="AL723" t="n">
        <v>1</v>
      </c>
      <c r="AM723" t="n">
        <v>1</v>
      </c>
      <c r="AN723" t="n">
        <v>0</v>
      </c>
      <c r="AO723" t="n">
        <v>0</v>
      </c>
      <c r="AP723" t="inlineStr">
        <is>
          <t>No</t>
        </is>
      </c>
      <c r="AQ723" t="inlineStr">
        <is>
          <t>Yes</t>
        </is>
      </c>
      <c r="AR723">
        <f>HYPERLINK("http://catalog.hathitrust.org/Record/003840129","HathiTrust Record")</f>
        <v/>
      </c>
      <c r="AS723">
        <f>HYPERLINK("https://creighton-primo.hosted.exlibrisgroup.com/primo-explore/search?tab=default_tab&amp;search_scope=EVERYTHING&amp;vid=01CRU&amp;lang=en_US&amp;offset=0&amp;query=any,contains,991004451209702656","Catalog Record")</f>
        <v/>
      </c>
      <c r="AT723">
        <f>HYPERLINK("http://www.worldcat.org/oclc/3514610","WorldCat Record")</f>
        <v/>
      </c>
      <c r="AU723" t="inlineStr">
        <is>
          <t>2260131:eng</t>
        </is>
      </c>
      <c r="AV723" t="inlineStr">
        <is>
          <t>3514610</t>
        </is>
      </c>
      <c r="AW723" t="inlineStr">
        <is>
          <t>991004451209702656</t>
        </is>
      </c>
      <c r="AX723" t="inlineStr">
        <is>
          <t>991004451209702656</t>
        </is>
      </c>
      <c r="AY723" t="inlineStr">
        <is>
          <t>2269690780002656</t>
        </is>
      </c>
      <c r="AZ723" t="inlineStr">
        <is>
          <t>BOOK</t>
        </is>
      </c>
      <c r="BB723" t="inlineStr">
        <is>
          <t>9789061932109</t>
        </is>
      </c>
      <c r="BC723" t="inlineStr">
        <is>
          <t>32285001533115</t>
        </is>
      </c>
      <c r="BD723" t="inlineStr">
        <is>
          <t>893423810</t>
        </is>
      </c>
    </row>
    <row r="724">
      <c r="A724" t="inlineStr">
        <is>
          <t>No</t>
        </is>
      </c>
      <c r="B724" t="inlineStr">
        <is>
          <t>QL655 .S63 v. 1</t>
        </is>
      </c>
      <c r="C724" t="inlineStr">
        <is>
          <t>0                      QL 0655000S  63                                                      v. 1</t>
        </is>
      </c>
      <c r="D724" t="inlineStr">
        <is>
          <t>Analysis of the literature on the Mexican axolotl / by Hobart M. Smith and Rozella B. Smith.</t>
        </is>
      </c>
      <c r="E724" t="inlineStr">
        <is>
          <t>V. 1</t>
        </is>
      </c>
      <c r="F724" t="inlineStr">
        <is>
          <t>No</t>
        </is>
      </c>
      <c r="G724" t="inlineStr">
        <is>
          <t>1</t>
        </is>
      </c>
      <c r="H724" t="inlineStr">
        <is>
          <t>No</t>
        </is>
      </c>
      <c r="I724" t="inlineStr">
        <is>
          <t>No</t>
        </is>
      </c>
      <c r="J724" t="inlineStr">
        <is>
          <t>0</t>
        </is>
      </c>
      <c r="K724" t="inlineStr">
        <is>
          <t>Smith, Hobart M. (Hobart Muir), 1912-2013.</t>
        </is>
      </c>
      <c r="L724" t="inlineStr">
        <is>
          <t>Augusta, W. Va. : E. Lundberg, 1971.</t>
        </is>
      </c>
      <c r="M724" t="inlineStr">
        <is>
          <t>1971</t>
        </is>
      </c>
      <c r="O724" t="inlineStr">
        <is>
          <t>eng</t>
        </is>
      </c>
      <c r="P724" t="inlineStr">
        <is>
          <t>wvu</t>
        </is>
      </c>
      <c r="Q724" t="inlineStr">
        <is>
          <t>Synopsis of the herpetofauna of Mexico, v. 1</t>
        </is>
      </c>
      <c r="R724" t="inlineStr">
        <is>
          <t xml:space="preserve">QL </t>
        </is>
      </c>
      <c r="S724" t="n">
        <v>4</v>
      </c>
      <c r="T724" t="n">
        <v>4</v>
      </c>
      <c r="U724" t="inlineStr">
        <is>
          <t>1998-03-05</t>
        </is>
      </c>
      <c r="V724" t="inlineStr">
        <is>
          <t>1998-03-05</t>
        </is>
      </c>
      <c r="W724" t="inlineStr">
        <is>
          <t>1993-02-12</t>
        </is>
      </c>
      <c r="X724" t="inlineStr">
        <is>
          <t>1993-02-12</t>
        </is>
      </c>
      <c r="Y724" t="n">
        <v>62</v>
      </c>
      <c r="Z724" t="n">
        <v>58</v>
      </c>
      <c r="AA724" t="n">
        <v>62</v>
      </c>
      <c r="AB724" t="n">
        <v>1</v>
      </c>
      <c r="AC724" t="n">
        <v>1</v>
      </c>
      <c r="AD724" t="n">
        <v>0</v>
      </c>
      <c r="AE724" t="n">
        <v>0</v>
      </c>
      <c r="AF724" t="n">
        <v>0</v>
      </c>
      <c r="AG724" t="n">
        <v>0</v>
      </c>
      <c r="AH724" t="n">
        <v>0</v>
      </c>
      <c r="AI724" t="n">
        <v>0</v>
      </c>
      <c r="AJ724" t="n">
        <v>0</v>
      </c>
      <c r="AK724" t="n">
        <v>0</v>
      </c>
      <c r="AL724" t="n">
        <v>0</v>
      </c>
      <c r="AM724" t="n">
        <v>0</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HYPERLINK("https://creighton-primo.hosted.exlibrisgroup.com/primo-explore/search?tab=default_tab&amp;search_scope=EVERYTHING&amp;vid=01CRU&amp;lang=en_US&amp;offset=0&amp;query=any,contains,991001927419702656","Catalog Record")</f>
        <v/>
      </c>
      <c r="AT724">
        <f>HYPERLINK("http://www.worldcat.org/oclc/247396","WorldCat Record")</f>
        <v/>
      </c>
      <c r="AU724" t="inlineStr">
        <is>
          <t>1405125:eng</t>
        </is>
      </c>
      <c r="AV724" t="inlineStr">
        <is>
          <t>247396</t>
        </is>
      </c>
      <c r="AW724" t="inlineStr">
        <is>
          <t>991001927419702656</t>
        </is>
      </c>
      <c r="AX724" t="inlineStr">
        <is>
          <t>991001927419702656</t>
        </is>
      </c>
      <c r="AY724" t="inlineStr">
        <is>
          <t>2257870330002656</t>
        </is>
      </c>
      <c r="AZ724" t="inlineStr">
        <is>
          <t>BOOK</t>
        </is>
      </c>
      <c r="BC724" t="inlineStr">
        <is>
          <t>32285001533123</t>
        </is>
      </c>
      <c r="BD724" t="inlineStr">
        <is>
          <t>893872899</t>
        </is>
      </c>
    </row>
    <row r="725">
      <c r="A725" t="inlineStr">
        <is>
          <t>No</t>
        </is>
      </c>
      <c r="B725" t="inlineStr">
        <is>
          <t>QL655 .S63 v. 2</t>
        </is>
      </c>
      <c r="C725" t="inlineStr">
        <is>
          <t>0                      QL 0655000S  63                                                      v. 2</t>
        </is>
      </c>
      <c r="D725" t="inlineStr">
        <is>
          <t>Analysis of the literature exclusive of the Mexican axolotl, by Hobart M. Smith and Rozella B. Smith.</t>
        </is>
      </c>
      <c r="E725" t="inlineStr">
        <is>
          <t>V. 2</t>
        </is>
      </c>
      <c r="F725" t="inlineStr">
        <is>
          <t>No</t>
        </is>
      </c>
      <c r="G725" t="inlineStr">
        <is>
          <t>1</t>
        </is>
      </c>
      <c r="H725" t="inlineStr">
        <is>
          <t>No</t>
        </is>
      </c>
      <c r="I725" t="inlineStr">
        <is>
          <t>No</t>
        </is>
      </c>
      <c r="J725" t="inlineStr">
        <is>
          <t>0</t>
        </is>
      </c>
      <c r="K725" t="inlineStr">
        <is>
          <t>Smith, Hobart M. (Hobart Muir), 1912-2013.</t>
        </is>
      </c>
      <c r="L725" t="inlineStr">
        <is>
          <t>Augusta, W. Va., E. Lundberg, 1973.</t>
        </is>
      </c>
      <c r="M725" t="inlineStr">
        <is>
          <t>1973</t>
        </is>
      </c>
      <c r="O725" t="inlineStr">
        <is>
          <t>eng</t>
        </is>
      </c>
      <c r="P725" t="inlineStr">
        <is>
          <t>wvu</t>
        </is>
      </c>
      <c r="Q725" t="inlineStr">
        <is>
          <t>Synopsis of the herpetofauna of Mexico, v. 2</t>
        </is>
      </c>
      <c r="R725" t="inlineStr">
        <is>
          <t xml:space="preserve">QL </t>
        </is>
      </c>
      <c r="S725" t="n">
        <v>2</v>
      </c>
      <c r="T725" t="n">
        <v>2</v>
      </c>
      <c r="U725" t="inlineStr">
        <is>
          <t>1998-02-26</t>
        </is>
      </c>
      <c r="V725" t="inlineStr">
        <is>
          <t>1998-02-26</t>
        </is>
      </c>
      <c r="W725" t="inlineStr">
        <is>
          <t>1993-02-12</t>
        </is>
      </c>
      <c r="X725" t="inlineStr">
        <is>
          <t>1993-02-12</t>
        </is>
      </c>
      <c r="Y725" t="n">
        <v>64</v>
      </c>
      <c r="Z725" t="n">
        <v>60</v>
      </c>
      <c r="AA725" t="n">
        <v>60</v>
      </c>
      <c r="AB725" t="n">
        <v>2</v>
      </c>
      <c r="AC725" t="n">
        <v>2</v>
      </c>
      <c r="AD725" t="n">
        <v>1</v>
      </c>
      <c r="AE725" t="n">
        <v>1</v>
      </c>
      <c r="AF725" t="n">
        <v>0</v>
      </c>
      <c r="AG725" t="n">
        <v>0</v>
      </c>
      <c r="AH725" t="n">
        <v>0</v>
      </c>
      <c r="AI725" t="n">
        <v>0</v>
      </c>
      <c r="AJ725" t="n">
        <v>0</v>
      </c>
      <c r="AK725" t="n">
        <v>0</v>
      </c>
      <c r="AL725" t="n">
        <v>1</v>
      </c>
      <c r="AM725" t="n">
        <v>1</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HYPERLINK("https://creighton-primo.hosted.exlibrisgroup.com/primo-explore/search?tab=default_tab&amp;search_scope=EVERYTHING&amp;vid=01CRU&amp;lang=en_US&amp;offset=0&amp;query=any,contains,991003526119702656","Catalog Record")</f>
        <v/>
      </c>
      <c r="AT725">
        <f>HYPERLINK("http://www.worldcat.org/oclc/1089123","WorldCat Record")</f>
        <v/>
      </c>
      <c r="AU725" t="inlineStr">
        <is>
          <t>2058401:eng</t>
        </is>
      </c>
      <c r="AV725" t="inlineStr">
        <is>
          <t>1089123</t>
        </is>
      </c>
      <c r="AW725" t="inlineStr">
        <is>
          <t>991003526119702656</t>
        </is>
      </c>
      <c r="AX725" t="inlineStr">
        <is>
          <t>991003526119702656</t>
        </is>
      </c>
      <c r="AY725" t="inlineStr">
        <is>
          <t>2272453770002656</t>
        </is>
      </c>
      <c r="AZ725" t="inlineStr">
        <is>
          <t>BOOK</t>
        </is>
      </c>
      <c r="BC725" t="inlineStr">
        <is>
          <t>32285001533131</t>
        </is>
      </c>
      <c r="BD725" t="inlineStr">
        <is>
          <t>893904404</t>
        </is>
      </c>
    </row>
    <row r="726">
      <c r="A726" t="inlineStr">
        <is>
          <t>No</t>
        </is>
      </c>
      <c r="B726" t="inlineStr">
        <is>
          <t>QL655 .S63 v. 5</t>
        </is>
      </c>
      <c r="C726" t="inlineStr">
        <is>
          <t>0                      QL 0655000S  63                                                      v. 5</t>
        </is>
      </c>
      <c r="D726" t="inlineStr">
        <is>
          <t>Guide to Mexican amphisbaenians and crocodilians ; Bibliographic addendum II / by Hobart M. Smith and Rozella B. Smith.</t>
        </is>
      </c>
      <c r="E726" t="inlineStr">
        <is>
          <t>V. 5</t>
        </is>
      </c>
      <c r="F726" t="inlineStr">
        <is>
          <t>No</t>
        </is>
      </c>
      <c r="G726" t="inlineStr">
        <is>
          <t>1</t>
        </is>
      </c>
      <c r="H726" t="inlineStr">
        <is>
          <t>No</t>
        </is>
      </c>
      <c r="I726" t="inlineStr">
        <is>
          <t>No</t>
        </is>
      </c>
      <c r="J726" t="inlineStr">
        <is>
          <t>0</t>
        </is>
      </c>
      <c r="K726" t="inlineStr">
        <is>
          <t>Smith, Hobart M. (Hobart Muir), 1912-2013.</t>
        </is>
      </c>
      <c r="L726" t="inlineStr">
        <is>
          <t>North Bennington, Vt. : J. Johnson, 1977.</t>
        </is>
      </c>
      <c r="M726" t="inlineStr">
        <is>
          <t>1977</t>
        </is>
      </c>
      <c r="O726" t="inlineStr">
        <is>
          <t>eng</t>
        </is>
      </c>
      <c r="P726" t="inlineStr">
        <is>
          <t>vtu</t>
        </is>
      </c>
      <c r="Q726" t="inlineStr">
        <is>
          <t>Synopsis of the herpetofauna of Mexico ; v. 5</t>
        </is>
      </c>
      <c r="R726" t="inlineStr">
        <is>
          <t xml:space="preserve">QL </t>
        </is>
      </c>
      <c r="S726" t="n">
        <v>1</v>
      </c>
      <c r="T726" t="n">
        <v>1</v>
      </c>
      <c r="U726" t="inlineStr">
        <is>
          <t>2001-02-18</t>
        </is>
      </c>
      <c r="V726" t="inlineStr">
        <is>
          <t>2001-02-18</t>
        </is>
      </c>
      <c r="W726" t="inlineStr">
        <is>
          <t>1993-02-12</t>
        </is>
      </c>
      <c r="X726" t="inlineStr">
        <is>
          <t>1993-02-12</t>
        </is>
      </c>
      <c r="Y726" t="n">
        <v>60</v>
      </c>
      <c r="Z726" t="n">
        <v>56</v>
      </c>
      <c r="AA726" t="n">
        <v>56</v>
      </c>
      <c r="AB726" t="n">
        <v>3</v>
      </c>
      <c r="AC726" t="n">
        <v>3</v>
      </c>
      <c r="AD726" t="n">
        <v>2</v>
      </c>
      <c r="AE726" t="n">
        <v>2</v>
      </c>
      <c r="AF726" t="n">
        <v>0</v>
      </c>
      <c r="AG726" t="n">
        <v>0</v>
      </c>
      <c r="AH726" t="n">
        <v>0</v>
      </c>
      <c r="AI726" t="n">
        <v>0</v>
      </c>
      <c r="AJ726" t="n">
        <v>0</v>
      </c>
      <c r="AK726" t="n">
        <v>0</v>
      </c>
      <c r="AL726" t="n">
        <v>2</v>
      </c>
      <c r="AM726" t="n">
        <v>2</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HYPERLINK("https://creighton-primo.hosted.exlibrisgroup.com/primo-explore/search?tab=default_tab&amp;search_scope=EVERYTHING&amp;vid=01CRU&amp;lang=en_US&amp;offset=0&amp;query=any,contains,991004490279702656","Catalog Record")</f>
        <v/>
      </c>
      <c r="AT726">
        <f>HYPERLINK("http://www.worldcat.org/oclc/3657458","WorldCat Record")</f>
        <v/>
      </c>
      <c r="AU726" t="inlineStr">
        <is>
          <t>11217983:eng</t>
        </is>
      </c>
      <c r="AV726" t="inlineStr">
        <is>
          <t>3657458</t>
        </is>
      </c>
      <c r="AW726" t="inlineStr">
        <is>
          <t>991004490279702656</t>
        </is>
      </c>
      <c r="AX726" t="inlineStr">
        <is>
          <t>991004490279702656</t>
        </is>
      </c>
      <c r="AY726" t="inlineStr">
        <is>
          <t>2255962760002656</t>
        </is>
      </c>
      <c r="AZ726" t="inlineStr">
        <is>
          <t>BOOK</t>
        </is>
      </c>
      <c r="BC726" t="inlineStr">
        <is>
          <t>32285001533164</t>
        </is>
      </c>
      <c r="BD726" t="inlineStr">
        <is>
          <t>893718971</t>
        </is>
      </c>
    </row>
    <row r="727">
      <c r="A727" t="inlineStr">
        <is>
          <t>No</t>
        </is>
      </c>
      <c r="B727" t="inlineStr">
        <is>
          <t>QL655 .S63 v.6</t>
        </is>
      </c>
      <c r="C727" t="inlineStr">
        <is>
          <t>0                      QL 0655000S  63                                                      v.6</t>
        </is>
      </c>
      <c r="D727" t="inlineStr">
        <is>
          <t>Guide to Mexican turtles ; Bibliographic addendum III / Hobart M. Smith and Rozella B. Smith.</t>
        </is>
      </c>
      <c r="E727" t="inlineStr">
        <is>
          <t>V. 6</t>
        </is>
      </c>
      <c r="F727" t="inlineStr">
        <is>
          <t>No</t>
        </is>
      </c>
      <c r="G727" t="inlineStr">
        <is>
          <t>1</t>
        </is>
      </c>
      <c r="H727" t="inlineStr">
        <is>
          <t>No</t>
        </is>
      </c>
      <c r="I727" t="inlineStr">
        <is>
          <t>No</t>
        </is>
      </c>
      <c r="J727" t="inlineStr">
        <is>
          <t>0</t>
        </is>
      </c>
      <c r="K727" t="inlineStr">
        <is>
          <t>Smith, Hobart M. (Hobart Muir), 1912-2013.</t>
        </is>
      </c>
      <c r="L727" t="inlineStr">
        <is>
          <t>North Bennington, Vt. : J. Johnson, 1979.</t>
        </is>
      </c>
      <c r="M727" t="inlineStr">
        <is>
          <t>1979</t>
        </is>
      </c>
      <c r="O727" t="inlineStr">
        <is>
          <t>eng</t>
        </is>
      </c>
      <c r="P727" t="inlineStr">
        <is>
          <t>vtu</t>
        </is>
      </c>
      <c r="Q727" t="inlineStr">
        <is>
          <t>Synopsis of the herpetofauna of Mexico ; v. 6</t>
        </is>
      </c>
      <c r="R727" t="inlineStr">
        <is>
          <t xml:space="preserve">QL </t>
        </is>
      </c>
      <c r="S727" t="n">
        <v>0</v>
      </c>
      <c r="T727" t="n">
        <v>0</v>
      </c>
      <c r="U727" t="inlineStr">
        <is>
          <t>2006-11-30</t>
        </is>
      </c>
      <c r="V727" t="inlineStr">
        <is>
          <t>2006-11-30</t>
        </is>
      </c>
      <c r="W727" t="inlineStr">
        <is>
          <t>1993-02-12</t>
        </is>
      </c>
      <c r="X727" t="inlineStr">
        <is>
          <t>1993-02-12</t>
        </is>
      </c>
      <c r="Y727" t="n">
        <v>54</v>
      </c>
      <c r="Z727" t="n">
        <v>49</v>
      </c>
      <c r="AA727" t="n">
        <v>49</v>
      </c>
      <c r="AB727" t="n">
        <v>2</v>
      </c>
      <c r="AC727" t="n">
        <v>2</v>
      </c>
      <c r="AD727" t="n">
        <v>2</v>
      </c>
      <c r="AE727" t="n">
        <v>2</v>
      </c>
      <c r="AF727" t="n">
        <v>1</v>
      </c>
      <c r="AG727" t="n">
        <v>1</v>
      </c>
      <c r="AH727" t="n">
        <v>0</v>
      </c>
      <c r="AI727" t="n">
        <v>0</v>
      </c>
      <c r="AJ727" t="n">
        <v>0</v>
      </c>
      <c r="AK727" t="n">
        <v>0</v>
      </c>
      <c r="AL727" t="n">
        <v>1</v>
      </c>
      <c r="AM727" t="n">
        <v>1</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HYPERLINK("https://creighton-primo.hosted.exlibrisgroup.com/primo-explore/search?tab=default_tab&amp;search_scope=EVERYTHING&amp;vid=01CRU&amp;lang=en_US&amp;offset=0&amp;query=any,contains,991004954419702656","Catalog Record")</f>
        <v/>
      </c>
      <c r="AT727">
        <f>HYPERLINK("http://www.worldcat.org/oclc/6275366","WorldCat Record")</f>
        <v/>
      </c>
      <c r="AU727" t="inlineStr">
        <is>
          <t>21564443:eng</t>
        </is>
      </c>
      <c r="AV727" t="inlineStr">
        <is>
          <t>6275366</t>
        </is>
      </c>
      <c r="AW727" t="inlineStr">
        <is>
          <t>991004954419702656</t>
        </is>
      </c>
      <c r="AX727" t="inlineStr">
        <is>
          <t>991004954419702656</t>
        </is>
      </c>
      <c r="AY727" t="inlineStr">
        <is>
          <t>2261794630002656</t>
        </is>
      </c>
      <c r="AZ727" t="inlineStr">
        <is>
          <t>BOOK</t>
        </is>
      </c>
      <c r="BB727" t="inlineStr">
        <is>
          <t>9780910914116</t>
        </is>
      </c>
      <c r="BC727" t="inlineStr">
        <is>
          <t>32285001533172</t>
        </is>
      </c>
      <c r="BD727" t="inlineStr">
        <is>
          <t>893719591</t>
        </is>
      </c>
    </row>
    <row r="728">
      <c r="A728" t="inlineStr">
        <is>
          <t>No</t>
        </is>
      </c>
      <c r="B728" t="inlineStr">
        <is>
          <t>QL656.5.A1 C66 1996</t>
        </is>
      </c>
      <c r="C728" t="inlineStr">
        <is>
          <t>0                      QL 0656500A  1                  C  66          1996</t>
        </is>
      </c>
      <c r="D728" t="inlineStr">
        <is>
          <t>Contributions to West Indian herpetology : a tribute to Albert Schwartz / edited by Robert Powell and Robert W. Henderson ; foreword by Thomas W. Schoener.</t>
        </is>
      </c>
      <c r="F728" t="inlineStr">
        <is>
          <t>No</t>
        </is>
      </c>
      <c r="G728" t="inlineStr">
        <is>
          <t>1</t>
        </is>
      </c>
      <c r="H728" t="inlineStr">
        <is>
          <t>No</t>
        </is>
      </c>
      <c r="I728" t="inlineStr">
        <is>
          <t>No</t>
        </is>
      </c>
      <c r="J728" t="inlineStr">
        <is>
          <t>0</t>
        </is>
      </c>
      <c r="L728" t="inlineStr">
        <is>
          <t>[Ithaca, N.Y.] : Society for the Study of Amphibians and Reptiles, 1996.</t>
        </is>
      </c>
      <c r="M728" t="inlineStr">
        <is>
          <t>1996</t>
        </is>
      </c>
      <c r="O728" t="inlineStr">
        <is>
          <t>eng</t>
        </is>
      </c>
      <c r="P728" t="inlineStr">
        <is>
          <t>nyu</t>
        </is>
      </c>
      <c r="Q728" t="inlineStr">
        <is>
          <t>Contributions to herpetology ; v. 12</t>
        </is>
      </c>
      <c r="R728" t="inlineStr">
        <is>
          <t xml:space="preserve">QL </t>
        </is>
      </c>
      <c r="S728" t="n">
        <v>4</v>
      </c>
      <c r="T728" t="n">
        <v>4</v>
      </c>
      <c r="U728" t="inlineStr">
        <is>
          <t>2006-02-26</t>
        </is>
      </c>
      <c r="V728" t="inlineStr">
        <is>
          <t>2006-02-26</t>
        </is>
      </c>
      <c r="W728" t="inlineStr">
        <is>
          <t>1999-05-19</t>
        </is>
      </c>
      <c r="X728" t="inlineStr">
        <is>
          <t>1999-05-19</t>
        </is>
      </c>
      <c r="Y728" t="n">
        <v>65</v>
      </c>
      <c r="Z728" t="n">
        <v>49</v>
      </c>
      <c r="AA728" t="n">
        <v>49</v>
      </c>
      <c r="AB728" t="n">
        <v>1</v>
      </c>
      <c r="AC728" t="n">
        <v>1</v>
      </c>
      <c r="AD728" t="n">
        <v>1</v>
      </c>
      <c r="AE728" t="n">
        <v>1</v>
      </c>
      <c r="AF728" t="n">
        <v>1</v>
      </c>
      <c r="AG728" t="n">
        <v>1</v>
      </c>
      <c r="AH728" t="n">
        <v>0</v>
      </c>
      <c r="AI728" t="n">
        <v>0</v>
      </c>
      <c r="AJ728" t="n">
        <v>1</v>
      </c>
      <c r="AK728" t="n">
        <v>1</v>
      </c>
      <c r="AL728" t="n">
        <v>0</v>
      </c>
      <c r="AM728" t="n">
        <v>0</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HYPERLINK("https://creighton-primo.hosted.exlibrisgroup.com/primo-explore/search?tab=default_tab&amp;search_scope=EVERYTHING&amp;vid=01CRU&amp;lang=en_US&amp;offset=0&amp;query=any,contains,991002682509702656","Catalog Record")</f>
        <v/>
      </c>
      <c r="AT728">
        <f>HYPERLINK("http://www.worldcat.org/oclc/35049452","WorldCat Record")</f>
        <v/>
      </c>
      <c r="AU728" t="inlineStr">
        <is>
          <t>152231827:eng</t>
        </is>
      </c>
      <c r="AV728" t="inlineStr">
        <is>
          <t>35049452</t>
        </is>
      </c>
      <c r="AW728" t="inlineStr">
        <is>
          <t>991002682509702656</t>
        </is>
      </c>
      <c r="AX728" t="inlineStr">
        <is>
          <t>991002682509702656</t>
        </is>
      </c>
      <c r="AY728" t="inlineStr">
        <is>
          <t>2270934370002656</t>
        </is>
      </c>
      <c r="AZ728" t="inlineStr">
        <is>
          <t>BOOK</t>
        </is>
      </c>
      <c r="BB728" t="inlineStr">
        <is>
          <t>9780916984373</t>
        </is>
      </c>
      <c r="BC728" t="inlineStr">
        <is>
          <t>32285003571071</t>
        </is>
      </c>
      <c r="BD728" t="inlineStr">
        <is>
          <t>893434162</t>
        </is>
      </c>
    </row>
    <row r="729">
      <c r="A729" t="inlineStr">
        <is>
          <t>No</t>
        </is>
      </c>
      <c r="B729" t="inlineStr">
        <is>
          <t>QL656.5.T7 M87 1997</t>
        </is>
      </c>
      <c r="C729" t="inlineStr">
        <is>
          <t>0                      QL 0656500T  7                  M  87          1997</t>
        </is>
      </c>
      <c r="D729" t="inlineStr">
        <is>
          <t>Amphibians and reptiles of Trinidad and Tobago / John C. Murphy.</t>
        </is>
      </c>
      <c r="F729" t="inlineStr">
        <is>
          <t>No</t>
        </is>
      </c>
      <c r="G729" t="inlineStr">
        <is>
          <t>1</t>
        </is>
      </c>
      <c r="H729" t="inlineStr">
        <is>
          <t>No</t>
        </is>
      </c>
      <c r="I729" t="inlineStr">
        <is>
          <t>No</t>
        </is>
      </c>
      <c r="J729" t="inlineStr">
        <is>
          <t>0</t>
        </is>
      </c>
      <c r="K729" t="inlineStr">
        <is>
          <t>Murphy, John C., 1947-</t>
        </is>
      </c>
      <c r="L729" t="inlineStr">
        <is>
          <t>Melbourne, Fla. : Krieger Pub. Co., 1997.</t>
        </is>
      </c>
      <c r="M729" t="inlineStr">
        <is>
          <t>1997</t>
        </is>
      </c>
      <c r="O729" t="inlineStr">
        <is>
          <t>eng</t>
        </is>
      </c>
      <c r="P729" t="inlineStr">
        <is>
          <t>flu</t>
        </is>
      </c>
      <c r="R729" t="inlineStr">
        <is>
          <t xml:space="preserve">QL </t>
        </is>
      </c>
      <c r="S729" t="n">
        <v>3</v>
      </c>
      <c r="T729" t="n">
        <v>3</v>
      </c>
      <c r="U729" t="inlineStr">
        <is>
          <t>2004-03-20</t>
        </is>
      </c>
      <c r="V729" t="inlineStr">
        <is>
          <t>2004-03-20</t>
        </is>
      </c>
      <c r="W729" t="inlineStr">
        <is>
          <t>2002-05-08</t>
        </is>
      </c>
      <c r="X729" t="inlineStr">
        <is>
          <t>2002-05-08</t>
        </is>
      </c>
      <c r="Y729" t="n">
        <v>132</v>
      </c>
      <c r="Z729" t="n">
        <v>105</v>
      </c>
      <c r="AA729" t="n">
        <v>105</v>
      </c>
      <c r="AB729" t="n">
        <v>2</v>
      </c>
      <c r="AC729" t="n">
        <v>2</v>
      </c>
      <c r="AD729" t="n">
        <v>5</v>
      </c>
      <c r="AE729" t="n">
        <v>5</v>
      </c>
      <c r="AF729" t="n">
        <v>0</v>
      </c>
      <c r="AG729" t="n">
        <v>0</v>
      </c>
      <c r="AH729" t="n">
        <v>1</v>
      </c>
      <c r="AI729" t="n">
        <v>1</v>
      </c>
      <c r="AJ729" t="n">
        <v>3</v>
      </c>
      <c r="AK729" t="n">
        <v>3</v>
      </c>
      <c r="AL729" t="n">
        <v>1</v>
      </c>
      <c r="AM729" t="n">
        <v>1</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HYPERLINK("https://creighton-primo.hosted.exlibrisgroup.com/primo-explore/search?tab=default_tab&amp;search_scope=EVERYTHING&amp;vid=01CRU&amp;lang=en_US&amp;offset=0&amp;query=any,contains,991003797799702656","Catalog Record")</f>
        <v/>
      </c>
      <c r="AT729">
        <f>HYPERLINK("http://www.worldcat.org/oclc/32923165","WorldCat Record")</f>
        <v/>
      </c>
      <c r="AU729" t="inlineStr">
        <is>
          <t>37647626:eng</t>
        </is>
      </c>
      <c r="AV729" t="inlineStr">
        <is>
          <t>32923165</t>
        </is>
      </c>
      <c r="AW729" t="inlineStr">
        <is>
          <t>991003797799702656</t>
        </is>
      </c>
      <c r="AX729" t="inlineStr">
        <is>
          <t>991003797799702656</t>
        </is>
      </c>
      <c r="AY729" t="inlineStr">
        <is>
          <t>2261862720002656</t>
        </is>
      </c>
      <c r="AZ729" t="inlineStr">
        <is>
          <t>BOOK</t>
        </is>
      </c>
      <c r="BB729" t="inlineStr">
        <is>
          <t>9780894649714</t>
        </is>
      </c>
      <c r="BC729" t="inlineStr">
        <is>
          <t>32285004486741</t>
        </is>
      </c>
      <c r="BD729" t="inlineStr">
        <is>
          <t>893336970</t>
        </is>
      </c>
    </row>
    <row r="730">
      <c r="A730" t="inlineStr">
        <is>
          <t>No</t>
        </is>
      </c>
      <c r="B730" t="inlineStr">
        <is>
          <t>QL656.A1 K6313 2003</t>
        </is>
      </c>
      <c r="C730" t="inlineStr">
        <is>
          <t>0                      QL 0656000A  1                  K  6313        2003</t>
        </is>
      </c>
      <c r="D730" t="inlineStr">
        <is>
          <t>Reptiles of Central America / Gunther Köhler.</t>
        </is>
      </c>
      <c r="F730" t="inlineStr">
        <is>
          <t>No</t>
        </is>
      </c>
      <c r="G730" t="inlineStr">
        <is>
          <t>1</t>
        </is>
      </c>
      <c r="H730" t="inlineStr">
        <is>
          <t>No</t>
        </is>
      </c>
      <c r="I730" t="inlineStr">
        <is>
          <t>No</t>
        </is>
      </c>
      <c r="J730" t="inlineStr">
        <is>
          <t>0</t>
        </is>
      </c>
      <c r="K730" t="inlineStr">
        <is>
          <t>Köhler, Gunther.</t>
        </is>
      </c>
      <c r="L730" t="inlineStr">
        <is>
          <t>Offenbach, Germany : Herpeton, c2003.</t>
        </is>
      </c>
      <c r="M730" t="inlineStr">
        <is>
          <t>2003</t>
        </is>
      </c>
      <c r="N730" t="inlineStr">
        <is>
          <t>[English ed. / with a foreword by Larry David Wilson].</t>
        </is>
      </c>
      <c r="O730" t="inlineStr">
        <is>
          <t>eng</t>
        </is>
      </c>
      <c r="P730" t="inlineStr">
        <is>
          <t xml:space="preserve">gw </t>
        </is>
      </c>
      <c r="R730" t="inlineStr">
        <is>
          <t xml:space="preserve">QL </t>
        </is>
      </c>
      <c r="S730" t="n">
        <v>1</v>
      </c>
      <c r="T730" t="n">
        <v>1</v>
      </c>
      <c r="U730" t="inlineStr">
        <is>
          <t>2005-04-19</t>
        </is>
      </c>
      <c r="V730" t="inlineStr">
        <is>
          <t>2005-04-19</t>
        </is>
      </c>
      <c r="W730" t="inlineStr">
        <is>
          <t>2005-04-19</t>
        </is>
      </c>
      <c r="X730" t="inlineStr">
        <is>
          <t>2005-04-19</t>
        </is>
      </c>
      <c r="Y730" t="n">
        <v>81</v>
      </c>
      <c r="Z730" t="n">
        <v>72</v>
      </c>
      <c r="AA730" t="n">
        <v>76</v>
      </c>
      <c r="AB730" t="n">
        <v>2</v>
      </c>
      <c r="AC730" t="n">
        <v>2</v>
      </c>
      <c r="AD730" t="n">
        <v>4</v>
      </c>
      <c r="AE730" t="n">
        <v>4</v>
      </c>
      <c r="AF730" t="n">
        <v>2</v>
      </c>
      <c r="AG730" t="n">
        <v>2</v>
      </c>
      <c r="AH730" t="n">
        <v>1</v>
      </c>
      <c r="AI730" t="n">
        <v>1</v>
      </c>
      <c r="AJ730" t="n">
        <v>1</v>
      </c>
      <c r="AK730" t="n">
        <v>1</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HYPERLINK("https://creighton-primo.hosted.exlibrisgroup.com/primo-explore/search?tab=default_tab&amp;search_scope=EVERYTHING&amp;vid=01CRU&amp;lang=en_US&amp;offset=0&amp;query=any,contains,991004474739702656","Catalog Record")</f>
        <v/>
      </c>
      <c r="AT730">
        <f>HYPERLINK("http://www.worldcat.org/oclc/52843681","WorldCat Record")</f>
        <v/>
      </c>
      <c r="AU730" t="inlineStr">
        <is>
          <t>51100440:eng</t>
        </is>
      </c>
      <c r="AV730" t="inlineStr">
        <is>
          <t>52843681</t>
        </is>
      </c>
      <c r="AW730" t="inlineStr">
        <is>
          <t>991004474739702656</t>
        </is>
      </c>
      <c r="AX730" t="inlineStr">
        <is>
          <t>991004474739702656</t>
        </is>
      </c>
      <c r="AY730" t="inlineStr">
        <is>
          <t>2261927510002656</t>
        </is>
      </c>
      <c r="AZ730" t="inlineStr">
        <is>
          <t>BOOK</t>
        </is>
      </c>
      <c r="BB730" t="inlineStr">
        <is>
          <t>9783936180022</t>
        </is>
      </c>
      <c r="BC730" t="inlineStr">
        <is>
          <t>32285005031710</t>
        </is>
      </c>
      <c r="BD730" t="inlineStr">
        <is>
          <t>893241480</t>
        </is>
      </c>
    </row>
    <row r="731">
      <c r="A731" t="inlineStr">
        <is>
          <t>No</t>
        </is>
      </c>
      <c r="B731" t="inlineStr">
        <is>
          <t>QL656.B44 S73 2000</t>
        </is>
      </c>
      <c r="C731" t="inlineStr">
        <is>
          <t>0                      QL 0656000B  44                 S  73          2000</t>
        </is>
      </c>
      <c r="D731" t="inlineStr">
        <is>
          <t>A guide to the reptiles of Belize / Peter J. Stafford, John R. Meyer.</t>
        </is>
      </c>
      <c r="F731" t="inlineStr">
        <is>
          <t>No</t>
        </is>
      </c>
      <c r="G731" t="inlineStr">
        <is>
          <t>1</t>
        </is>
      </c>
      <c r="H731" t="inlineStr">
        <is>
          <t>No</t>
        </is>
      </c>
      <c r="I731" t="inlineStr">
        <is>
          <t>No</t>
        </is>
      </c>
      <c r="J731" t="inlineStr">
        <is>
          <t>0</t>
        </is>
      </c>
      <c r="K731" t="inlineStr">
        <is>
          <t>Stafford, Peter J.</t>
        </is>
      </c>
      <c r="L731" t="inlineStr">
        <is>
          <t>London : Natural History Museum ; San Diego, Calif. : Academic Press, c2000.</t>
        </is>
      </c>
      <c r="M731" t="inlineStr">
        <is>
          <t>2000</t>
        </is>
      </c>
      <c r="O731" t="inlineStr">
        <is>
          <t>eng</t>
        </is>
      </c>
      <c r="P731" t="inlineStr">
        <is>
          <t>enk</t>
        </is>
      </c>
      <c r="R731" t="inlineStr">
        <is>
          <t xml:space="preserve">QL </t>
        </is>
      </c>
      <c r="S731" t="n">
        <v>1</v>
      </c>
      <c r="T731" t="n">
        <v>1</v>
      </c>
      <c r="U731" t="inlineStr">
        <is>
          <t>2001-01-23</t>
        </is>
      </c>
      <c r="V731" t="inlineStr">
        <is>
          <t>2001-01-23</t>
        </is>
      </c>
      <c r="W731" t="inlineStr">
        <is>
          <t>2001-01-23</t>
        </is>
      </c>
      <c r="X731" t="inlineStr">
        <is>
          <t>2001-01-23</t>
        </is>
      </c>
      <c r="Y731" t="n">
        <v>258</v>
      </c>
      <c r="Z731" t="n">
        <v>220</v>
      </c>
      <c r="AA731" t="n">
        <v>222</v>
      </c>
      <c r="AB731" t="n">
        <v>2</v>
      </c>
      <c r="AC731" t="n">
        <v>2</v>
      </c>
      <c r="AD731" t="n">
        <v>8</v>
      </c>
      <c r="AE731" t="n">
        <v>8</v>
      </c>
      <c r="AF731" t="n">
        <v>4</v>
      </c>
      <c r="AG731" t="n">
        <v>4</v>
      </c>
      <c r="AH731" t="n">
        <v>2</v>
      </c>
      <c r="AI731" t="n">
        <v>2</v>
      </c>
      <c r="AJ731" t="n">
        <v>3</v>
      </c>
      <c r="AK731" t="n">
        <v>3</v>
      </c>
      <c r="AL731" t="n">
        <v>1</v>
      </c>
      <c r="AM731" t="n">
        <v>1</v>
      </c>
      <c r="AN731" t="n">
        <v>0</v>
      </c>
      <c r="AO731" t="n">
        <v>0</v>
      </c>
      <c r="AP731" t="inlineStr">
        <is>
          <t>No</t>
        </is>
      </c>
      <c r="AQ731" t="inlineStr">
        <is>
          <t>Yes</t>
        </is>
      </c>
      <c r="AR731">
        <f>HYPERLINK("http://catalog.hathitrust.org/Record/003977513","HathiTrust Record")</f>
        <v/>
      </c>
      <c r="AS731">
        <f>HYPERLINK("https://creighton-primo.hosted.exlibrisgroup.com/primo-explore/search?tab=default_tab&amp;search_scope=EVERYTHING&amp;vid=01CRU&amp;lang=en_US&amp;offset=0&amp;query=any,contains,991003355519702656","Catalog Record")</f>
        <v/>
      </c>
      <c r="AT731">
        <f>HYPERLINK("http://www.worldcat.org/oclc/43321554","WorldCat Record")</f>
        <v/>
      </c>
      <c r="AU731" t="inlineStr">
        <is>
          <t>44853516:eng</t>
        </is>
      </c>
      <c r="AV731" t="inlineStr">
        <is>
          <t>43321554</t>
        </is>
      </c>
      <c r="AW731" t="inlineStr">
        <is>
          <t>991003355519702656</t>
        </is>
      </c>
      <c r="AX731" t="inlineStr">
        <is>
          <t>991003355519702656</t>
        </is>
      </c>
      <c r="AY731" t="inlineStr">
        <is>
          <t>2269423860002656</t>
        </is>
      </c>
      <c r="AZ731" t="inlineStr">
        <is>
          <t>BOOK</t>
        </is>
      </c>
      <c r="BB731" t="inlineStr">
        <is>
          <t>9780126627602</t>
        </is>
      </c>
      <c r="BC731" t="inlineStr">
        <is>
          <t>32285004290861</t>
        </is>
      </c>
      <c r="BD731" t="inlineStr">
        <is>
          <t>893252297</t>
        </is>
      </c>
    </row>
    <row r="732">
      <c r="A732" t="inlineStr">
        <is>
          <t>No</t>
        </is>
      </c>
      <c r="B732" t="inlineStr">
        <is>
          <t>QL656.C35 C78 2000</t>
        </is>
      </c>
      <c r="C732" t="inlineStr">
        <is>
          <t>0                      QL 0656000C  35                 C  78          2000</t>
        </is>
      </c>
      <c r="D732" t="inlineStr">
        <is>
          <t>In search of the golden frog / Marty Crump.</t>
        </is>
      </c>
      <c r="F732" t="inlineStr">
        <is>
          <t>No</t>
        </is>
      </c>
      <c r="G732" t="inlineStr">
        <is>
          <t>1</t>
        </is>
      </c>
      <c r="H732" t="inlineStr">
        <is>
          <t>No</t>
        </is>
      </c>
      <c r="I732" t="inlineStr">
        <is>
          <t>No</t>
        </is>
      </c>
      <c r="J732" t="inlineStr">
        <is>
          <t>0</t>
        </is>
      </c>
      <c r="K732" t="inlineStr">
        <is>
          <t>Crump, Martha L.</t>
        </is>
      </c>
      <c r="L732" t="inlineStr">
        <is>
          <t>Chicago : University of Chicago Press, 2000.</t>
        </is>
      </c>
      <c r="M732" t="inlineStr">
        <is>
          <t>2000</t>
        </is>
      </c>
      <c r="O732" t="inlineStr">
        <is>
          <t>eng</t>
        </is>
      </c>
      <c r="P732" t="inlineStr">
        <is>
          <t>ilu</t>
        </is>
      </c>
      <c r="R732" t="inlineStr">
        <is>
          <t xml:space="preserve">QL </t>
        </is>
      </c>
      <c r="S732" t="n">
        <v>3</v>
      </c>
      <c r="T732" t="n">
        <v>3</v>
      </c>
      <c r="U732" t="inlineStr">
        <is>
          <t>2006-02-06</t>
        </is>
      </c>
      <c r="V732" t="inlineStr">
        <is>
          <t>2006-02-06</t>
        </is>
      </c>
      <c r="W732" t="inlineStr">
        <is>
          <t>2000-09-18</t>
        </is>
      </c>
      <c r="X732" t="inlineStr">
        <is>
          <t>2000-09-18</t>
        </is>
      </c>
      <c r="Y732" t="n">
        <v>542</v>
      </c>
      <c r="Z732" t="n">
        <v>501</v>
      </c>
      <c r="AA732" t="n">
        <v>505</v>
      </c>
      <c r="AB732" t="n">
        <v>3</v>
      </c>
      <c r="AC732" t="n">
        <v>3</v>
      </c>
      <c r="AD732" t="n">
        <v>17</v>
      </c>
      <c r="AE732" t="n">
        <v>17</v>
      </c>
      <c r="AF732" t="n">
        <v>8</v>
      </c>
      <c r="AG732" t="n">
        <v>8</v>
      </c>
      <c r="AH732" t="n">
        <v>3</v>
      </c>
      <c r="AI732" t="n">
        <v>3</v>
      </c>
      <c r="AJ732" t="n">
        <v>10</v>
      </c>
      <c r="AK732" t="n">
        <v>10</v>
      </c>
      <c r="AL732" t="n">
        <v>2</v>
      </c>
      <c r="AM732" t="n">
        <v>2</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HYPERLINK("https://creighton-primo.hosted.exlibrisgroup.com/primo-explore/search?tab=default_tab&amp;search_scope=EVERYTHING&amp;vid=01CRU&amp;lang=en_US&amp;offset=0&amp;query=any,contains,991003255539702656","Catalog Record")</f>
        <v/>
      </c>
      <c r="AT732">
        <f>HYPERLINK("http://www.worldcat.org/oclc/42428782","WorldCat Record")</f>
        <v/>
      </c>
      <c r="AU732" t="inlineStr">
        <is>
          <t>28135262:eng</t>
        </is>
      </c>
      <c r="AV732" t="inlineStr">
        <is>
          <t>42428782</t>
        </is>
      </c>
      <c r="AW732" t="inlineStr">
        <is>
          <t>991003255539702656</t>
        </is>
      </c>
      <c r="AX732" t="inlineStr">
        <is>
          <t>991003255539702656</t>
        </is>
      </c>
      <c r="AY732" t="inlineStr">
        <is>
          <t>2269562460002656</t>
        </is>
      </c>
      <c r="AZ732" t="inlineStr">
        <is>
          <t>BOOK</t>
        </is>
      </c>
      <c r="BB732" t="inlineStr">
        <is>
          <t>9780226121987</t>
        </is>
      </c>
      <c r="BC732" t="inlineStr">
        <is>
          <t>32285003762779</t>
        </is>
      </c>
      <c r="BD732" t="inlineStr">
        <is>
          <t>893233967</t>
        </is>
      </c>
    </row>
    <row r="733">
      <c r="A733" t="inlineStr">
        <is>
          <t>No</t>
        </is>
      </c>
      <c r="B733" t="inlineStr">
        <is>
          <t>QL656.C783 S27 2002</t>
        </is>
      </c>
      <c r="C733" t="inlineStr">
        <is>
          <t>0                      QL 0656000C  783                S  27          2002</t>
        </is>
      </c>
      <c r="D733" t="inlineStr">
        <is>
          <t>The amphibians and reptiles of Costa Rica : a herpetofauna between two continents, between two seas / Jay M. Savage ; with photographs by Michael Fogden and Patricia Fogden.</t>
        </is>
      </c>
      <c r="F733" t="inlineStr">
        <is>
          <t>No</t>
        </is>
      </c>
      <c r="G733" t="inlineStr">
        <is>
          <t>1</t>
        </is>
      </c>
      <c r="H733" t="inlineStr">
        <is>
          <t>No</t>
        </is>
      </c>
      <c r="I733" t="inlineStr">
        <is>
          <t>No</t>
        </is>
      </c>
      <c r="J733" t="inlineStr">
        <is>
          <t>0</t>
        </is>
      </c>
      <c r="K733" t="inlineStr">
        <is>
          <t>Savage, Jay Mathers.</t>
        </is>
      </c>
      <c r="L733" t="inlineStr">
        <is>
          <t>Chicago : University of Chicago Press, 2002.</t>
        </is>
      </c>
      <c r="M733" t="inlineStr">
        <is>
          <t>2002</t>
        </is>
      </c>
      <c r="O733" t="inlineStr">
        <is>
          <t>eng</t>
        </is>
      </c>
      <c r="P733" t="inlineStr">
        <is>
          <t>ilu</t>
        </is>
      </c>
      <c r="R733" t="inlineStr">
        <is>
          <t xml:space="preserve">QL </t>
        </is>
      </c>
      <c r="S733" t="n">
        <v>1</v>
      </c>
      <c r="T733" t="n">
        <v>1</v>
      </c>
      <c r="U733" t="inlineStr">
        <is>
          <t>2008-04-21</t>
        </is>
      </c>
      <c r="V733" t="inlineStr">
        <is>
          <t>2008-04-21</t>
        </is>
      </c>
      <c r="W733" t="inlineStr">
        <is>
          <t>2008-04-21</t>
        </is>
      </c>
      <c r="X733" t="inlineStr">
        <is>
          <t>2008-04-21</t>
        </is>
      </c>
      <c r="Y733" t="n">
        <v>280</v>
      </c>
      <c r="Z733" t="n">
        <v>242</v>
      </c>
      <c r="AA733" t="n">
        <v>251</v>
      </c>
      <c r="AB733" t="n">
        <v>2</v>
      </c>
      <c r="AC733" t="n">
        <v>2</v>
      </c>
      <c r="AD733" t="n">
        <v>8</v>
      </c>
      <c r="AE733" t="n">
        <v>8</v>
      </c>
      <c r="AF733" t="n">
        <v>3</v>
      </c>
      <c r="AG733" t="n">
        <v>3</v>
      </c>
      <c r="AH733" t="n">
        <v>2</v>
      </c>
      <c r="AI733" t="n">
        <v>2</v>
      </c>
      <c r="AJ733" t="n">
        <v>3</v>
      </c>
      <c r="AK733" t="n">
        <v>3</v>
      </c>
      <c r="AL733" t="n">
        <v>1</v>
      </c>
      <c r="AM733" t="n">
        <v>1</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HYPERLINK("https://creighton-primo.hosted.exlibrisgroup.com/primo-explore/search?tab=default_tab&amp;search_scope=EVERYTHING&amp;vid=01CRU&amp;lang=en_US&amp;offset=0&amp;query=any,contains,991005202049702656","Catalog Record")</f>
        <v/>
      </c>
      <c r="AT733">
        <f>HYPERLINK("http://www.worldcat.org/oclc/47927645","WorldCat Record")</f>
        <v/>
      </c>
      <c r="AU733" t="inlineStr">
        <is>
          <t>2966233:eng</t>
        </is>
      </c>
      <c r="AV733" t="inlineStr">
        <is>
          <t>47927645</t>
        </is>
      </c>
      <c r="AW733" t="inlineStr">
        <is>
          <t>991005202049702656</t>
        </is>
      </c>
      <c r="AX733" t="inlineStr">
        <is>
          <t>991005202049702656</t>
        </is>
      </c>
      <c r="AY733" t="inlineStr">
        <is>
          <t>2268170240002656</t>
        </is>
      </c>
      <c r="AZ733" t="inlineStr">
        <is>
          <t>BOOK</t>
        </is>
      </c>
      <c r="BB733" t="inlineStr">
        <is>
          <t>9780226735375</t>
        </is>
      </c>
      <c r="BC733" t="inlineStr">
        <is>
          <t>32285005403505</t>
        </is>
      </c>
      <c r="BD733" t="inlineStr">
        <is>
          <t>893694905</t>
        </is>
      </c>
    </row>
    <row r="734">
      <c r="A734" t="inlineStr">
        <is>
          <t>No</t>
        </is>
      </c>
      <c r="B734" t="inlineStr">
        <is>
          <t>QL657.P4 D84 2005</t>
        </is>
      </c>
      <c r="C734" t="inlineStr">
        <is>
          <t>0                      QL 0657000P  4                  D  84          2005</t>
        </is>
      </c>
      <c r="D734" t="inlineStr">
        <is>
          <t>Cusco Amazónico : the lives of amphibians and reptiles in an Amazonian rainforest / William E. Duellman.</t>
        </is>
      </c>
      <c r="F734" t="inlineStr">
        <is>
          <t>No</t>
        </is>
      </c>
      <c r="G734" t="inlineStr">
        <is>
          <t>1</t>
        </is>
      </c>
      <c r="H734" t="inlineStr">
        <is>
          <t>No</t>
        </is>
      </c>
      <c r="I734" t="inlineStr">
        <is>
          <t>No</t>
        </is>
      </c>
      <c r="J734" t="inlineStr">
        <is>
          <t>0</t>
        </is>
      </c>
      <c r="K734" t="inlineStr">
        <is>
          <t>Duellman, William E. (William Edward), 1930-</t>
        </is>
      </c>
      <c r="L734" t="inlineStr">
        <is>
          <t>Ithaca : Comstock Pub. Associates, 2005.</t>
        </is>
      </c>
      <c r="M734" t="inlineStr">
        <is>
          <t>2005</t>
        </is>
      </c>
      <c r="O734" t="inlineStr">
        <is>
          <t>eng</t>
        </is>
      </c>
      <c r="P734" t="inlineStr">
        <is>
          <t>nyu</t>
        </is>
      </c>
      <c r="Q734" t="inlineStr">
        <is>
          <t>Comstock books in herpetology</t>
        </is>
      </c>
      <c r="R734" t="inlineStr">
        <is>
          <t xml:space="preserve">QL </t>
        </is>
      </c>
      <c r="S734" t="n">
        <v>2</v>
      </c>
      <c r="T734" t="n">
        <v>2</v>
      </c>
      <c r="U734" t="inlineStr">
        <is>
          <t>2005-10-19</t>
        </is>
      </c>
      <c r="V734" t="inlineStr">
        <is>
          <t>2005-10-19</t>
        </is>
      </c>
      <c r="W734" t="inlineStr">
        <is>
          <t>2005-10-19</t>
        </is>
      </c>
      <c r="X734" t="inlineStr">
        <is>
          <t>2005-10-19</t>
        </is>
      </c>
      <c r="Y734" t="n">
        <v>204</v>
      </c>
      <c r="Z734" t="n">
        <v>190</v>
      </c>
      <c r="AA734" t="n">
        <v>193</v>
      </c>
      <c r="AB734" t="n">
        <v>2</v>
      </c>
      <c r="AC734" t="n">
        <v>2</v>
      </c>
      <c r="AD734" t="n">
        <v>7</v>
      </c>
      <c r="AE734" t="n">
        <v>7</v>
      </c>
      <c r="AF734" t="n">
        <v>1</v>
      </c>
      <c r="AG734" t="n">
        <v>1</v>
      </c>
      <c r="AH734" t="n">
        <v>3</v>
      </c>
      <c r="AI734" t="n">
        <v>3</v>
      </c>
      <c r="AJ734" t="n">
        <v>2</v>
      </c>
      <c r="AK734" t="n">
        <v>2</v>
      </c>
      <c r="AL734" t="n">
        <v>1</v>
      </c>
      <c r="AM734" t="n">
        <v>1</v>
      </c>
      <c r="AN734" t="n">
        <v>0</v>
      </c>
      <c r="AO734" t="n">
        <v>0</v>
      </c>
      <c r="AP734" t="inlineStr">
        <is>
          <t>No</t>
        </is>
      </c>
      <c r="AQ734" t="inlineStr">
        <is>
          <t>Yes</t>
        </is>
      </c>
      <c r="AR734">
        <f>HYPERLINK("http://catalog.hathitrust.org/Record/004941445","HathiTrust Record")</f>
        <v/>
      </c>
      <c r="AS734">
        <f>HYPERLINK("https://creighton-primo.hosted.exlibrisgroup.com/primo-explore/search?tab=default_tab&amp;search_scope=EVERYTHING&amp;vid=01CRU&amp;lang=en_US&amp;offset=0&amp;query=any,contains,991004657329702656","Catalog Record")</f>
        <v/>
      </c>
      <c r="AT734">
        <f>HYPERLINK("http://www.worldcat.org/oclc/55600899","WorldCat Record")</f>
        <v/>
      </c>
      <c r="AU734" t="inlineStr">
        <is>
          <t>15288929:eng</t>
        </is>
      </c>
      <c r="AV734" t="inlineStr">
        <is>
          <t>55600899</t>
        </is>
      </c>
      <c r="AW734" t="inlineStr">
        <is>
          <t>991004657329702656</t>
        </is>
      </c>
      <c r="AX734" t="inlineStr">
        <is>
          <t>991004657329702656</t>
        </is>
      </c>
      <c r="AY734" t="inlineStr">
        <is>
          <t>2258646710002656</t>
        </is>
      </c>
      <c r="AZ734" t="inlineStr">
        <is>
          <t>BOOK</t>
        </is>
      </c>
      <c r="BB734" t="inlineStr">
        <is>
          <t>9780801439971</t>
        </is>
      </c>
      <c r="BC734" t="inlineStr">
        <is>
          <t>32285005140180</t>
        </is>
      </c>
      <c r="BD734" t="inlineStr">
        <is>
          <t>893606298</t>
        </is>
      </c>
    </row>
    <row r="735">
      <c r="A735" t="inlineStr">
        <is>
          <t>No</t>
        </is>
      </c>
      <c r="B735" t="inlineStr">
        <is>
          <t>QL658.R8 T43 1965</t>
        </is>
      </c>
      <c r="C735" t="inlineStr">
        <is>
          <t>0                      QL 0658000R  8                  T  43          1965</t>
        </is>
      </c>
      <c r="D735" t="inlineStr">
        <is>
          <t>Key to amphibians and reptiles : Opredelitelʹ presmykayushchikhsya i zemnovodnykh / [by] P.V. Terentʹev and S.A. Chernov.</t>
        </is>
      </c>
      <c r="F735" t="inlineStr">
        <is>
          <t>No</t>
        </is>
      </c>
      <c r="G735" t="inlineStr">
        <is>
          <t>1</t>
        </is>
      </c>
      <c r="H735" t="inlineStr">
        <is>
          <t>No</t>
        </is>
      </c>
      <c r="I735" t="inlineStr">
        <is>
          <t>No</t>
        </is>
      </c>
      <c r="J735" t="inlineStr">
        <is>
          <t>0</t>
        </is>
      </c>
      <c r="K735" t="inlineStr">
        <is>
          <t>Terentʹev, P. V. (Pavel Viktorovich)</t>
        </is>
      </c>
      <c r="L735" t="inlineStr">
        <is>
          <t>Jerusalem : Israel Program for Scientific Translations ; [available from U.S. Dept. of Commerce, Clearinghouse for Federal Scientific and Technical Information, Springfield, Va.], 1965.</t>
        </is>
      </c>
      <c r="M735" t="inlineStr">
        <is>
          <t>1965</t>
        </is>
      </c>
      <c r="N735" t="inlineStr">
        <is>
          <t>3d enl. ed. / Translated from Russian [by L. Kochva].</t>
        </is>
      </c>
      <c r="O735" t="inlineStr">
        <is>
          <t>eng</t>
        </is>
      </c>
      <c r="P735" t="inlineStr">
        <is>
          <t xml:space="preserve">is </t>
        </is>
      </c>
      <c r="R735" t="inlineStr">
        <is>
          <t xml:space="preserve">QL </t>
        </is>
      </c>
      <c r="S735" t="n">
        <v>1</v>
      </c>
      <c r="T735" t="n">
        <v>1</v>
      </c>
      <c r="U735" t="inlineStr">
        <is>
          <t>2003-02-25</t>
        </is>
      </c>
      <c r="V735" t="inlineStr">
        <is>
          <t>2003-02-25</t>
        </is>
      </c>
      <c r="W735" t="inlineStr">
        <is>
          <t>2000-02-07</t>
        </is>
      </c>
      <c r="X735" t="inlineStr">
        <is>
          <t>2000-02-07</t>
        </is>
      </c>
      <c r="Y735" t="n">
        <v>202</v>
      </c>
      <c r="Z735" t="n">
        <v>181</v>
      </c>
      <c r="AA735" t="n">
        <v>185</v>
      </c>
      <c r="AB735" t="n">
        <v>2</v>
      </c>
      <c r="AC735" t="n">
        <v>2</v>
      </c>
      <c r="AD735" t="n">
        <v>7</v>
      </c>
      <c r="AE735" t="n">
        <v>7</v>
      </c>
      <c r="AF735" t="n">
        <v>1</v>
      </c>
      <c r="AG735" t="n">
        <v>1</v>
      </c>
      <c r="AH735" t="n">
        <v>2</v>
      </c>
      <c r="AI735" t="n">
        <v>2</v>
      </c>
      <c r="AJ735" t="n">
        <v>3</v>
      </c>
      <c r="AK735" t="n">
        <v>3</v>
      </c>
      <c r="AL735" t="n">
        <v>1</v>
      </c>
      <c r="AM735" t="n">
        <v>1</v>
      </c>
      <c r="AN735" t="n">
        <v>0</v>
      </c>
      <c r="AO735" t="n">
        <v>0</v>
      </c>
      <c r="AP735" t="inlineStr">
        <is>
          <t>No</t>
        </is>
      </c>
      <c r="AQ735" t="inlineStr">
        <is>
          <t>Yes</t>
        </is>
      </c>
      <c r="AR735">
        <f>HYPERLINK("http://catalog.hathitrust.org/Record/002014431","HathiTrust Record")</f>
        <v/>
      </c>
      <c r="AS735">
        <f>HYPERLINK("https://creighton-primo.hosted.exlibrisgroup.com/primo-explore/search?tab=default_tab&amp;search_scope=EVERYTHING&amp;vid=01CRU&amp;lang=en_US&amp;offset=0&amp;query=any,contains,991002883419702656","Catalog Record")</f>
        <v/>
      </c>
      <c r="AT735">
        <f>HYPERLINK("http://www.worldcat.org/oclc/507001","WorldCat Record")</f>
        <v/>
      </c>
      <c r="AU735" t="inlineStr">
        <is>
          <t>5342697766:eng</t>
        </is>
      </c>
      <c r="AV735" t="inlineStr">
        <is>
          <t>507001</t>
        </is>
      </c>
      <c r="AW735" t="inlineStr">
        <is>
          <t>991002883419702656</t>
        </is>
      </c>
      <c r="AX735" t="inlineStr">
        <is>
          <t>991002883419702656</t>
        </is>
      </c>
      <c r="AY735" t="inlineStr">
        <is>
          <t>2260738230002656</t>
        </is>
      </c>
      <c r="AZ735" t="inlineStr">
        <is>
          <t>BOOK</t>
        </is>
      </c>
      <c r="BC735" t="inlineStr">
        <is>
          <t>32285003659736</t>
        </is>
      </c>
      <c r="BD735" t="inlineStr">
        <is>
          <t>893335851</t>
        </is>
      </c>
    </row>
    <row r="736">
      <c r="A736" t="inlineStr">
        <is>
          <t>No</t>
        </is>
      </c>
      <c r="B736" t="inlineStr">
        <is>
          <t>QL661.J3 G67 2005</t>
        </is>
      </c>
      <c r="C736" t="inlineStr">
        <is>
          <t>0                      QL 0661000J  3                  G  67          2005</t>
        </is>
      </c>
      <c r="D736" t="inlineStr">
        <is>
          <t>Guide to the amphibians and reptiles of Japan / by Richard C. Goris ; and Norio Maeda, photographer.</t>
        </is>
      </c>
      <c r="F736" t="inlineStr">
        <is>
          <t>No</t>
        </is>
      </c>
      <c r="G736" t="inlineStr">
        <is>
          <t>1</t>
        </is>
      </c>
      <c r="H736" t="inlineStr">
        <is>
          <t>No</t>
        </is>
      </c>
      <c r="I736" t="inlineStr">
        <is>
          <t>No</t>
        </is>
      </c>
      <c r="J736" t="inlineStr">
        <is>
          <t>0</t>
        </is>
      </c>
      <c r="K736" t="inlineStr">
        <is>
          <t>Goris, Richard C.</t>
        </is>
      </c>
      <c r="L736" t="inlineStr">
        <is>
          <t>Malabar, Fla. : Krieger, 2004, c2005.</t>
        </is>
      </c>
      <c r="M736" t="inlineStr">
        <is>
          <t>2004</t>
        </is>
      </c>
      <c r="O736" t="inlineStr">
        <is>
          <t>eng</t>
        </is>
      </c>
      <c r="P736" t="inlineStr">
        <is>
          <t>flu</t>
        </is>
      </c>
      <c r="R736" t="inlineStr">
        <is>
          <t xml:space="preserve">QL </t>
        </is>
      </c>
      <c r="S736" t="n">
        <v>1</v>
      </c>
      <c r="T736" t="n">
        <v>1</v>
      </c>
      <c r="U736" t="inlineStr">
        <is>
          <t>2005-10-26</t>
        </is>
      </c>
      <c r="V736" t="inlineStr">
        <is>
          <t>2005-10-26</t>
        </is>
      </c>
      <c r="W736" t="inlineStr">
        <is>
          <t>2005-10-26</t>
        </is>
      </c>
      <c r="X736" t="inlineStr">
        <is>
          <t>2005-10-26</t>
        </is>
      </c>
      <c r="Y736" t="n">
        <v>69</v>
      </c>
      <c r="Z736" t="n">
        <v>52</v>
      </c>
      <c r="AA736" t="n">
        <v>52</v>
      </c>
      <c r="AB736" t="n">
        <v>1</v>
      </c>
      <c r="AC736" t="n">
        <v>1</v>
      </c>
      <c r="AD736" t="n">
        <v>1</v>
      </c>
      <c r="AE736" t="n">
        <v>1</v>
      </c>
      <c r="AF736" t="n">
        <v>0</v>
      </c>
      <c r="AG736" t="n">
        <v>0</v>
      </c>
      <c r="AH736" t="n">
        <v>0</v>
      </c>
      <c r="AI736" t="n">
        <v>0</v>
      </c>
      <c r="AJ736" t="n">
        <v>1</v>
      </c>
      <c r="AK736" t="n">
        <v>1</v>
      </c>
      <c r="AL736" t="n">
        <v>0</v>
      </c>
      <c r="AM736" t="n">
        <v>0</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HYPERLINK("https://creighton-primo.hosted.exlibrisgroup.com/primo-explore/search?tab=default_tab&amp;search_scope=EVERYTHING&amp;vid=01CRU&amp;lang=en_US&amp;offset=0&amp;query=any,contains,991004634219702656","Catalog Record")</f>
        <v/>
      </c>
      <c r="AT736">
        <f>HYPERLINK("http://www.worldcat.org/oclc/53231942","WorldCat Record")</f>
        <v/>
      </c>
      <c r="AU736" t="inlineStr">
        <is>
          <t>1054029:eng</t>
        </is>
      </c>
      <c r="AV736" t="inlineStr">
        <is>
          <t>53231942</t>
        </is>
      </c>
      <c r="AW736" t="inlineStr">
        <is>
          <t>991004634219702656</t>
        </is>
      </c>
      <c r="AX736" t="inlineStr">
        <is>
          <t>991004634219702656</t>
        </is>
      </c>
      <c r="AY736" t="inlineStr">
        <is>
          <t>2263898170002656</t>
        </is>
      </c>
      <c r="AZ736" t="inlineStr">
        <is>
          <t>BOOK</t>
        </is>
      </c>
      <c r="BB736" t="inlineStr">
        <is>
          <t>9781575240855</t>
        </is>
      </c>
      <c r="BC736" t="inlineStr">
        <is>
          <t>32285005142319</t>
        </is>
      </c>
      <c r="BD736" t="inlineStr">
        <is>
          <t>893229570</t>
        </is>
      </c>
    </row>
    <row r="737">
      <c r="A737" t="inlineStr">
        <is>
          <t>No</t>
        </is>
      </c>
      <c r="B737" t="inlineStr">
        <is>
          <t>QL662.A353 F54 2002</t>
        </is>
      </c>
      <c r="C737" t="inlineStr">
        <is>
          <t>0                      QL 0662000A  353                F  54          2002</t>
        </is>
      </c>
      <c r="D737" t="inlineStr">
        <is>
          <t>A field guide to the reptiles of East Africa : Kenya, Tanzania, Uganda, Rwanda and Burundi / by Stephen Spawls ... [et al.] ; consultants Alex Duff-MacKay, Harald Hinkel.</t>
        </is>
      </c>
      <c r="F737" t="inlineStr">
        <is>
          <t>No</t>
        </is>
      </c>
      <c r="G737" t="inlineStr">
        <is>
          <t>1</t>
        </is>
      </c>
      <c r="H737" t="inlineStr">
        <is>
          <t>No</t>
        </is>
      </c>
      <c r="I737" t="inlineStr">
        <is>
          <t>No</t>
        </is>
      </c>
      <c r="J737" t="inlineStr">
        <is>
          <t>0</t>
        </is>
      </c>
      <c r="L737" t="inlineStr">
        <is>
          <t>San Diego, Calif. : London : Academic, c2002.</t>
        </is>
      </c>
      <c r="M737" t="inlineStr">
        <is>
          <t>2002</t>
        </is>
      </c>
      <c r="O737" t="inlineStr">
        <is>
          <t>eng</t>
        </is>
      </c>
      <c r="P737" t="inlineStr">
        <is>
          <t>enk</t>
        </is>
      </c>
      <c r="R737" t="inlineStr">
        <is>
          <t xml:space="preserve">QL </t>
        </is>
      </c>
      <c r="S737" t="n">
        <v>2</v>
      </c>
      <c r="T737" t="n">
        <v>2</v>
      </c>
      <c r="U737" t="inlineStr">
        <is>
          <t>2009-02-25</t>
        </is>
      </c>
      <c r="V737" t="inlineStr">
        <is>
          <t>2009-02-25</t>
        </is>
      </c>
      <c r="W737" t="inlineStr">
        <is>
          <t>2003-04-01</t>
        </is>
      </c>
      <c r="X737" t="inlineStr">
        <is>
          <t>2003-04-01</t>
        </is>
      </c>
      <c r="Y737" t="n">
        <v>183</v>
      </c>
      <c r="Z737" t="n">
        <v>153</v>
      </c>
      <c r="AA737" t="n">
        <v>161</v>
      </c>
      <c r="AB737" t="n">
        <v>2</v>
      </c>
      <c r="AC737" t="n">
        <v>2</v>
      </c>
      <c r="AD737" t="n">
        <v>6</v>
      </c>
      <c r="AE737" t="n">
        <v>6</v>
      </c>
      <c r="AF737" t="n">
        <v>1</v>
      </c>
      <c r="AG737" t="n">
        <v>1</v>
      </c>
      <c r="AH737" t="n">
        <v>1</v>
      </c>
      <c r="AI737" t="n">
        <v>1</v>
      </c>
      <c r="AJ737" t="n">
        <v>4</v>
      </c>
      <c r="AK737" t="n">
        <v>4</v>
      </c>
      <c r="AL737" t="n">
        <v>1</v>
      </c>
      <c r="AM737" t="n">
        <v>1</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HYPERLINK("https://creighton-primo.hosted.exlibrisgroup.com/primo-explore/search?tab=default_tab&amp;search_scope=EVERYTHING&amp;vid=01CRU&amp;lang=en_US&amp;offset=0&amp;query=any,contains,991003923259702656","Catalog Record")</f>
        <v/>
      </c>
      <c r="AT737">
        <f>HYPERLINK("http://www.worldcat.org/oclc/59531271","WorldCat Record")</f>
        <v/>
      </c>
      <c r="AU737" t="inlineStr">
        <is>
          <t>839254999:eng</t>
        </is>
      </c>
      <c r="AV737" t="inlineStr">
        <is>
          <t>59531271</t>
        </is>
      </c>
      <c r="AW737" t="inlineStr">
        <is>
          <t>991003923259702656</t>
        </is>
      </c>
      <c r="AX737" t="inlineStr">
        <is>
          <t>991003923259702656</t>
        </is>
      </c>
      <c r="AY737" t="inlineStr">
        <is>
          <t>2263430450002656</t>
        </is>
      </c>
      <c r="AZ737" t="inlineStr">
        <is>
          <t>BOOK</t>
        </is>
      </c>
      <c r="BB737" t="inlineStr">
        <is>
          <t>9780126564709</t>
        </is>
      </c>
      <c r="BC737" t="inlineStr">
        <is>
          <t>32285004688726</t>
        </is>
      </c>
      <c r="BD737" t="inlineStr">
        <is>
          <t>893888112</t>
        </is>
      </c>
    </row>
    <row r="738">
      <c r="A738" t="inlineStr">
        <is>
          <t>No</t>
        </is>
      </c>
      <c r="B738" t="inlineStr">
        <is>
          <t>QL662.A356 C43 2001</t>
        </is>
      </c>
      <c r="C738" t="inlineStr">
        <is>
          <t>0                      QL 0662000A  356                C  43          2001</t>
        </is>
      </c>
      <c r="D738" t="inlineStr">
        <is>
          <t>Amphibians of Central and Southern Africa / Alan Channing.</t>
        </is>
      </c>
      <c r="F738" t="inlineStr">
        <is>
          <t>No</t>
        </is>
      </c>
      <c r="G738" t="inlineStr">
        <is>
          <t>1</t>
        </is>
      </c>
      <c r="H738" t="inlineStr">
        <is>
          <t>No</t>
        </is>
      </c>
      <c r="I738" t="inlineStr">
        <is>
          <t>No</t>
        </is>
      </c>
      <c r="J738" t="inlineStr">
        <is>
          <t>0</t>
        </is>
      </c>
      <c r="K738" t="inlineStr">
        <is>
          <t>Channing, A.</t>
        </is>
      </c>
      <c r="L738" t="inlineStr">
        <is>
          <t>Ithaca, N.Y. : Comstock Pub. Associates, 2001.</t>
        </is>
      </c>
      <c r="M738" t="inlineStr">
        <is>
          <t>2001</t>
        </is>
      </c>
      <c r="O738" t="inlineStr">
        <is>
          <t>eng</t>
        </is>
      </c>
      <c r="P738" t="inlineStr">
        <is>
          <t>nyu</t>
        </is>
      </c>
      <c r="Q738" t="inlineStr">
        <is>
          <t>Comstock books in herpetology</t>
        </is>
      </c>
      <c r="R738" t="inlineStr">
        <is>
          <t xml:space="preserve">QL </t>
        </is>
      </c>
      <c r="S738" t="n">
        <v>2</v>
      </c>
      <c r="T738" t="n">
        <v>2</v>
      </c>
      <c r="U738" t="inlineStr">
        <is>
          <t>2006-02-25</t>
        </is>
      </c>
      <c r="V738" t="inlineStr">
        <is>
          <t>2006-02-25</t>
        </is>
      </c>
      <c r="W738" t="inlineStr">
        <is>
          <t>2003-04-24</t>
        </is>
      </c>
      <c r="X738" t="inlineStr">
        <is>
          <t>2003-04-24</t>
        </is>
      </c>
      <c r="Y738" t="n">
        <v>214</v>
      </c>
      <c r="Z738" t="n">
        <v>182</v>
      </c>
      <c r="AA738" t="n">
        <v>396</v>
      </c>
      <c r="AB738" t="n">
        <v>3</v>
      </c>
      <c r="AC738" t="n">
        <v>3</v>
      </c>
      <c r="AD738" t="n">
        <v>8</v>
      </c>
      <c r="AE738" t="n">
        <v>22</v>
      </c>
      <c r="AF738" t="n">
        <v>2</v>
      </c>
      <c r="AG738" t="n">
        <v>10</v>
      </c>
      <c r="AH738" t="n">
        <v>1</v>
      </c>
      <c r="AI738" t="n">
        <v>5</v>
      </c>
      <c r="AJ738" t="n">
        <v>3</v>
      </c>
      <c r="AK738" t="n">
        <v>11</v>
      </c>
      <c r="AL738" t="n">
        <v>2</v>
      </c>
      <c r="AM738" t="n">
        <v>2</v>
      </c>
      <c r="AN738" t="n">
        <v>0</v>
      </c>
      <c r="AO738" t="n">
        <v>0</v>
      </c>
      <c r="AP738" t="inlineStr">
        <is>
          <t>No</t>
        </is>
      </c>
      <c r="AQ738" t="inlineStr">
        <is>
          <t>Yes</t>
        </is>
      </c>
      <c r="AR738">
        <f>HYPERLINK("http://catalog.hathitrust.org/Record/004185547","HathiTrust Record")</f>
        <v/>
      </c>
      <c r="AS738">
        <f>HYPERLINK("https://creighton-primo.hosted.exlibrisgroup.com/primo-explore/search?tab=default_tab&amp;search_scope=EVERYTHING&amp;vid=01CRU&amp;lang=en_US&amp;offset=0&amp;query=any,contains,991004020859702656","Catalog Record")</f>
        <v/>
      </c>
      <c r="AT738">
        <f>HYPERLINK("http://www.worldcat.org/oclc/47050213","WorldCat Record")</f>
        <v/>
      </c>
      <c r="AU738" t="inlineStr">
        <is>
          <t>2016063:eng</t>
        </is>
      </c>
      <c r="AV738" t="inlineStr">
        <is>
          <t>47050213</t>
        </is>
      </c>
      <c r="AW738" t="inlineStr">
        <is>
          <t>991004020859702656</t>
        </is>
      </c>
      <c r="AX738" t="inlineStr">
        <is>
          <t>991004020859702656</t>
        </is>
      </c>
      <c r="AY738" t="inlineStr">
        <is>
          <t>2267608900002656</t>
        </is>
      </c>
      <c r="AZ738" t="inlineStr">
        <is>
          <t>BOOK</t>
        </is>
      </c>
      <c r="BB738" t="inlineStr">
        <is>
          <t>9780801438653</t>
        </is>
      </c>
      <c r="BC738" t="inlineStr">
        <is>
          <t>32285004743521</t>
        </is>
      </c>
      <c r="BD738" t="inlineStr">
        <is>
          <t>893259221</t>
        </is>
      </c>
    </row>
    <row r="739">
      <c r="A739" t="inlineStr">
        <is>
          <t>No</t>
        </is>
      </c>
      <c r="B739" t="inlineStr">
        <is>
          <t>QL665 .R45</t>
        </is>
      </c>
      <c r="C739" t="inlineStr">
        <is>
          <t>0                      QL 0665000R  45</t>
        </is>
      </c>
      <c r="D739" t="inlineStr">
        <is>
          <t>Reproductive biology and diseases of captive reptiles / edited by James B. Murphy and Joseph T. Collins.</t>
        </is>
      </c>
      <c r="F739" t="inlineStr">
        <is>
          <t>No</t>
        </is>
      </c>
      <c r="G739" t="inlineStr">
        <is>
          <t>1</t>
        </is>
      </c>
      <c r="H739" t="inlineStr">
        <is>
          <t>No</t>
        </is>
      </c>
      <c r="I739" t="inlineStr">
        <is>
          <t>No</t>
        </is>
      </c>
      <c r="J739" t="inlineStr">
        <is>
          <t>0</t>
        </is>
      </c>
      <c r="L739" t="inlineStr">
        <is>
          <t>[Oxford, Ohio] : Society for the Study of Amphibians and Reptiles, 1980.</t>
        </is>
      </c>
      <c r="M739" t="inlineStr">
        <is>
          <t>1980</t>
        </is>
      </c>
      <c r="O739" t="inlineStr">
        <is>
          <t>eng</t>
        </is>
      </c>
      <c r="P739" t="inlineStr">
        <is>
          <t>ohu</t>
        </is>
      </c>
      <c r="Q739" t="inlineStr">
        <is>
          <t>Contributions to herpetology ; no. 1</t>
        </is>
      </c>
      <c r="R739" t="inlineStr">
        <is>
          <t xml:space="preserve">QL </t>
        </is>
      </c>
      <c r="S739" t="n">
        <v>5</v>
      </c>
      <c r="T739" t="n">
        <v>5</v>
      </c>
      <c r="U739" t="inlineStr">
        <is>
          <t>2006-02-26</t>
        </is>
      </c>
      <c r="V739" t="inlineStr">
        <is>
          <t>2006-02-26</t>
        </is>
      </c>
      <c r="W739" t="inlineStr">
        <is>
          <t>1993-02-12</t>
        </is>
      </c>
      <c r="X739" t="inlineStr">
        <is>
          <t>1993-02-12</t>
        </is>
      </c>
      <c r="Y739" t="n">
        <v>124</v>
      </c>
      <c r="Z739" t="n">
        <v>100</v>
      </c>
      <c r="AA739" t="n">
        <v>101</v>
      </c>
      <c r="AB739" t="n">
        <v>2</v>
      </c>
      <c r="AC739" t="n">
        <v>2</v>
      </c>
      <c r="AD739" t="n">
        <v>2</v>
      </c>
      <c r="AE739" t="n">
        <v>2</v>
      </c>
      <c r="AF739" t="n">
        <v>0</v>
      </c>
      <c r="AG739" t="n">
        <v>0</v>
      </c>
      <c r="AH739" t="n">
        <v>0</v>
      </c>
      <c r="AI739" t="n">
        <v>0</v>
      </c>
      <c r="AJ739" t="n">
        <v>1</v>
      </c>
      <c r="AK739" t="n">
        <v>1</v>
      </c>
      <c r="AL739" t="n">
        <v>1</v>
      </c>
      <c r="AM739" t="n">
        <v>1</v>
      </c>
      <c r="AN739" t="n">
        <v>0</v>
      </c>
      <c r="AO739" t="n">
        <v>0</v>
      </c>
      <c r="AP739" t="inlineStr">
        <is>
          <t>No</t>
        </is>
      </c>
      <c r="AQ739" t="inlineStr">
        <is>
          <t>Yes</t>
        </is>
      </c>
      <c r="AR739">
        <f>HYPERLINK("http://catalog.hathitrust.org/Record/000421712","HathiTrust Record")</f>
        <v/>
      </c>
      <c r="AS739">
        <f>HYPERLINK("https://creighton-primo.hosted.exlibrisgroup.com/primo-explore/search?tab=default_tab&amp;search_scope=EVERYTHING&amp;vid=01CRU&amp;lang=en_US&amp;offset=0&amp;query=any,contains,991005180109702656","Catalog Record")</f>
        <v/>
      </c>
      <c r="AT739">
        <f>HYPERLINK("http://www.worldcat.org/oclc/6714695","WorldCat Record")</f>
        <v/>
      </c>
      <c r="AU739" t="inlineStr">
        <is>
          <t>367992116:eng</t>
        </is>
      </c>
      <c r="AV739" t="inlineStr">
        <is>
          <t>6714695</t>
        </is>
      </c>
      <c r="AW739" t="inlineStr">
        <is>
          <t>991005180109702656</t>
        </is>
      </c>
      <c r="AX739" t="inlineStr">
        <is>
          <t>991005180109702656</t>
        </is>
      </c>
      <c r="AY739" t="inlineStr">
        <is>
          <t>2271168500002656</t>
        </is>
      </c>
      <c r="AZ739" t="inlineStr">
        <is>
          <t>BOOK</t>
        </is>
      </c>
      <c r="BB739" t="inlineStr">
        <is>
          <t>9780916984090</t>
        </is>
      </c>
      <c r="BC739" t="inlineStr">
        <is>
          <t>32285001533321</t>
        </is>
      </c>
      <c r="BD739" t="inlineStr">
        <is>
          <t>893801871</t>
        </is>
      </c>
    </row>
    <row r="740">
      <c r="A740" t="inlineStr">
        <is>
          <t>No</t>
        </is>
      </c>
      <c r="B740" t="inlineStr">
        <is>
          <t>QL665 .S63 1982</t>
        </is>
      </c>
      <c r="C740" t="inlineStr">
        <is>
          <t>0                      QL 0665000S  63          1982</t>
        </is>
      </c>
      <c r="D740" t="inlineStr">
        <is>
          <t>Biology of reptiles : an ecological approach / Ian F. Spellerberg.</t>
        </is>
      </c>
      <c r="F740" t="inlineStr">
        <is>
          <t>No</t>
        </is>
      </c>
      <c r="G740" t="inlineStr">
        <is>
          <t>1</t>
        </is>
      </c>
      <c r="H740" t="inlineStr">
        <is>
          <t>No</t>
        </is>
      </c>
      <c r="I740" t="inlineStr">
        <is>
          <t>No</t>
        </is>
      </c>
      <c r="J740" t="inlineStr">
        <is>
          <t>0</t>
        </is>
      </c>
      <c r="K740" t="inlineStr">
        <is>
          <t>Spellerberg, Ian F.</t>
        </is>
      </c>
      <c r="L740" t="inlineStr">
        <is>
          <t>Glasgow : Blackie ; New York : Distributed in the USA by Chapman and Hall, 1982.</t>
        </is>
      </c>
      <c r="M740" t="inlineStr">
        <is>
          <t>1982</t>
        </is>
      </c>
      <c r="O740" t="inlineStr">
        <is>
          <t>eng</t>
        </is>
      </c>
      <c r="P740" t="inlineStr">
        <is>
          <t>enk</t>
        </is>
      </c>
      <c r="Q740" t="inlineStr">
        <is>
          <t>Tertiary level biology</t>
        </is>
      </c>
      <c r="R740" t="inlineStr">
        <is>
          <t xml:space="preserve">QL </t>
        </is>
      </c>
      <c r="S740" t="n">
        <v>10</v>
      </c>
      <c r="T740" t="n">
        <v>10</v>
      </c>
      <c r="U740" t="inlineStr">
        <is>
          <t>2008-02-19</t>
        </is>
      </c>
      <c r="V740" t="inlineStr">
        <is>
          <t>2008-02-19</t>
        </is>
      </c>
      <c r="W740" t="inlineStr">
        <is>
          <t>1990-02-13</t>
        </is>
      </c>
      <c r="X740" t="inlineStr">
        <is>
          <t>1990-02-13</t>
        </is>
      </c>
      <c r="Y740" t="n">
        <v>436</v>
      </c>
      <c r="Z740" t="n">
        <v>318</v>
      </c>
      <c r="AA740" t="n">
        <v>321</v>
      </c>
      <c r="AB740" t="n">
        <v>5</v>
      </c>
      <c r="AC740" t="n">
        <v>5</v>
      </c>
      <c r="AD740" t="n">
        <v>10</v>
      </c>
      <c r="AE740" t="n">
        <v>10</v>
      </c>
      <c r="AF740" t="n">
        <v>4</v>
      </c>
      <c r="AG740" t="n">
        <v>4</v>
      </c>
      <c r="AH740" t="n">
        <v>1</v>
      </c>
      <c r="AI740" t="n">
        <v>1</v>
      </c>
      <c r="AJ740" t="n">
        <v>3</v>
      </c>
      <c r="AK740" t="n">
        <v>3</v>
      </c>
      <c r="AL740" t="n">
        <v>4</v>
      </c>
      <c r="AM740" t="n">
        <v>4</v>
      </c>
      <c r="AN740" t="n">
        <v>0</v>
      </c>
      <c r="AO740" t="n">
        <v>0</v>
      </c>
      <c r="AP740" t="inlineStr">
        <is>
          <t>No</t>
        </is>
      </c>
      <c r="AQ740" t="inlineStr">
        <is>
          <t>Yes</t>
        </is>
      </c>
      <c r="AR740">
        <f>HYPERLINK("http://catalog.hathitrust.org/Record/000149677","HathiTrust Record")</f>
        <v/>
      </c>
      <c r="AS740">
        <f>HYPERLINK("https://creighton-primo.hosted.exlibrisgroup.com/primo-explore/search?tab=default_tab&amp;search_scope=EVERYTHING&amp;vid=01CRU&amp;lang=en_US&amp;offset=0&amp;query=any,contains,991005205699702656","Catalog Record")</f>
        <v/>
      </c>
      <c r="AT740">
        <f>HYPERLINK("http://www.worldcat.org/oclc/8114378","WorldCat Record")</f>
        <v/>
      </c>
      <c r="AU740" t="inlineStr">
        <is>
          <t>867437173:eng</t>
        </is>
      </c>
      <c r="AV740" t="inlineStr">
        <is>
          <t>8114378</t>
        </is>
      </c>
      <c r="AW740" t="inlineStr">
        <is>
          <t>991005205699702656</t>
        </is>
      </c>
      <c r="AX740" t="inlineStr">
        <is>
          <t>991005205699702656</t>
        </is>
      </c>
      <c r="AY740" t="inlineStr">
        <is>
          <t>2255132770002656</t>
        </is>
      </c>
      <c r="AZ740" t="inlineStr">
        <is>
          <t>BOOK</t>
        </is>
      </c>
      <c r="BB740" t="inlineStr">
        <is>
          <t>9780412001611</t>
        </is>
      </c>
      <c r="BC740" t="inlineStr">
        <is>
          <t>32285000052869</t>
        </is>
      </c>
      <c r="BD740" t="inlineStr">
        <is>
          <t>893694911</t>
        </is>
      </c>
    </row>
    <row r="741">
      <c r="A741" t="inlineStr">
        <is>
          <t>No</t>
        </is>
      </c>
      <c r="B741" t="inlineStr">
        <is>
          <t>QL666.C5 A43 1988</t>
        </is>
      </c>
      <c r="C741" t="inlineStr">
        <is>
          <t>0                      QL 0666000C  5                  A  43          1988</t>
        </is>
      </c>
      <c r="D741" t="inlineStr">
        <is>
          <t>Turtles &amp; tortoises of the world / David Alderton ; photographs by Tony Tilford.</t>
        </is>
      </c>
      <c r="F741" t="inlineStr">
        <is>
          <t>No</t>
        </is>
      </c>
      <c r="G741" t="inlineStr">
        <is>
          <t>1</t>
        </is>
      </c>
      <c r="H741" t="inlineStr">
        <is>
          <t>No</t>
        </is>
      </c>
      <c r="I741" t="inlineStr">
        <is>
          <t>No</t>
        </is>
      </c>
      <c r="J741" t="inlineStr">
        <is>
          <t>0</t>
        </is>
      </c>
      <c r="K741" t="inlineStr">
        <is>
          <t>Alderton, David, 1956-</t>
        </is>
      </c>
      <c r="L741" t="inlineStr">
        <is>
          <t>New York, N.Y. : Facts on File, 1988.</t>
        </is>
      </c>
      <c r="M741" t="inlineStr">
        <is>
          <t>1988</t>
        </is>
      </c>
      <c r="O741" t="inlineStr">
        <is>
          <t>eng</t>
        </is>
      </c>
      <c r="P741" t="inlineStr">
        <is>
          <t>nyu</t>
        </is>
      </c>
      <c r="R741" t="inlineStr">
        <is>
          <t xml:space="preserve">QL </t>
        </is>
      </c>
      <c r="S741" t="n">
        <v>16</v>
      </c>
      <c r="T741" t="n">
        <v>16</v>
      </c>
      <c r="U741" t="inlineStr">
        <is>
          <t>2008-02-20</t>
        </is>
      </c>
      <c r="V741" t="inlineStr">
        <is>
          <t>2008-02-20</t>
        </is>
      </c>
      <c r="W741" t="inlineStr">
        <is>
          <t>1990-05-17</t>
        </is>
      </c>
      <c r="X741" t="inlineStr">
        <is>
          <t>1990-05-17</t>
        </is>
      </c>
      <c r="Y741" t="n">
        <v>1014</v>
      </c>
      <c r="Z741" t="n">
        <v>960</v>
      </c>
      <c r="AA741" t="n">
        <v>1228</v>
      </c>
      <c r="AB741" t="n">
        <v>5</v>
      </c>
      <c r="AC741" t="n">
        <v>10</v>
      </c>
      <c r="AD741" t="n">
        <v>14</v>
      </c>
      <c r="AE741" t="n">
        <v>15</v>
      </c>
      <c r="AF741" t="n">
        <v>7</v>
      </c>
      <c r="AG741" t="n">
        <v>7</v>
      </c>
      <c r="AH741" t="n">
        <v>0</v>
      </c>
      <c r="AI741" t="n">
        <v>0</v>
      </c>
      <c r="AJ741" t="n">
        <v>9</v>
      </c>
      <c r="AK741" t="n">
        <v>9</v>
      </c>
      <c r="AL741" t="n">
        <v>0</v>
      </c>
      <c r="AM741" t="n">
        <v>1</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HYPERLINK("https://creighton-primo.hosted.exlibrisgroup.com/primo-explore/search?tab=default_tab&amp;search_scope=EVERYTHING&amp;vid=01CRU&amp;lang=en_US&amp;offset=0&amp;query=any,contains,991001284279702656","Catalog Record")</f>
        <v/>
      </c>
      <c r="AT741">
        <f>HYPERLINK("http://www.worldcat.org/oclc/17952511","WorldCat Record")</f>
        <v/>
      </c>
      <c r="AU741" t="inlineStr">
        <is>
          <t>16299859:eng</t>
        </is>
      </c>
      <c r="AV741" t="inlineStr">
        <is>
          <t>17952511</t>
        </is>
      </c>
      <c r="AW741" t="inlineStr">
        <is>
          <t>991001284279702656</t>
        </is>
      </c>
      <c r="AX741" t="inlineStr">
        <is>
          <t>991001284279702656</t>
        </is>
      </c>
      <c r="AY741" t="inlineStr">
        <is>
          <t>2269647120002656</t>
        </is>
      </c>
      <c r="AZ741" t="inlineStr">
        <is>
          <t>BOOK</t>
        </is>
      </c>
      <c r="BB741" t="inlineStr">
        <is>
          <t>9780816017331</t>
        </is>
      </c>
      <c r="BC741" t="inlineStr">
        <is>
          <t>32285000136449</t>
        </is>
      </c>
      <c r="BD741" t="inlineStr">
        <is>
          <t>893250125</t>
        </is>
      </c>
    </row>
    <row r="742">
      <c r="A742" t="inlineStr">
        <is>
          <t>No</t>
        </is>
      </c>
      <c r="B742" t="inlineStr">
        <is>
          <t>QL666.C5 B57 2006</t>
        </is>
      </c>
      <c r="C742" t="inlineStr">
        <is>
          <t>0                      QL 0666000C  5                  B  57          2006</t>
        </is>
      </c>
      <c r="D742" t="inlineStr">
        <is>
          <t>Turtles of the world / Franck Bonin, Bernard Devaux and Alain Dupré ; translated by Peter C.H. Pritchard.</t>
        </is>
      </c>
      <c r="F742" t="inlineStr">
        <is>
          <t>No</t>
        </is>
      </c>
      <c r="G742" t="inlineStr">
        <is>
          <t>1</t>
        </is>
      </c>
      <c r="H742" t="inlineStr">
        <is>
          <t>No</t>
        </is>
      </c>
      <c r="I742" t="inlineStr">
        <is>
          <t>No</t>
        </is>
      </c>
      <c r="J742" t="inlineStr">
        <is>
          <t>0</t>
        </is>
      </c>
      <c r="K742" t="inlineStr">
        <is>
          <t>Bonin, Franck.</t>
        </is>
      </c>
      <c r="L742" t="inlineStr">
        <is>
          <t>Baltimore : Johns Hopkins University Press, 2006.</t>
        </is>
      </c>
      <c r="M742" t="inlineStr">
        <is>
          <t>2006</t>
        </is>
      </c>
      <c r="O742" t="inlineStr">
        <is>
          <t>eng</t>
        </is>
      </c>
      <c r="P742" t="inlineStr">
        <is>
          <t>mdu</t>
        </is>
      </c>
      <c r="R742" t="inlineStr">
        <is>
          <t xml:space="preserve">QL </t>
        </is>
      </c>
      <c r="S742" t="n">
        <v>1</v>
      </c>
      <c r="T742" t="n">
        <v>1</v>
      </c>
      <c r="U742" t="inlineStr">
        <is>
          <t>2007-01-30</t>
        </is>
      </c>
      <c r="V742" t="inlineStr">
        <is>
          <t>2007-01-30</t>
        </is>
      </c>
      <c r="W742" t="inlineStr">
        <is>
          <t>2007-01-30</t>
        </is>
      </c>
      <c r="X742" t="inlineStr">
        <is>
          <t>2007-01-30</t>
        </is>
      </c>
      <c r="Y742" t="n">
        <v>702</v>
      </c>
      <c r="Z742" t="n">
        <v>628</v>
      </c>
      <c r="AA742" t="n">
        <v>637</v>
      </c>
      <c r="AB742" t="n">
        <v>3</v>
      </c>
      <c r="AC742" t="n">
        <v>3</v>
      </c>
      <c r="AD742" t="n">
        <v>17</v>
      </c>
      <c r="AE742" t="n">
        <v>18</v>
      </c>
      <c r="AF742" t="n">
        <v>7</v>
      </c>
      <c r="AG742" t="n">
        <v>8</v>
      </c>
      <c r="AH742" t="n">
        <v>3</v>
      </c>
      <c r="AI742" t="n">
        <v>3</v>
      </c>
      <c r="AJ742" t="n">
        <v>8</v>
      </c>
      <c r="AK742" t="n">
        <v>8</v>
      </c>
      <c r="AL742" t="n">
        <v>2</v>
      </c>
      <c r="AM742" t="n">
        <v>2</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HYPERLINK("https://creighton-primo.hosted.exlibrisgroup.com/primo-explore/search?tab=default_tab&amp;search_scope=EVERYTHING&amp;vid=01CRU&amp;lang=en_US&amp;offset=0&amp;query=any,contains,991005003799702656","Catalog Record")</f>
        <v/>
      </c>
      <c r="AT742">
        <f>HYPERLINK("http://www.worldcat.org/oclc/63472645","WorldCat Record")</f>
        <v/>
      </c>
      <c r="AU742" t="inlineStr">
        <is>
          <t>4494935118:eng</t>
        </is>
      </c>
      <c r="AV742" t="inlineStr">
        <is>
          <t>63472645</t>
        </is>
      </c>
      <c r="AW742" t="inlineStr">
        <is>
          <t>991005003799702656</t>
        </is>
      </c>
      <c r="AX742" t="inlineStr">
        <is>
          <t>991005003799702656</t>
        </is>
      </c>
      <c r="AY742" t="inlineStr">
        <is>
          <t>2269081010002656</t>
        </is>
      </c>
      <c r="AZ742" t="inlineStr">
        <is>
          <t>BOOK</t>
        </is>
      </c>
      <c r="BB742" t="inlineStr">
        <is>
          <t>9780801884962</t>
        </is>
      </c>
      <c r="BC742" t="inlineStr">
        <is>
          <t>32285005273718</t>
        </is>
      </c>
      <c r="BD742" t="inlineStr">
        <is>
          <t>893501187</t>
        </is>
      </c>
    </row>
    <row r="743">
      <c r="A743" t="inlineStr">
        <is>
          <t>No</t>
        </is>
      </c>
      <c r="B743" t="inlineStr">
        <is>
          <t>QL666.C5 C34</t>
        </is>
      </c>
      <c r="C743" t="inlineStr">
        <is>
          <t>0                      QL 0666000C  5                  C  34</t>
        </is>
      </c>
      <c r="D743" t="inlineStr">
        <is>
          <t>Handbook of turtles : the turtles of the United States, Canada, and Baja California.</t>
        </is>
      </c>
      <c r="F743" t="inlineStr">
        <is>
          <t>No</t>
        </is>
      </c>
      <c r="G743" t="inlineStr">
        <is>
          <t>1</t>
        </is>
      </c>
      <c r="H743" t="inlineStr">
        <is>
          <t>No</t>
        </is>
      </c>
      <c r="I743" t="inlineStr">
        <is>
          <t>No</t>
        </is>
      </c>
      <c r="J743" t="inlineStr">
        <is>
          <t>0</t>
        </is>
      </c>
      <c r="K743" t="inlineStr">
        <is>
          <t>Carr, Archie, 1909-1987.</t>
        </is>
      </c>
      <c r="L743" t="inlineStr">
        <is>
          <t>Ithaca, N.Y. : Comstock Pub. Associates, 1952.</t>
        </is>
      </c>
      <c r="M743" t="inlineStr">
        <is>
          <t>1952</t>
        </is>
      </c>
      <c r="O743" t="inlineStr">
        <is>
          <t>eng</t>
        </is>
      </c>
      <c r="P743" t="inlineStr">
        <is>
          <t>nyu</t>
        </is>
      </c>
      <c r="Q743" t="inlineStr">
        <is>
          <t>Handbooks of American natural history</t>
        </is>
      </c>
      <c r="R743" t="inlineStr">
        <is>
          <t xml:space="preserve">QL </t>
        </is>
      </c>
      <c r="S743" t="n">
        <v>13</v>
      </c>
      <c r="T743" t="n">
        <v>13</v>
      </c>
      <c r="U743" t="inlineStr">
        <is>
          <t>2006-02-20</t>
        </is>
      </c>
      <c r="V743" t="inlineStr">
        <is>
          <t>2006-02-20</t>
        </is>
      </c>
      <c r="W743" t="inlineStr">
        <is>
          <t>1992-03-06</t>
        </is>
      </c>
      <c r="X743" t="inlineStr">
        <is>
          <t>1992-03-06</t>
        </is>
      </c>
      <c r="Y743" t="n">
        <v>1004</v>
      </c>
      <c r="Z743" t="n">
        <v>937</v>
      </c>
      <c r="AA743" t="n">
        <v>1148</v>
      </c>
      <c r="AB743" t="n">
        <v>8</v>
      </c>
      <c r="AC743" t="n">
        <v>9</v>
      </c>
      <c r="AD743" t="n">
        <v>32</v>
      </c>
      <c r="AE743" t="n">
        <v>38</v>
      </c>
      <c r="AF743" t="n">
        <v>13</v>
      </c>
      <c r="AG743" t="n">
        <v>15</v>
      </c>
      <c r="AH743" t="n">
        <v>6</v>
      </c>
      <c r="AI743" t="n">
        <v>6</v>
      </c>
      <c r="AJ743" t="n">
        <v>8</v>
      </c>
      <c r="AK743" t="n">
        <v>13</v>
      </c>
      <c r="AL743" t="n">
        <v>7</v>
      </c>
      <c r="AM743" t="n">
        <v>8</v>
      </c>
      <c r="AN743" t="n">
        <v>0</v>
      </c>
      <c r="AO743" t="n">
        <v>0</v>
      </c>
      <c r="AP743" t="inlineStr">
        <is>
          <t>No</t>
        </is>
      </c>
      <c r="AQ743" t="inlineStr">
        <is>
          <t>Yes</t>
        </is>
      </c>
      <c r="AR743">
        <f>HYPERLINK("http://catalog.hathitrust.org/Record/001501156","HathiTrust Record")</f>
        <v/>
      </c>
      <c r="AS743">
        <f>HYPERLINK("https://creighton-primo.hosted.exlibrisgroup.com/primo-explore/search?tab=default_tab&amp;search_scope=EVERYTHING&amp;vid=01CRU&amp;lang=en_US&amp;offset=0&amp;query=any,contains,991002990739702656","Catalog Record")</f>
        <v/>
      </c>
      <c r="AT743">
        <f>HYPERLINK("http://www.worldcat.org/oclc/560429","WorldCat Record")</f>
        <v/>
      </c>
      <c r="AU743" t="inlineStr">
        <is>
          <t>196543144:eng</t>
        </is>
      </c>
      <c r="AV743" t="inlineStr">
        <is>
          <t>560429</t>
        </is>
      </c>
      <c r="AW743" t="inlineStr">
        <is>
          <t>991002990739702656</t>
        </is>
      </c>
      <c r="AX743" t="inlineStr">
        <is>
          <t>991002990739702656</t>
        </is>
      </c>
      <c r="AY743" t="inlineStr">
        <is>
          <t>2256736910002656</t>
        </is>
      </c>
      <c r="AZ743" t="inlineStr">
        <is>
          <t>BOOK</t>
        </is>
      </c>
      <c r="BC743" t="inlineStr">
        <is>
          <t>32285000992130</t>
        </is>
      </c>
      <c r="BD743" t="inlineStr">
        <is>
          <t>893440796</t>
        </is>
      </c>
    </row>
    <row r="744">
      <c r="A744" t="inlineStr">
        <is>
          <t>No</t>
        </is>
      </c>
      <c r="B744" t="inlineStr">
        <is>
          <t>QL666.C5 C36</t>
        </is>
      </c>
      <c r="C744" t="inlineStr">
        <is>
          <t>0                      QL 0666000C  5                  C  36</t>
        </is>
      </c>
      <c r="D744" t="inlineStr">
        <is>
          <t>So excellent a fishe; a natural history of sea turtles, by Archie Carr.</t>
        </is>
      </c>
      <c r="F744" t="inlineStr">
        <is>
          <t>No</t>
        </is>
      </c>
      <c r="G744" t="inlineStr">
        <is>
          <t>1</t>
        </is>
      </c>
      <c r="H744" t="inlineStr">
        <is>
          <t>No</t>
        </is>
      </c>
      <c r="I744" t="inlineStr">
        <is>
          <t>No</t>
        </is>
      </c>
      <c r="J744" t="inlineStr">
        <is>
          <t>0</t>
        </is>
      </c>
      <c r="K744" t="inlineStr">
        <is>
          <t>Carr, Archie, 1909-1987.</t>
        </is>
      </c>
      <c r="L744" t="inlineStr">
        <is>
          <t>Garden City, N.Y., Published for the American Museum of Natural History [by] Natural History Press [1967]</t>
        </is>
      </c>
      <c r="M744" t="inlineStr">
        <is>
          <t>1967</t>
        </is>
      </c>
      <c r="N744" t="inlineStr">
        <is>
          <t>[1st ed.].</t>
        </is>
      </c>
      <c r="O744" t="inlineStr">
        <is>
          <t>eng</t>
        </is>
      </c>
      <c r="P744" t="inlineStr">
        <is>
          <t>nyu</t>
        </is>
      </c>
      <c r="R744" t="inlineStr">
        <is>
          <t xml:space="preserve">QL </t>
        </is>
      </c>
      <c r="S744" t="n">
        <v>10</v>
      </c>
      <c r="T744" t="n">
        <v>10</v>
      </c>
      <c r="U744" t="inlineStr">
        <is>
          <t>2008-02-20</t>
        </is>
      </c>
      <c r="V744" t="inlineStr">
        <is>
          <t>2008-02-20</t>
        </is>
      </c>
      <c r="W744" t="inlineStr">
        <is>
          <t>1992-10-09</t>
        </is>
      </c>
      <c r="X744" t="inlineStr">
        <is>
          <t>1992-10-09</t>
        </is>
      </c>
      <c r="Y744" t="n">
        <v>857</v>
      </c>
      <c r="Z744" t="n">
        <v>809</v>
      </c>
      <c r="AA744" t="n">
        <v>1016</v>
      </c>
      <c r="AB744" t="n">
        <v>5</v>
      </c>
      <c r="AC744" t="n">
        <v>5</v>
      </c>
      <c r="AD744" t="n">
        <v>22</v>
      </c>
      <c r="AE744" t="n">
        <v>26</v>
      </c>
      <c r="AF744" t="n">
        <v>12</v>
      </c>
      <c r="AG744" t="n">
        <v>13</v>
      </c>
      <c r="AH744" t="n">
        <v>2</v>
      </c>
      <c r="AI744" t="n">
        <v>3</v>
      </c>
      <c r="AJ744" t="n">
        <v>8</v>
      </c>
      <c r="AK744" t="n">
        <v>12</v>
      </c>
      <c r="AL744" t="n">
        <v>4</v>
      </c>
      <c r="AM744" t="n">
        <v>4</v>
      </c>
      <c r="AN744" t="n">
        <v>0</v>
      </c>
      <c r="AO744" t="n">
        <v>0</v>
      </c>
      <c r="AP744" t="inlineStr">
        <is>
          <t>No</t>
        </is>
      </c>
      <c r="AQ744" t="inlineStr">
        <is>
          <t>Yes</t>
        </is>
      </c>
      <c r="AR744">
        <f>HYPERLINK("http://catalog.hathitrust.org/Record/001501157","HathiTrust Record")</f>
        <v/>
      </c>
      <c r="AS744">
        <f>HYPERLINK("https://creighton-primo.hosted.exlibrisgroup.com/primo-explore/search?tab=default_tab&amp;search_scope=EVERYTHING&amp;vid=01CRU&amp;lang=en_US&amp;offset=0&amp;query=any,contains,991003641279702656","Catalog Record")</f>
        <v/>
      </c>
      <c r="AT744">
        <f>HYPERLINK("http://www.worldcat.org/oclc/1239102","WorldCat Record")</f>
        <v/>
      </c>
      <c r="AU744" t="inlineStr">
        <is>
          <t>796083157:eng</t>
        </is>
      </c>
      <c r="AV744" t="inlineStr">
        <is>
          <t>1239102</t>
        </is>
      </c>
      <c r="AW744" t="inlineStr">
        <is>
          <t>991003641279702656</t>
        </is>
      </c>
      <c r="AX744" t="inlineStr">
        <is>
          <t>991003641279702656</t>
        </is>
      </c>
      <c r="AY744" t="inlineStr">
        <is>
          <t>2266221140002656</t>
        </is>
      </c>
      <c r="AZ744" t="inlineStr">
        <is>
          <t>BOOK</t>
        </is>
      </c>
      <c r="BC744" t="inlineStr">
        <is>
          <t>32285001369544</t>
        </is>
      </c>
      <c r="BD744" t="inlineStr">
        <is>
          <t>893429025</t>
        </is>
      </c>
    </row>
    <row r="745">
      <c r="A745" t="inlineStr">
        <is>
          <t>No</t>
        </is>
      </c>
      <c r="B745" t="inlineStr">
        <is>
          <t>QL666.C5 C36 1996</t>
        </is>
      </c>
      <c r="C745" t="inlineStr">
        <is>
          <t>0                      QL 0666000C  5                  C  36          1996</t>
        </is>
      </c>
      <c r="D745" t="inlineStr">
        <is>
          <t>The sea turtle : so excellent a fishe / by Archie Carr.</t>
        </is>
      </c>
      <c r="F745" t="inlineStr">
        <is>
          <t>No</t>
        </is>
      </c>
      <c r="G745" t="inlineStr">
        <is>
          <t>1</t>
        </is>
      </c>
      <c r="H745" t="inlineStr">
        <is>
          <t>No</t>
        </is>
      </c>
      <c r="I745" t="inlineStr">
        <is>
          <t>No</t>
        </is>
      </c>
      <c r="J745" t="inlineStr">
        <is>
          <t>0</t>
        </is>
      </c>
      <c r="K745" t="inlineStr">
        <is>
          <t>Carr, Archie, 1909-1987.</t>
        </is>
      </c>
      <c r="L745" t="inlineStr">
        <is>
          <t>Austin : University of Texas Press, 1996, c1984.</t>
        </is>
      </c>
      <c r="M745" t="inlineStr">
        <is>
          <t>1996</t>
        </is>
      </c>
      <c r="N745" t="inlineStr">
        <is>
          <t>3rd printing of University of Texas Press ed.</t>
        </is>
      </c>
      <c r="O745" t="inlineStr">
        <is>
          <t>eng</t>
        </is>
      </c>
      <c r="P745" t="inlineStr">
        <is>
          <t>txu</t>
        </is>
      </c>
      <c r="R745" t="inlineStr">
        <is>
          <t xml:space="preserve">QL </t>
        </is>
      </c>
      <c r="S745" t="n">
        <v>4</v>
      </c>
      <c r="T745" t="n">
        <v>4</v>
      </c>
      <c r="U745" t="inlineStr">
        <is>
          <t>2008-02-27</t>
        </is>
      </c>
      <c r="V745" t="inlineStr">
        <is>
          <t>2008-02-27</t>
        </is>
      </c>
      <c r="W745" t="inlineStr">
        <is>
          <t>2000-07-20</t>
        </is>
      </c>
      <c r="X745" t="inlineStr">
        <is>
          <t>2000-07-20</t>
        </is>
      </c>
      <c r="Y745" t="n">
        <v>18</v>
      </c>
      <c r="Z745" t="n">
        <v>18</v>
      </c>
      <c r="AA745" t="n">
        <v>196</v>
      </c>
      <c r="AB745" t="n">
        <v>1</v>
      </c>
      <c r="AC745" t="n">
        <v>1</v>
      </c>
      <c r="AD745" t="n">
        <v>0</v>
      </c>
      <c r="AE745" t="n">
        <v>0</v>
      </c>
      <c r="AF745" t="n">
        <v>0</v>
      </c>
      <c r="AG745" t="n">
        <v>0</v>
      </c>
      <c r="AH745" t="n">
        <v>0</v>
      </c>
      <c r="AI745" t="n">
        <v>0</v>
      </c>
      <c r="AJ745" t="n">
        <v>0</v>
      </c>
      <c r="AK745" t="n">
        <v>0</v>
      </c>
      <c r="AL745" t="n">
        <v>0</v>
      </c>
      <c r="AM745" t="n">
        <v>0</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HYPERLINK("https://creighton-primo.hosted.exlibrisgroup.com/primo-explore/search?tab=default_tab&amp;search_scope=EVERYTHING&amp;vid=01CRU&amp;lang=en_US&amp;offset=0&amp;query=any,contains,991003208889702656","Catalog Record")</f>
        <v/>
      </c>
      <c r="AT745">
        <f>HYPERLINK("http://www.worldcat.org/oclc/37151477","WorldCat Record")</f>
        <v/>
      </c>
      <c r="AU745" t="inlineStr">
        <is>
          <t>134392694:eng</t>
        </is>
      </c>
      <c r="AV745" t="inlineStr">
        <is>
          <t>37151477</t>
        </is>
      </c>
      <c r="AW745" t="inlineStr">
        <is>
          <t>991003208889702656</t>
        </is>
      </c>
      <c r="AX745" t="inlineStr">
        <is>
          <t>991003208889702656</t>
        </is>
      </c>
      <c r="AY745" t="inlineStr">
        <is>
          <t>2258998280002656</t>
        </is>
      </c>
      <c r="AZ745" t="inlineStr">
        <is>
          <t>BOOK</t>
        </is>
      </c>
      <c r="BB745" t="inlineStr">
        <is>
          <t>9780292775954</t>
        </is>
      </c>
      <c r="BC745" t="inlineStr">
        <is>
          <t>32285003712568</t>
        </is>
      </c>
      <c r="BD745" t="inlineStr">
        <is>
          <t>893336244</t>
        </is>
      </c>
    </row>
    <row r="746">
      <c r="A746" t="inlineStr">
        <is>
          <t>No</t>
        </is>
      </c>
      <c r="B746" t="inlineStr">
        <is>
          <t>QL666.C5 C76 1989</t>
        </is>
      </c>
      <c r="C746" t="inlineStr">
        <is>
          <t>0                      QL 0666000C  5                  C  76          1989</t>
        </is>
      </c>
      <c r="D746" t="inlineStr">
        <is>
          <t>Crocodilian, tuatara, and turtle species of the world : a taxonomic and geographic reference / edited by F. Wayne King and Russell L. Burke.</t>
        </is>
      </c>
      <c r="F746" t="inlineStr">
        <is>
          <t>No</t>
        </is>
      </c>
      <c r="G746" t="inlineStr">
        <is>
          <t>1</t>
        </is>
      </c>
      <c r="H746" t="inlineStr">
        <is>
          <t>No</t>
        </is>
      </c>
      <c r="I746" t="inlineStr">
        <is>
          <t>No</t>
        </is>
      </c>
      <c r="J746" t="inlineStr">
        <is>
          <t>0</t>
        </is>
      </c>
      <c r="L746" t="inlineStr">
        <is>
          <t>Washington, DC, U.S.A. : Association of Systematics Collections, 1989.</t>
        </is>
      </c>
      <c r="M746" t="inlineStr">
        <is>
          <t>1989</t>
        </is>
      </c>
      <c r="O746" t="inlineStr">
        <is>
          <t>eng</t>
        </is>
      </c>
      <c r="P746" t="inlineStr">
        <is>
          <t>dcu</t>
        </is>
      </c>
      <c r="R746" t="inlineStr">
        <is>
          <t xml:space="preserve">QL </t>
        </is>
      </c>
      <c r="S746" t="n">
        <v>10</v>
      </c>
      <c r="T746" t="n">
        <v>10</v>
      </c>
      <c r="U746" t="inlineStr">
        <is>
          <t>2006-02-26</t>
        </is>
      </c>
      <c r="V746" t="inlineStr">
        <is>
          <t>2006-02-26</t>
        </is>
      </c>
      <c r="W746" t="inlineStr">
        <is>
          <t>1992-04-14</t>
        </is>
      </c>
      <c r="X746" t="inlineStr">
        <is>
          <t>1992-04-14</t>
        </is>
      </c>
      <c r="Y746" t="n">
        <v>143</v>
      </c>
      <c r="Z746" t="n">
        <v>110</v>
      </c>
      <c r="AA746" t="n">
        <v>114</v>
      </c>
      <c r="AB746" t="n">
        <v>1</v>
      </c>
      <c r="AC746" t="n">
        <v>1</v>
      </c>
      <c r="AD746" t="n">
        <v>1</v>
      </c>
      <c r="AE746" t="n">
        <v>1</v>
      </c>
      <c r="AF746" t="n">
        <v>1</v>
      </c>
      <c r="AG746" t="n">
        <v>1</v>
      </c>
      <c r="AH746" t="n">
        <v>0</v>
      </c>
      <c r="AI746" t="n">
        <v>0</v>
      </c>
      <c r="AJ746" t="n">
        <v>0</v>
      </c>
      <c r="AK746" t="n">
        <v>0</v>
      </c>
      <c r="AL746" t="n">
        <v>0</v>
      </c>
      <c r="AM746" t="n">
        <v>0</v>
      </c>
      <c r="AN746" t="n">
        <v>0</v>
      </c>
      <c r="AO746" t="n">
        <v>0</v>
      </c>
      <c r="AP746" t="inlineStr">
        <is>
          <t>No</t>
        </is>
      </c>
      <c r="AQ746" t="inlineStr">
        <is>
          <t>Yes</t>
        </is>
      </c>
      <c r="AR746">
        <f>HYPERLINK("http://catalog.hathitrust.org/Record/001943191","HathiTrust Record")</f>
        <v/>
      </c>
      <c r="AS746">
        <f>HYPERLINK("https://creighton-primo.hosted.exlibrisgroup.com/primo-explore/search?tab=default_tab&amp;search_scope=EVERYTHING&amp;vid=01CRU&amp;lang=en_US&amp;offset=0&amp;query=any,contains,991001590519702656","Catalog Record")</f>
        <v/>
      </c>
      <c r="AT746">
        <f>HYPERLINK("http://www.worldcat.org/oclc/20566795","WorldCat Record")</f>
        <v/>
      </c>
      <c r="AU746" t="inlineStr">
        <is>
          <t>889821847:eng</t>
        </is>
      </c>
      <c r="AV746" t="inlineStr">
        <is>
          <t>20566795</t>
        </is>
      </c>
      <c r="AW746" t="inlineStr">
        <is>
          <t>991001590519702656</t>
        </is>
      </c>
      <c r="AX746" t="inlineStr">
        <is>
          <t>991001590519702656</t>
        </is>
      </c>
      <c r="AY746" t="inlineStr">
        <is>
          <t>2260423130002656</t>
        </is>
      </c>
      <c r="AZ746" t="inlineStr">
        <is>
          <t>BOOK</t>
        </is>
      </c>
      <c r="BB746" t="inlineStr">
        <is>
          <t>9780942924152</t>
        </is>
      </c>
      <c r="BC746" t="inlineStr">
        <is>
          <t>32285001035350</t>
        </is>
      </c>
      <c r="BD746" t="inlineStr">
        <is>
          <t>893244233</t>
        </is>
      </c>
    </row>
    <row r="747">
      <c r="A747" t="inlineStr">
        <is>
          <t>No</t>
        </is>
      </c>
      <c r="B747" t="inlineStr">
        <is>
          <t>QL666.C5 E77 1989</t>
        </is>
      </c>
      <c r="C747" t="inlineStr">
        <is>
          <t>0                      QL 0666000C  5                  E  77          1989</t>
        </is>
      </c>
      <c r="D747" t="inlineStr">
        <is>
          <t>Turtles of the world / Carl H. Ernst and Roger W. Barbour.</t>
        </is>
      </c>
      <c r="F747" t="inlineStr">
        <is>
          <t>No</t>
        </is>
      </c>
      <c r="G747" t="inlineStr">
        <is>
          <t>1</t>
        </is>
      </c>
      <c r="H747" t="inlineStr">
        <is>
          <t>No</t>
        </is>
      </c>
      <c r="I747" t="inlineStr">
        <is>
          <t>No</t>
        </is>
      </c>
      <c r="J747" t="inlineStr">
        <is>
          <t>0</t>
        </is>
      </c>
      <c r="K747" t="inlineStr">
        <is>
          <t>Ernst, Carl H.</t>
        </is>
      </c>
      <c r="L747" t="inlineStr">
        <is>
          <t>Washington : Smithsonian Institution Press, c1989.</t>
        </is>
      </c>
      <c r="M747" t="inlineStr">
        <is>
          <t>1989</t>
        </is>
      </c>
      <c r="O747" t="inlineStr">
        <is>
          <t>eng</t>
        </is>
      </c>
      <c r="P747" t="inlineStr">
        <is>
          <t>dcu</t>
        </is>
      </c>
      <c r="R747" t="inlineStr">
        <is>
          <t xml:space="preserve">QL </t>
        </is>
      </c>
      <c r="S747" t="n">
        <v>16</v>
      </c>
      <c r="T747" t="n">
        <v>16</v>
      </c>
      <c r="U747" t="inlineStr">
        <is>
          <t>2008-02-19</t>
        </is>
      </c>
      <c r="V747" t="inlineStr">
        <is>
          <t>2008-02-19</t>
        </is>
      </c>
      <c r="W747" t="inlineStr">
        <is>
          <t>1990-07-05</t>
        </is>
      </c>
      <c r="X747" t="inlineStr">
        <is>
          <t>1990-07-05</t>
        </is>
      </c>
      <c r="Y747" t="n">
        <v>1037</v>
      </c>
      <c r="Z747" t="n">
        <v>916</v>
      </c>
      <c r="AA747" t="n">
        <v>927</v>
      </c>
      <c r="AB747" t="n">
        <v>10</v>
      </c>
      <c r="AC747" t="n">
        <v>10</v>
      </c>
      <c r="AD747" t="n">
        <v>27</v>
      </c>
      <c r="AE747" t="n">
        <v>27</v>
      </c>
      <c r="AF747" t="n">
        <v>8</v>
      </c>
      <c r="AG747" t="n">
        <v>8</v>
      </c>
      <c r="AH747" t="n">
        <v>2</v>
      </c>
      <c r="AI747" t="n">
        <v>2</v>
      </c>
      <c r="AJ747" t="n">
        <v>14</v>
      </c>
      <c r="AK747" t="n">
        <v>14</v>
      </c>
      <c r="AL747" t="n">
        <v>7</v>
      </c>
      <c r="AM747" t="n">
        <v>7</v>
      </c>
      <c r="AN747" t="n">
        <v>0</v>
      </c>
      <c r="AO747" t="n">
        <v>0</v>
      </c>
      <c r="AP747" t="inlineStr">
        <is>
          <t>No</t>
        </is>
      </c>
      <c r="AQ747" t="inlineStr">
        <is>
          <t>Yes</t>
        </is>
      </c>
      <c r="AR747">
        <f>HYPERLINK("http://catalog.hathitrust.org/Record/001528306","HathiTrust Record")</f>
        <v/>
      </c>
      <c r="AS747">
        <f>HYPERLINK("https://creighton-primo.hosted.exlibrisgroup.com/primo-explore/search?tab=default_tab&amp;search_scope=EVERYTHING&amp;vid=01CRU&amp;lang=en_US&amp;offset=0&amp;query=any,contains,991001360389702656","Catalog Record")</f>
        <v/>
      </c>
      <c r="AT747">
        <f>HYPERLINK("http://www.worldcat.org/oclc/18520847","WorldCat Record")</f>
        <v/>
      </c>
      <c r="AU747" t="inlineStr">
        <is>
          <t>62059134:eng</t>
        </is>
      </c>
      <c r="AV747" t="inlineStr">
        <is>
          <t>18520847</t>
        </is>
      </c>
      <c r="AW747" t="inlineStr">
        <is>
          <t>991001360389702656</t>
        </is>
      </c>
      <c r="AX747" t="inlineStr">
        <is>
          <t>991001360389702656</t>
        </is>
      </c>
      <c r="AY747" t="inlineStr">
        <is>
          <t>2268435730002656</t>
        </is>
      </c>
      <c r="AZ747" t="inlineStr">
        <is>
          <t>BOOK</t>
        </is>
      </c>
      <c r="BB747" t="inlineStr">
        <is>
          <t>9780874744149</t>
        </is>
      </c>
      <c r="BC747" t="inlineStr">
        <is>
          <t>32285000207489</t>
        </is>
      </c>
      <c r="BD747" t="inlineStr">
        <is>
          <t>893238062</t>
        </is>
      </c>
    </row>
    <row r="748">
      <c r="A748" t="inlineStr">
        <is>
          <t>No</t>
        </is>
      </c>
      <c r="B748" t="inlineStr">
        <is>
          <t>QL76 .G732</t>
        </is>
      </c>
      <c r="C748" t="inlineStr">
        <is>
          <t>0                      QL 0076000G  732</t>
        </is>
      </c>
      <c r="D748" t="inlineStr">
        <is>
          <t>Great zoos of the world : their origins and significance / edited by Lord Zuckerman.</t>
        </is>
      </c>
      <c r="F748" t="inlineStr">
        <is>
          <t>No</t>
        </is>
      </c>
      <c r="G748" t="inlineStr">
        <is>
          <t>1</t>
        </is>
      </c>
      <c r="H748" t="inlineStr">
        <is>
          <t>No</t>
        </is>
      </c>
      <c r="I748" t="inlineStr">
        <is>
          <t>No</t>
        </is>
      </c>
      <c r="J748" t="inlineStr">
        <is>
          <t>0</t>
        </is>
      </c>
      <c r="L748" t="inlineStr">
        <is>
          <t>Boulder, Co. : Westview Press, 1980.</t>
        </is>
      </c>
      <c r="M748" t="inlineStr">
        <is>
          <t>1980</t>
        </is>
      </c>
      <c r="O748" t="inlineStr">
        <is>
          <t>eng</t>
        </is>
      </c>
      <c r="P748" t="inlineStr">
        <is>
          <t>cou</t>
        </is>
      </c>
      <c r="R748" t="inlineStr">
        <is>
          <t xml:space="preserve">QL </t>
        </is>
      </c>
      <c r="S748" t="n">
        <v>6</v>
      </c>
      <c r="T748" t="n">
        <v>6</v>
      </c>
      <c r="U748" t="inlineStr">
        <is>
          <t>2009-02-17</t>
        </is>
      </c>
      <c r="V748" t="inlineStr">
        <is>
          <t>2009-02-17</t>
        </is>
      </c>
      <c r="W748" t="inlineStr">
        <is>
          <t>1993-05-21</t>
        </is>
      </c>
      <c r="X748" t="inlineStr">
        <is>
          <t>1993-05-21</t>
        </is>
      </c>
      <c r="Y748" t="n">
        <v>182</v>
      </c>
      <c r="Z748" t="n">
        <v>159</v>
      </c>
      <c r="AA748" t="n">
        <v>184</v>
      </c>
      <c r="AB748" t="n">
        <v>2</v>
      </c>
      <c r="AC748" t="n">
        <v>2</v>
      </c>
      <c r="AD748" t="n">
        <v>2</v>
      </c>
      <c r="AE748" t="n">
        <v>2</v>
      </c>
      <c r="AF748" t="n">
        <v>1</v>
      </c>
      <c r="AG748" t="n">
        <v>1</v>
      </c>
      <c r="AH748" t="n">
        <v>0</v>
      </c>
      <c r="AI748" t="n">
        <v>0</v>
      </c>
      <c r="AJ748" t="n">
        <v>0</v>
      </c>
      <c r="AK748" t="n">
        <v>0</v>
      </c>
      <c r="AL748" t="n">
        <v>1</v>
      </c>
      <c r="AM748" t="n">
        <v>1</v>
      </c>
      <c r="AN748" t="n">
        <v>0</v>
      </c>
      <c r="AO748" t="n">
        <v>0</v>
      </c>
      <c r="AP748" t="inlineStr">
        <is>
          <t>No</t>
        </is>
      </c>
      <c r="AQ748" t="inlineStr">
        <is>
          <t>Yes</t>
        </is>
      </c>
      <c r="AR748">
        <f>HYPERLINK("http://catalog.hathitrust.org/Record/009133818","HathiTrust Record")</f>
        <v/>
      </c>
      <c r="AS748">
        <f>HYPERLINK("https://creighton-primo.hosted.exlibrisgroup.com/primo-explore/search?tab=default_tab&amp;search_scope=EVERYTHING&amp;vid=01CRU&amp;lang=en_US&amp;offset=0&amp;query=any,contains,991005066899702656","Catalog Record")</f>
        <v/>
      </c>
      <c r="AT748">
        <f>HYPERLINK("http://www.worldcat.org/oclc/6976133","WorldCat Record")</f>
        <v/>
      </c>
      <c r="AU748" t="inlineStr">
        <is>
          <t>796192054:eng</t>
        </is>
      </c>
      <c r="AV748" t="inlineStr">
        <is>
          <t>6976133</t>
        </is>
      </c>
      <c r="AW748" t="inlineStr">
        <is>
          <t>991005066899702656</t>
        </is>
      </c>
      <c r="AX748" t="inlineStr">
        <is>
          <t>991005066899702656</t>
        </is>
      </c>
      <c r="AY748" t="inlineStr">
        <is>
          <t>2256671670002656</t>
        </is>
      </c>
      <c r="AZ748" t="inlineStr">
        <is>
          <t>BOOK</t>
        </is>
      </c>
      <c r="BB748" t="inlineStr">
        <is>
          <t>9780891589853</t>
        </is>
      </c>
      <c r="BC748" t="inlineStr">
        <is>
          <t>32285001686194</t>
        </is>
      </c>
      <c r="BD748" t="inlineStr">
        <is>
          <t>893719712</t>
        </is>
      </c>
    </row>
    <row r="749">
      <c r="A749" t="inlineStr">
        <is>
          <t>No</t>
        </is>
      </c>
      <c r="B749" t="inlineStr">
        <is>
          <t>QL76 .Z76 2007</t>
        </is>
      </c>
      <c r="C749" t="inlineStr">
        <is>
          <t>0                      QL 0076000Z  76          2007</t>
        </is>
      </c>
      <c r="D749" t="inlineStr">
        <is>
          <t>Zoos in the 21st century : catalysts for conservation? / edited by Alexandra Zimmermann ... [et al.].</t>
        </is>
      </c>
      <c r="F749" t="inlineStr">
        <is>
          <t>No</t>
        </is>
      </c>
      <c r="G749" t="inlineStr">
        <is>
          <t>1</t>
        </is>
      </c>
      <c r="H749" t="inlineStr">
        <is>
          <t>No</t>
        </is>
      </c>
      <c r="I749" t="inlineStr">
        <is>
          <t>No</t>
        </is>
      </c>
      <c r="J749" t="inlineStr">
        <is>
          <t>0</t>
        </is>
      </c>
      <c r="L749" t="inlineStr">
        <is>
          <t>Cambridge : Cambridge University Press, 2007.</t>
        </is>
      </c>
      <c r="M749" t="inlineStr">
        <is>
          <t>2007</t>
        </is>
      </c>
      <c r="O749" t="inlineStr">
        <is>
          <t>eng</t>
        </is>
      </c>
      <c r="P749" t="inlineStr">
        <is>
          <t>enk</t>
        </is>
      </c>
      <c r="Q749" t="inlineStr">
        <is>
          <t>Conservation biology series ; 15</t>
        </is>
      </c>
      <c r="R749" t="inlineStr">
        <is>
          <t xml:space="preserve">QL </t>
        </is>
      </c>
      <c r="S749" t="n">
        <v>3</v>
      </c>
      <c r="T749" t="n">
        <v>3</v>
      </c>
      <c r="U749" t="inlineStr">
        <is>
          <t>2009-02-17</t>
        </is>
      </c>
      <c r="V749" t="inlineStr">
        <is>
          <t>2009-02-17</t>
        </is>
      </c>
      <c r="W749" t="inlineStr">
        <is>
          <t>2007-11-13</t>
        </is>
      </c>
      <c r="X749" t="inlineStr">
        <is>
          <t>2007-11-13</t>
        </is>
      </c>
      <c r="Y749" t="n">
        <v>232</v>
      </c>
      <c r="Z749" t="n">
        <v>148</v>
      </c>
      <c r="AA749" t="n">
        <v>148</v>
      </c>
      <c r="AB749" t="n">
        <v>1</v>
      </c>
      <c r="AC749" t="n">
        <v>1</v>
      </c>
      <c r="AD749" t="n">
        <v>4</v>
      </c>
      <c r="AE749" t="n">
        <v>4</v>
      </c>
      <c r="AF749" t="n">
        <v>0</v>
      </c>
      <c r="AG749" t="n">
        <v>0</v>
      </c>
      <c r="AH749" t="n">
        <v>3</v>
      </c>
      <c r="AI749" t="n">
        <v>3</v>
      </c>
      <c r="AJ749" t="n">
        <v>3</v>
      </c>
      <c r="AK749" t="n">
        <v>3</v>
      </c>
      <c r="AL749" t="n">
        <v>0</v>
      </c>
      <c r="AM749" t="n">
        <v>0</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HYPERLINK("https://creighton-primo.hosted.exlibrisgroup.com/primo-explore/search?tab=default_tab&amp;search_scope=EVERYTHING&amp;vid=01CRU&amp;lang=en_US&amp;offset=0&amp;query=any,contains,991005143049702656","Catalog Record")</f>
        <v/>
      </c>
      <c r="AT749">
        <f>HYPERLINK("http://www.worldcat.org/oclc/137221640","WorldCat Record")</f>
        <v/>
      </c>
      <c r="AU749" t="inlineStr">
        <is>
          <t>102984526:eng</t>
        </is>
      </c>
      <c r="AV749" t="inlineStr">
        <is>
          <t>137221640</t>
        </is>
      </c>
      <c r="AW749" t="inlineStr">
        <is>
          <t>991005143049702656</t>
        </is>
      </c>
      <c r="AX749" t="inlineStr">
        <is>
          <t>991005143049702656</t>
        </is>
      </c>
      <c r="AY749" t="inlineStr">
        <is>
          <t>2262636320002656</t>
        </is>
      </c>
      <c r="AZ749" t="inlineStr">
        <is>
          <t>BOOK</t>
        </is>
      </c>
      <c r="BB749" t="inlineStr">
        <is>
          <t>9780521618588</t>
        </is>
      </c>
      <c r="BC749" t="inlineStr">
        <is>
          <t>32285005366967</t>
        </is>
      </c>
      <c r="BD749" t="inlineStr">
        <is>
          <t>893260621</t>
        </is>
      </c>
    </row>
    <row r="750">
      <c r="A750" t="inlineStr">
        <is>
          <t>No</t>
        </is>
      </c>
      <c r="B750" t="inlineStr">
        <is>
          <t>QL76.5.U6 N535 1996</t>
        </is>
      </c>
      <c r="C750" t="inlineStr">
        <is>
          <t>0                      QL 0076500U  6                  N  535         1996</t>
        </is>
      </c>
      <c r="D750" t="inlineStr">
        <is>
          <t>Keepers of the kingdom : the new American zoo / photographs and introduction by Michael Nichols ; essays by Jon Charles Coe ... [et al.].</t>
        </is>
      </c>
      <c r="F750" t="inlineStr">
        <is>
          <t>No</t>
        </is>
      </c>
      <c r="G750" t="inlineStr">
        <is>
          <t>1</t>
        </is>
      </c>
      <c r="H750" t="inlineStr">
        <is>
          <t>No</t>
        </is>
      </c>
      <c r="I750" t="inlineStr">
        <is>
          <t>No</t>
        </is>
      </c>
      <c r="J750" t="inlineStr">
        <is>
          <t>0</t>
        </is>
      </c>
      <c r="K750" t="inlineStr">
        <is>
          <t>Nichols, Michael.</t>
        </is>
      </c>
      <c r="L750" t="inlineStr">
        <is>
          <t>New York : Thomasson-Grant, c1996.</t>
        </is>
      </c>
      <c r="M750" t="inlineStr">
        <is>
          <t>1996</t>
        </is>
      </c>
      <c r="O750" t="inlineStr">
        <is>
          <t>eng</t>
        </is>
      </c>
      <c r="P750" t="inlineStr">
        <is>
          <t>nyu</t>
        </is>
      </c>
      <c r="R750" t="inlineStr">
        <is>
          <t xml:space="preserve">QL </t>
        </is>
      </c>
      <c r="S750" t="n">
        <v>7</v>
      </c>
      <c r="T750" t="n">
        <v>7</v>
      </c>
      <c r="U750" t="inlineStr">
        <is>
          <t>2009-02-17</t>
        </is>
      </c>
      <c r="V750" t="inlineStr">
        <is>
          <t>2009-02-17</t>
        </is>
      </c>
      <c r="W750" t="inlineStr">
        <is>
          <t>1997-04-16</t>
        </is>
      </c>
      <c r="X750" t="inlineStr">
        <is>
          <t>1997-04-16</t>
        </is>
      </c>
      <c r="Y750" t="n">
        <v>316</v>
      </c>
      <c r="Z750" t="n">
        <v>310</v>
      </c>
      <c r="AA750" t="n">
        <v>315</v>
      </c>
      <c r="AB750" t="n">
        <v>1</v>
      </c>
      <c r="AC750" t="n">
        <v>1</v>
      </c>
      <c r="AD750" t="n">
        <v>5</v>
      </c>
      <c r="AE750" t="n">
        <v>5</v>
      </c>
      <c r="AF750" t="n">
        <v>2</v>
      </c>
      <c r="AG750" t="n">
        <v>2</v>
      </c>
      <c r="AH750" t="n">
        <v>1</v>
      </c>
      <c r="AI750" t="n">
        <v>1</v>
      </c>
      <c r="AJ750" t="n">
        <v>3</v>
      </c>
      <c r="AK750" t="n">
        <v>3</v>
      </c>
      <c r="AL750" t="n">
        <v>0</v>
      </c>
      <c r="AM750" t="n">
        <v>0</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HYPERLINK("https://creighton-primo.hosted.exlibrisgroup.com/primo-explore/search?tab=default_tab&amp;search_scope=EVERYTHING&amp;vid=01CRU&amp;lang=en_US&amp;offset=0&amp;query=any,contains,991002512799702656","Catalog Record")</f>
        <v/>
      </c>
      <c r="AT750">
        <f>HYPERLINK("http://www.worldcat.org/oclc/32665991","WorldCat Record")</f>
        <v/>
      </c>
      <c r="AU750" t="inlineStr">
        <is>
          <t>36570179:eng</t>
        </is>
      </c>
      <c r="AV750" t="inlineStr">
        <is>
          <t>32665991</t>
        </is>
      </c>
      <c r="AW750" t="inlineStr">
        <is>
          <t>991002512799702656</t>
        </is>
      </c>
      <c r="AX750" t="inlineStr">
        <is>
          <t>991002512799702656</t>
        </is>
      </c>
      <c r="AY750" t="inlineStr">
        <is>
          <t>2266219050002656</t>
        </is>
      </c>
      <c r="AZ750" t="inlineStr">
        <is>
          <t>BOOK</t>
        </is>
      </c>
      <c r="BB750" t="inlineStr">
        <is>
          <t>9780965030823</t>
        </is>
      </c>
      <c r="BC750" t="inlineStr">
        <is>
          <t>32285002497526</t>
        </is>
      </c>
      <c r="BD750" t="inlineStr">
        <is>
          <t>893886391</t>
        </is>
      </c>
    </row>
    <row r="751">
      <c r="A751" t="inlineStr">
        <is>
          <t>No</t>
        </is>
      </c>
      <c r="B751" t="inlineStr">
        <is>
          <t>QL77.5 .H4213 1969</t>
        </is>
      </c>
      <c r="C751" t="inlineStr">
        <is>
          <t>0                      QL 0077500H  4213        1969</t>
        </is>
      </c>
      <c r="D751" t="inlineStr">
        <is>
          <t>Man and animal in the zoo; zoo biology. Translated by Gwynne Vevers and Winwood Reade.</t>
        </is>
      </c>
      <c r="F751" t="inlineStr">
        <is>
          <t>No</t>
        </is>
      </c>
      <c r="G751" t="inlineStr">
        <is>
          <t>1</t>
        </is>
      </c>
      <c r="H751" t="inlineStr">
        <is>
          <t>No</t>
        </is>
      </c>
      <c r="I751" t="inlineStr">
        <is>
          <t>No</t>
        </is>
      </c>
      <c r="J751" t="inlineStr">
        <is>
          <t>0</t>
        </is>
      </c>
      <c r="K751" t="inlineStr">
        <is>
          <t>Hediger, Heini.</t>
        </is>
      </c>
      <c r="L751" t="inlineStr">
        <is>
          <t>New York, Delacorte Press [1969]</t>
        </is>
      </c>
      <c r="M751" t="inlineStr">
        <is>
          <t>1969</t>
        </is>
      </c>
      <c r="O751" t="inlineStr">
        <is>
          <t>eng</t>
        </is>
      </c>
      <c r="P751" t="inlineStr">
        <is>
          <t>nyu</t>
        </is>
      </c>
      <c r="R751" t="inlineStr">
        <is>
          <t xml:space="preserve">QL </t>
        </is>
      </c>
      <c r="S751" t="n">
        <v>1</v>
      </c>
      <c r="T751" t="n">
        <v>1</v>
      </c>
      <c r="U751" t="inlineStr">
        <is>
          <t>2005-04-22</t>
        </is>
      </c>
      <c r="V751" t="inlineStr">
        <is>
          <t>2005-04-22</t>
        </is>
      </c>
      <c r="W751" t="inlineStr">
        <is>
          <t>1997-07-18</t>
        </is>
      </c>
      <c r="X751" t="inlineStr">
        <is>
          <t>1997-07-18</t>
        </is>
      </c>
      <c r="Y751" t="n">
        <v>272</v>
      </c>
      <c r="Z751" t="n">
        <v>261</v>
      </c>
      <c r="AA751" t="n">
        <v>282</v>
      </c>
      <c r="AB751" t="n">
        <v>3</v>
      </c>
      <c r="AC751" t="n">
        <v>3</v>
      </c>
      <c r="AD751" t="n">
        <v>10</v>
      </c>
      <c r="AE751" t="n">
        <v>10</v>
      </c>
      <c r="AF751" t="n">
        <v>2</v>
      </c>
      <c r="AG751" t="n">
        <v>2</v>
      </c>
      <c r="AH751" t="n">
        <v>2</v>
      </c>
      <c r="AI751" t="n">
        <v>2</v>
      </c>
      <c r="AJ751" t="n">
        <v>5</v>
      </c>
      <c r="AK751" t="n">
        <v>5</v>
      </c>
      <c r="AL751" t="n">
        <v>2</v>
      </c>
      <c r="AM751" t="n">
        <v>2</v>
      </c>
      <c r="AN751" t="n">
        <v>0</v>
      </c>
      <c r="AO751" t="n">
        <v>0</v>
      </c>
      <c r="AP751" t="inlineStr">
        <is>
          <t>No</t>
        </is>
      </c>
      <c r="AQ751" t="inlineStr">
        <is>
          <t>Yes</t>
        </is>
      </c>
      <c r="AR751">
        <f>HYPERLINK("http://catalog.hathitrust.org/Record/001498873","HathiTrust Record")</f>
        <v/>
      </c>
      <c r="AS751">
        <f>HYPERLINK("https://creighton-primo.hosted.exlibrisgroup.com/primo-explore/search?tab=default_tab&amp;search_scope=EVERYTHING&amp;vid=01CRU&amp;lang=en_US&amp;offset=0&amp;query=any,contains,991000148159702656","Catalog Record")</f>
        <v/>
      </c>
      <c r="AT751">
        <f>HYPERLINK("http://www.worldcat.org/oclc/59369","WorldCat Record")</f>
        <v/>
      </c>
      <c r="AU751" t="inlineStr">
        <is>
          <t>1220089:eng</t>
        </is>
      </c>
      <c r="AV751" t="inlineStr">
        <is>
          <t>59369</t>
        </is>
      </c>
      <c r="AW751" t="inlineStr">
        <is>
          <t>991000148159702656</t>
        </is>
      </c>
      <c r="AX751" t="inlineStr">
        <is>
          <t>991000148159702656</t>
        </is>
      </c>
      <c r="AY751" t="inlineStr">
        <is>
          <t>2260482610002656</t>
        </is>
      </c>
      <c r="AZ751" t="inlineStr">
        <is>
          <t>BOOK</t>
        </is>
      </c>
      <c r="BC751" t="inlineStr">
        <is>
          <t>32285002939105</t>
        </is>
      </c>
      <c r="BD751" t="inlineStr">
        <is>
          <t>893620245</t>
        </is>
      </c>
    </row>
    <row r="752">
      <c r="A752" t="inlineStr">
        <is>
          <t>No</t>
        </is>
      </c>
      <c r="B752" t="inlineStr">
        <is>
          <t>QL81 .A24 1991</t>
        </is>
      </c>
      <c r="C752" t="inlineStr">
        <is>
          <t>0                      QL 0081000A  24          1991</t>
        </is>
      </c>
      <c r="D752" t="inlineStr">
        <is>
          <t>The moon by whale light : and other adventures among bats, penguins, crocodilians, and whales / Diane Ackerman.</t>
        </is>
      </c>
      <c r="F752" t="inlineStr">
        <is>
          <t>No</t>
        </is>
      </c>
      <c r="G752" t="inlineStr">
        <is>
          <t>1</t>
        </is>
      </c>
      <c r="H752" t="inlineStr">
        <is>
          <t>No</t>
        </is>
      </c>
      <c r="I752" t="inlineStr">
        <is>
          <t>No</t>
        </is>
      </c>
      <c r="J752" t="inlineStr">
        <is>
          <t>0</t>
        </is>
      </c>
      <c r="K752" t="inlineStr">
        <is>
          <t>Ackerman, Diane, 1948-</t>
        </is>
      </c>
      <c r="L752" t="inlineStr">
        <is>
          <t>New York : Random House, c1991.</t>
        </is>
      </c>
      <c r="M752" t="inlineStr">
        <is>
          <t>1991</t>
        </is>
      </c>
      <c r="N752" t="inlineStr">
        <is>
          <t>1st ed.</t>
        </is>
      </c>
      <c r="O752" t="inlineStr">
        <is>
          <t>eng</t>
        </is>
      </c>
      <c r="P752" t="inlineStr">
        <is>
          <t>nyu</t>
        </is>
      </c>
      <c r="R752" t="inlineStr">
        <is>
          <t xml:space="preserve">QL </t>
        </is>
      </c>
      <c r="S752" t="n">
        <v>6</v>
      </c>
      <c r="T752" t="n">
        <v>6</v>
      </c>
      <c r="U752" t="inlineStr">
        <is>
          <t>2001-03-11</t>
        </is>
      </c>
      <c r="V752" t="inlineStr">
        <is>
          <t>2001-03-11</t>
        </is>
      </c>
      <c r="W752" t="inlineStr">
        <is>
          <t>1992-02-21</t>
        </is>
      </c>
      <c r="X752" t="inlineStr">
        <is>
          <t>1992-02-21</t>
        </is>
      </c>
      <c r="Y752" t="n">
        <v>904</v>
      </c>
      <c r="Z752" t="n">
        <v>877</v>
      </c>
      <c r="AA752" t="n">
        <v>1070</v>
      </c>
      <c r="AB752" t="n">
        <v>9</v>
      </c>
      <c r="AC752" t="n">
        <v>11</v>
      </c>
      <c r="AD752" t="n">
        <v>20</v>
      </c>
      <c r="AE752" t="n">
        <v>22</v>
      </c>
      <c r="AF752" t="n">
        <v>8</v>
      </c>
      <c r="AG752" t="n">
        <v>8</v>
      </c>
      <c r="AH752" t="n">
        <v>4</v>
      </c>
      <c r="AI752" t="n">
        <v>5</v>
      </c>
      <c r="AJ752" t="n">
        <v>7</v>
      </c>
      <c r="AK752" t="n">
        <v>9</v>
      </c>
      <c r="AL752" t="n">
        <v>5</v>
      </c>
      <c r="AM752" t="n">
        <v>5</v>
      </c>
      <c r="AN752" t="n">
        <v>0</v>
      </c>
      <c r="AO752" t="n">
        <v>0</v>
      </c>
      <c r="AP752" t="inlineStr">
        <is>
          <t>No</t>
        </is>
      </c>
      <c r="AQ752" t="inlineStr">
        <is>
          <t>Yes</t>
        </is>
      </c>
      <c r="AR752">
        <f>HYPERLINK("http://catalog.hathitrust.org/Record/002499211","HathiTrust Record")</f>
        <v/>
      </c>
      <c r="AS752">
        <f>HYPERLINK("https://creighton-primo.hosted.exlibrisgroup.com/primo-explore/search?tab=default_tab&amp;search_scope=EVERYTHING&amp;vid=01CRU&amp;lang=en_US&amp;offset=0&amp;query=any,contains,991001881499702656","Catalog Record")</f>
        <v/>
      </c>
      <c r="AT752">
        <f>HYPERLINK("http://www.worldcat.org/oclc/23732305","WorldCat Record")</f>
        <v/>
      </c>
      <c r="AU752" t="inlineStr">
        <is>
          <t>155082743:eng</t>
        </is>
      </c>
      <c r="AV752" t="inlineStr">
        <is>
          <t>23732305</t>
        </is>
      </c>
      <c r="AW752" t="inlineStr">
        <is>
          <t>991001881499702656</t>
        </is>
      </c>
      <c r="AX752" t="inlineStr">
        <is>
          <t>991001881499702656</t>
        </is>
      </c>
      <c r="AY752" t="inlineStr">
        <is>
          <t>2265377240002656</t>
        </is>
      </c>
      <c r="AZ752" t="inlineStr">
        <is>
          <t>BOOK</t>
        </is>
      </c>
      <c r="BB752" t="inlineStr">
        <is>
          <t>9780394585741</t>
        </is>
      </c>
      <c r="BC752" t="inlineStr">
        <is>
          <t>32285000936459</t>
        </is>
      </c>
      <c r="BD752" t="inlineStr">
        <is>
          <t>893414571</t>
        </is>
      </c>
    </row>
    <row r="753">
      <c r="A753" t="inlineStr">
        <is>
          <t>No</t>
        </is>
      </c>
      <c r="B753" t="inlineStr">
        <is>
          <t>QL82 .C66 1972</t>
        </is>
      </c>
      <c r="C753" t="inlineStr">
        <is>
          <t>0                      QL 0082000C  66          1972</t>
        </is>
      </c>
      <c r="D753" t="inlineStr">
        <is>
          <t>Breeding endangered species in captivity / edited by R. D. Martin.</t>
        </is>
      </c>
      <c r="F753" t="inlineStr">
        <is>
          <t>No</t>
        </is>
      </c>
      <c r="G753" t="inlineStr">
        <is>
          <t>1</t>
        </is>
      </c>
      <c r="H753" t="inlineStr">
        <is>
          <t>No</t>
        </is>
      </c>
      <c r="I753" t="inlineStr">
        <is>
          <t>No</t>
        </is>
      </c>
      <c r="J753" t="inlineStr">
        <is>
          <t>0</t>
        </is>
      </c>
      <c r="K753" t="inlineStr">
        <is>
          <t>Conference on the Breeding of Endangered Species (1972 : Jersey)</t>
        </is>
      </c>
      <c r="L753" t="inlineStr">
        <is>
          <t>London ; New York : Academic Press, 1975.</t>
        </is>
      </c>
      <c r="M753" t="inlineStr">
        <is>
          <t>1975</t>
        </is>
      </c>
      <c r="O753" t="inlineStr">
        <is>
          <t>eng</t>
        </is>
      </c>
      <c r="P753" t="inlineStr">
        <is>
          <t>enk</t>
        </is>
      </c>
      <c r="R753" t="inlineStr">
        <is>
          <t xml:space="preserve">QL </t>
        </is>
      </c>
      <c r="S753" t="n">
        <v>7</v>
      </c>
      <c r="T753" t="n">
        <v>7</v>
      </c>
      <c r="U753" t="inlineStr">
        <is>
          <t>2005-09-26</t>
        </is>
      </c>
      <c r="V753" t="inlineStr">
        <is>
          <t>2005-09-26</t>
        </is>
      </c>
      <c r="W753" t="inlineStr">
        <is>
          <t>1997-07-19</t>
        </is>
      </c>
      <c r="X753" t="inlineStr">
        <is>
          <t>1997-07-19</t>
        </is>
      </c>
      <c r="Y753" t="n">
        <v>328</v>
      </c>
      <c r="Z753" t="n">
        <v>217</v>
      </c>
      <c r="AA753" t="n">
        <v>251</v>
      </c>
      <c r="AB753" t="n">
        <v>2</v>
      </c>
      <c r="AC753" t="n">
        <v>2</v>
      </c>
      <c r="AD753" t="n">
        <v>5</v>
      </c>
      <c r="AE753" t="n">
        <v>5</v>
      </c>
      <c r="AF753" t="n">
        <v>2</v>
      </c>
      <c r="AG753" t="n">
        <v>2</v>
      </c>
      <c r="AH753" t="n">
        <v>2</v>
      </c>
      <c r="AI753" t="n">
        <v>2</v>
      </c>
      <c r="AJ753" t="n">
        <v>1</v>
      </c>
      <c r="AK753" t="n">
        <v>1</v>
      </c>
      <c r="AL753" t="n">
        <v>1</v>
      </c>
      <c r="AM753" t="n">
        <v>1</v>
      </c>
      <c r="AN753" t="n">
        <v>0</v>
      </c>
      <c r="AO753" t="n">
        <v>0</v>
      </c>
      <c r="AP753" t="inlineStr">
        <is>
          <t>No</t>
        </is>
      </c>
      <c r="AQ753" t="inlineStr">
        <is>
          <t>Yes</t>
        </is>
      </c>
      <c r="AR753">
        <f>HYPERLINK("http://catalog.hathitrust.org/Record/000704020","HathiTrust Record")</f>
        <v/>
      </c>
      <c r="AS753">
        <f>HYPERLINK("https://creighton-primo.hosted.exlibrisgroup.com/primo-explore/search?tab=default_tab&amp;search_scope=EVERYTHING&amp;vid=01CRU&amp;lang=en_US&amp;offset=0&amp;query=any,contains,991003899699702656","Catalog Record")</f>
        <v/>
      </c>
      <c r="AT753">
        <f>HYPERLINK("http://www.worldcat.org/oclc/1818802","WorldCat Record")</f>
        <v/>
      </c>
      <c r="AU753" t="inlineStr">
        <is>
          <t>2639340:eng</t>
        </is>
      </c>
      <c r="AV753" t="inlineStr">
        <is>
          <t>1818802</t>
        </is>
      </c>
      <c r="AW753" t="inlineStr">
        <is>
          <t>991003899699702656</t>
        </is>
      </c>
      <c r="AX753" t="inlineStr">
        <is>
          <t>991003899699702656</t>
        </is>
      </c>
      <c r="AY753" t="inlineStr">
        <is>
          <t>2271329620002656</t>
        </is>
      </c>
      <c r="AZ753" t="inlineStr">
        <is>
          <t>BOOK</t>
        </is>
      </c>
      <c r="BB753" t="inlineStr">
        <is>
          <t>9780124748507</t>
        </is>
      </c>
      <c r="BC753" t="inlineStr">
        <is>
          <t>32285002939162</t>
        </is>
      </c>
      <c r="BD753" t="inlineStr">
        <is>
          <t>893881801</t>
        </is>
      </c>
    </row>
    <row r="754">
      <c r="A754" t="inlineStr">
        <is>
          <t>No</t>
        </is>
      </c>
      <c r="B754" t="inlineStr">
        <is>
          <t>QL82 .M68 1997</t>
        </is>
      </c>
      <c r="C754" t="inlineStr">
        <is>
          <t>0                      QL 0082000M  68          1997</t>
        </is>
      </c>
      <c r="D754" t="inlineStr">
        <is>
          <t>Wildlife issues in a changing world / Michael P. Moulton, James Sanderson.</t>
        </is>
      </c>
      <c r="F754" t="inlineStr">
        <is>
          <t>No</t>
        </is>
      </c>
      <c r="G754" t="inlineStr">
        <is>
          <t>1</t>
        </is>
      </c>
      <c r="H754" t="inlineStr">
        <is>
          <t>No</t>
        </is>
      </c>
      <c r="I754" t="inlineStr">
        <is>
          <t>No</t>
        </is>
      </c>
      <c r="J754" t="inlineStr">
        <is>
          <t>0</t>
        </is>
      </c>
      <c r="K754" t="inlineStr">
        <is>
          <t>Moulton, Michael Platt.</t>
        </is>
      </c>
      <c r="L754" t="inlineStr">
        <is>
          <t>Delray Beach, Fla. : St. Lucie Press, 1997.</t>
        </is>
      </c>
      <c r="M754" t="inlineStr">
        <is>
          <t>1997</t>
        </is>
      </c>
      <c r="O754" t="inlineStr">
        <is>
          <t>eng</t>
        </is>
      </c>
      <c r="P754" t="inlineStr">
        <is>
          <t>flu</t>
        </is>
      </c>
      <c r="R754" t="inlineStr">
        <is>
          <t xml:space="preserve">QL </t>
        </is>
      </c>
      <c r="S754" t="n">
        <v>9</v>
      </c>
      <c r="T754" t="n">
        <v>9</v>
      </c>
      <c r="U754" t="inlineStr">
        <is>
          <t>2000-02-24</t>
        </is>
      </c>
      <c r="V754" t="inlineStr">
        <is>
          <t>2000-02-24</t>
        </is>
      </c>
      <c r="W754" t="inlineStr">
        <is>
          <t>1997-09-15</t>
        </is>
      </c>
      <c r="X754" t="inlineStr">
        <is>
          <t>1997-09-15</t>
        </is>
      </c>
      <c r="Y754" t="n">
        <v>167</v>
      </c>
      <c r="Z754" t="n">
        <v>131</v>
      </c>
      <c r="AA754" t="n">
        <v>357</v>
      </c>
      <c r="AB754" t="n">
        <v>3</v>
      </c>
      <c r="AC754" t="n">
        <v>4</v>
      </c>
      <c r="AD754" t="n">
        <v>6</v>
      </c>
      <c r="AE754" t="n">
        <v>18</v>
      </c>
      <c r="AF754" t="n">
        <v>2</v>
      </c>
      <c r="AG754" t="n">
        <v>5</v>
      </c>
      <c r="AH754" t="n">
        <v>1</v>
      </c>
      <c r="AI754" t="n">
        <v>2</v>
      </c>
      <c r="AJ754" t="n">
        <v>2</v>
      </c>
      <c r="AK754" t="n">
        <v>4</v>
      </c>
      <c r="AL754" t="n">
        <v>2</v>
      </c>
      <c r="AM754" t="n">
        <v>3</v>
      </c>
      <c r="AN754" t="n">
        <v>0</v>
      </c>
      <c r="AO754" t="n">
        <v>5</v>
      </c>
      <c r="AP754" t="inlineStr">
        <is>
          <t>No</t>
        </is>
      </c>
      <c r="AQ754" t="inlineStr">
        <is>
          <t>No</t>
        </is>
      </c>
      <c r="AS754">
        <f>HYPERLINK("https://creighton-primo.hosted.exlibrisgroup.com/primo-explore/search?tab=default_tab&amp;search_scope=EVERYTHING&amp;vid=01CRU&amp;lang=en_US&amp;offset=0&amp;query=any,contains,991002785829702656","Catalog Record")</f>
        <v/>
      </c>
      <c r="AT754">
        <f>HYPERLINK("http://www.worldcat.org/oclc/36578299","WorldCat Record")</f>
        <v/>
      </c>
      <c r="AU754" t="inlineStr">
        <is>
          <t>45462412:eng</t>
        </is>
      </c>
      <c r="AV754" t="inlineStr">
        <is>
          <t>36578299</t>
        </is>
      </c>
      <c r="AW754" t="inlineStr">
        <is>
          <t>991002785829702656</t>
        </is>
      </c>
      <c r="AX754" t="inlineStr">
        <is>
          <t>991002785829702656</t>
        </is>
      </c>
      <c r="AY754" t="inlineStr">
        <is>
          <t>2266764610002656</t>
        </is>
      </c>
      <c r="AZ754" t="inlineStr">
        <is>
          <t>BOOK</t>
        </is>
      </c>
      <c r="BB754" t="inlineStr">
        <is>
          <t>9781574440683</t>
        </is>
      </c>
      <c r="BC754" t="inlineStr">
        <is>
          <t>32285003175923</t>
        </is>
      </c>
      <c r="BD754" t="inlineStr">
        <is>
          <t>893604027</t>
        </is>
      </c>
    </row>
    <row r="755">
      <c r="A755" t="inlineStr">
        <is>
          <t>No</t>
        </is>
      </c>
      <c r="B755" t="inlineStr">
        <is>
          <t>QL82 .P34 1990</t>
        </is>
      </c>
      <c r="C755" t="inlineStr">
        <is>
          <t>0                      QL 0082000P  34          1990</t>
        </is>
      </c>
      <c r="D755" t="inlineStr">
        <is>
          <t>Smithsonian's new zoo / Jake Page.</t>
        </is>
      </c>
      <c r="F755" t="inlineStr">
        <is>
          <t>No</t>
        </is>
      </c>
      <c r="G755" t="inlineStr">
        <is>
          <t>1</t>
        </is>
      </c>
      <c r="H755" t="inlineStr">
        <is>
          <t>No</t>
        </is>
      </c>
      <c r="I755" t="inlineStr">
        <is>
          <t>No</t>
        </is>
      </c>
      <c r="J755" t="inlineStr">
        <is>
          <t>0</t>
        </is>
      </c>
      <c r="K755" t="inlineStr">
        <is>
          <t>Page, Jake.</t>
        </is>
      </c>
      <c r="L755" t="inlineStr">
        <is>
          <t>Washington, D.C. : Smithsonian Institution Press, c1990.</t>
        </is>
      </c>
      <c r="M755" t="inlineStr">
        <is>
          <t>1990</t>
        </is>
      </c>
      <c r="O755" t="inlineStr">
        <is>
          <t>eng</t>
        </is>
      </c>
      <c r="P755" t="inlineStr">
        <is>
          <t>dcu</t>
        </is>
      </c>
      <c r="R755" t="inlineStr">
        <is>
          <t xml:space="preserve">QL </t>
        </is>
      </c>
      <c r="S755" t="n">
        <v>8</v>
      </c>
      <c r="T755" t="n">
        <v>8</v>
      </c>
      <c r="U755" t="inlineStr">
        <is>
          <t>1993-12-03</t>
        </is>
      </c>
      <c r="V755" t="inlineStr">
        <is>
          <t>1993-12-03</t>
        </is>
      </c>
      <c r="W755" t="inlineStr">
        <is>
          <t>1990-08-01</t>
        </is>
      </c>
      <c r="X755" t="inlineStr">
        <is>
          <t>1990-08-01</t>
        </is>
      </c>
      <c r="Y755" t="n">
        <v>602</v>
      </c>
      <c r="Z755" t="n">
        <v>573</v>
      </c>
      <c r="AA755" t="n">
        <v>578</v>
      </c>
      <c r="AB755" t="n">
        <v>3</v>
      </c>
      <c r="AC755" t="n">
        <v>3</v>
      </c>
      <c r="AD755" t="n">
        <v>5</v>
      </c>
      <c r="AE755" t="n">
        <v>5</v>
      </c>
      <c r="AF755" t="n">
        <v>2</v>
      </c>
      <c r="AG755" t="n">
        <v>2</v>
      </c>
      <c r="AH755" t="n">
        <v>1</v>
      </c>
      <c r="AI755" t="n">
        <v>1</v>
      </c>
      <c r="AJ755" t="n">
        <v>1</v>
      </c>
      <c r="AK755" t="n">
        <v>1</v>
      </c>
      <c r="AL755" t="n">
        <v>1</v>
      </c>
      <c r="AM755" t="n">
        <v>1</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HYPERLINK("https://creighton-primo.hosted.exlibrisgroup.com/primo-explore/search?tab=default_tab&amp;search_scope=EVERYTHING&amp;vid=01CRU&amp;lang=en_US&amp;offset=0&amp;query=any,contains,991001602839702656","Catalog Record")</f>
        <v/>
      </c>
      <c r="AT755">
        <f>HYPERLINK("http://www.worldcat.org/oclc/20671857","WorldCat Record")</f>
        <v/>
      </c>
      <c r="AU755" t="inlineStr">
        <is>
          <t>48396890:eng</t>
        </is>
      </c>
      <c r="AV755" t="inlineStr">
        <is>
          <t>20671857</t>
        </is>
      </c>
      <c r="AW755" t="inlineStr">
        <is>
          <t>991001602839702656</t>
        </is>
      </c>
      <c r="AX755" t="inlineStr">
        <is>
          <t>991001602839702656</t>
        </is>
      </c>
      <c r="AY755" t="inlineStr">
        <is>
          <t>2260252680002656</t>
        </is>
      </c>
      <c r="AZ755" t="inlineStr">
        <is>
          <t>BOOK</t>
        </is>
      </c>
      <c r="BB755" t="inlineStr">
        <is>
          <t>9780874747331</t>
        </is>
      </c>
      <c r="BC755" t="inlineStr">
        <is>
          <t>32285000241470</t>
        </is>
      </c>
      <c r="BD755" t="inlineStr">
        <is>
          <t>893602703</t>
        </is>
      </c>
    </row>
    <row r="756">
      <c r="A756" t="inlineStr">
        <is>
          <t>No</t>
        </is>
      </c>
      <c r="B756" t="inlineStr">
        <is>
          <t>QL82 .P67 1995</t>
        </is>
      </c>
      <c r="C756" t="inlineStr">
        <is>
          <t>0                      QL 0082000P  67          1995</t>
        </is>
      </c>
      <c r="D756" t="inlineStr">
        <is>
          <t>Population management for survival and recovery : analytical methods and strategies in small population conservation / J.D. Ballou, M. Gilpin, and T.J. Foose, editors.</t>
        </is>
      </c>
      <c r="F756" t="inlineStr">
        <is>
          <t>No</t>
        </is>
      </c>
      <c r="G756" t="inlineStr">
        <is>
          <t>1</t>
        </is>
      </c>
      <c r="H756" t="inlineStr">
        <is>
          <t>No</t>
        </is>
      </c>
      <c r="I756" t="inlineStr">
        <is>
          <t>No</t>
        </is>
      </c>
      <c r="J756" t="inlineStr">
        <is>
          <t>0</t>
        </is>
      </c>
      <c r="L756" t="inlineStr">
        <is>
          <t>New York : Columbia University Press, c1995.</t>
        </is>
      </c>
      <c r="M756" t="inlineStr">
        <is>
          <t>1995</t>
        </is>
      </c>
      <c r="O756" t="inlineStr">
        <is>
          <t>eng</t>
        </is>
      </c>
      <c r="P756" t="inlineStr">
        <is>
          <t>nyu</t>
        </is>
      </c>
      <c r="Q756" t="inlineStr">
        <is>
          <t>Methods and cases in conservation science</t>
        </is>
      </c>
      <c r="R756" t="inlineStr">
        <is>
          <t xml:space="preserve">QL </t>
        </is>
      </c>
      <c r="S756" t="n">
        <v>11</v>
      </c>
      <c r="T756" t="n">
        <v>11</v>
      </c>
      <c r="U756" t="inlineStr">
        <is>
          <t>2005-09-26</t>
        </is>
      </c>
      <c r="V756" t="inlineStr">
        <is>
          <t>2005-09-26</t>
        </is>
      </c>
      <c r="W756" t="inlineStr">
        <is>
          <t>1996-04-22</t>
        </is>
      </c>
      <c r="X756" t="inlineStr">
        <is>
          <t>1996-04-22</t>
        </is>
      </c>
      <c r="Y756" t="n">
        <v>274</v>
      </c>
      <c r="Z756" t="n">
        <v>215</v>
      </c>
      <c r="AA756" t="n">
        <v>220</v>
      </c>
      <c r="AB756" t="n">
        <v>3</v>
      </c>
      <c r="AC756" t="n">
        <v>3</v>
      </c>
      <c r="AD756" t="n">
        <v>8</v>
      </c>
      <c r="AE756" t="n">
        <v>8</v>
      </c>
      <c r="AF756" t="n">
        <v>1</v>
      </c>
      <c r="AG756" t="n">
        <v>1</v>
      </c>
      <c r="AH756" t="n">
        <v>1</v>
      </c>
      <c r="AI756" t="n">
        <v>1</v>
      </c>
      <c r="AJ756" t="n">
        <v>5</v>
      </c>
      <c r="AK756" t="n">
        <v>5</v>
      </c>
      <c r="AL756" t="n">
        <v>2</v>
      </c>
      <c r="AM756" t="n">
        <v>2</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HYPERLINK("https://creighton-primo.hosted.exlibrisgroup.com/primo-explore/search?tab=default_tab&amp;search_scope=EVERYTHING&amp;vid=01CRU&amp;lang=en_US&amp;offset=0&amp;query=any,contains,991002402269702656","Catalog Record")</f>
        <v/>
      </c>
      <c r="AT756">
        <f>HYPERLINK("http://www.worldcat.org/oclc/31239299","WorldCat Record")</f>
        <v/>
      </c>
      <c r="AU756" t="inlineStr">
        <is>
          <t>836963420:eng</t>
        </is>
      </c>
      <c r="AV756" t="inlineStr">
        <is>
          <t>31239299</t>
        </is>
      </c>
      <c r="AW756" t="inlineStr">
        <is>
          <t>991002402269702656</t>
        </is>
      </c>
      <c r="AX756" t="inlineStr">
        <is>
          <t>991002402269702656</t>
        </is>
      </c>
      <c r="AY756" t="inlineStr">
        <is>
          <t>2265743840002656</t>
        </is>
      </c>
      <c r="AZ756" t="inlineStr">
        <is>
          <t>BOOK</t>
        </is>
      </c>
      <c r="BB756" t="inlineStr">
        <is>
          <t>9780231101769</t>
        </is>
      </c>
      <c r="BC756" t="inlineStr">
        <is>
          <t>32285002155611</t>
        </is>
      </c>
      <c r="BD756" t="inlineStr">
        <is>
          <t>893427560</t>
        </is>
      </c>
    </row>
    <row r="757">
      <c r="A757" t="inlineStr">
        <is>
          <t>No</t>
        </is>
      </c>
      <c r="B757" t="inlineStr">
        <is>
          <t>QL82 .T88 1998</t>
        </is>
      </c>
      <c r="C757" t="inlineStr">
        <is>
          <t>0                      QL 0082000T  88          1998</t>
        </is>
      </c>
      <c r="D757" t="inlineStr">
        <is>
          <t>Losing strands in the web of life : vertebrate declines and the conservation of biological diversity / John Tuxill ; Jane A. Peterson, editor.</t>
        </is>
      </c>
      <c r="F757" t="inlineStr">
        <is>
          <t>No</t>
        </is>
      </c>
      <c r="G757" t="inlineStr">
        <is>
          <t>1</t>
        </is>
      </c>
      <c r="H757" t="inlineStr">
        <is>
          <t>No</t>
        </is>
      </c>
      <c r="I757" t="inlineStr">
        <is>
          <t>No</t>
        </is>
      </c>
      <c r="J757" t="inlineStr">
        <is>
          <t>0</t>
        </is>
      </c>
      <c r="K757" t="inlineStr">
        <is>
          <t>Tuxill, John D.</t>
        </is>
      </c>
      <c r="L757" t="inlineStr">
        <is>
          <t>Washington, D.C. : Worldwatch Institute, c1998.</t>
        </is>
      </c>
      <c r="M757" t="inlineStr">
        <is>
          <t>1998</t>
        </is>
      </c>
      <c r="O757" t="inlineStr">
        <is>
          <t>eng</t>
        </is>
      </c>
      <c r="P757" t="inlineStr">
        <is>
          <t>dcu</t>
        </is>
      </c>
      <c r="Q757" t="inlineStr">
        <is>
          <t>Worldwatch paper ; 141</t>
        </is>
      </c>
      <c r="R757" t="inlineStr">
        <is>
          <t xml:space="preserve">QL </t>
        </is>
      </c>
      <c r="S757" t="n">
        <v>1</v>
      </c>
      <c r="T757" t="n">
        <v>1</v>
      </c>
      <c r="U757" t="inlineStr">
        <is>
          <t>2005-09-30</t>
        </is>
      </c>
      <c r="V757" t="inlineStr">
        <is>
          <t>2005-09-30</t>
        </is>
      </c>
      <c r="W757" t="inlineStr">
        <is>
          <t>1998-07-29</t>
        </is>
      </c>
      <c r="X757" t="inlineStr">
        <is>
          <t>1998-07-29</t>
        </is>
      </c>
      <c r="Y757" t="n">
        <v>532</v>
      </c>
      <c r="Z757" t="n">
        <v>456</v>
      </c>
      <c r="AA757" t="n">
        <v>464</v>
      </c>
      <c r="AB757" t="n">
        <v>3</v>
      </c>
      <c r="AC757" t="n">
        <v>3</v>
      </c>
      <c r="AD757" t="n">
        <v>20</v>
      </c>
      <c r="AE757" t="n">
        <v>20</v>
      </c>
      <c r="AF757" t="n">
        <v>7</v>
      </c>
      <c r="AG757" t="n">
        <v>7</v>
      </c>
      <c r="AH757" t="n">
        <v>4</v>
      </c>
      <c r="AI757" t="n">
        <v>4</v>
      </c>
      <c r="AJ757" t="n">
        <v>9</v>
      </c>
      <c r="AK757" t="n">
        <v>9</v>
      </c>
      <c r="AL757" t="n">
        <v>2</v>
      </c>
      <c r="AM757" t="n">
        <v>2</v>
      </c>
      <c r="AN757" t="n">
        <v>2</v>
      </c>
      <c r="AO757" t="n">
        <v>2</v>
      </c>
      <c r="AP757" t="inlineStr">
        <is>
          <t>No</t>
        </is>
      </c>
      <c r="AQ757" t="inlineStr">
        <is>
          <t>Yes</t>
        </is>
      </c>
      <c r="AR757">
        <f>HYPERLINK("http://catalog.hathitrust.org/Record/003321719","HathiTrust Record")</f>
        <v/>
      </c>
      <c r="AS757">
        <f>HYPERLINK("https://creighton-primo.hosted.exlibrisgroup.com/primo-explore/search?tab=default_tab&amp;search_scope=EVERYTHING&amp;vid=01CRU&amp;lang=en_US&amp;offset=0&amp;query=any,contains,991002944839702656","Catalog Record")</f>
        <v/>
      </c>
      <c r="AT757">
        <f>HYPERLINK("http://www.worldcat.org/oclc/39212553","WorldCat Record")</f>
        <v/>
      </c>
      <c r="AU757" t="inlineStr">
        <is>
          <t>41699297:eng</t>
        </is>
      </c>
      <c r="AV757" t="inlineStr">
        <is>
          <t>39212553</t>
        </is>
      </c>
      <c r="AW757" t="inlineStr">
        <is>
          <t>991002944839702656</t>
        </is>
      </c>
      <c r="AX757" t="inlineStr">
        <is>
          <t>991002944839702656</t>
        </is>
      </c>
      <c r="AY757" t="inlineStr">
        <is>
          <t>2269147810002656</t>
        </is>
      </c>
      <c r="AZ757" t="inlineStr">
        <is>
          <t>BOOK</t>
        </is>
      </c>
      <c r="BB757" t="inlineStr">
        <is>
          <t>9781878071439</t>
        </is>
      </c>
      <c r="BC757" t="inlineStr">
        <is>
          <t>32285003447454</t>
        </is>
      </c>
      <c r="BD757" t="inlineStr">
        <is>
          <t>893233634</t>
        </is>
      </c>
    </row>
    <row r="758">
      <c r="A758" t="inlineStr">
        <is>
          <t>No</t>
        </is>
      </c>
      <c r="B758" t="inlineStr">
        <is>
          <t>QL84.2 .D57 1989</t>
        </is>
      </c>
      <c r="C758" t="inlineStr">
        <is>
          <t>0                      QL 0084200D  57          1989</t>
        </is>
      </c>
      <c r="D758" t="inlineStr">
        <is>
          <t>The endangered kingdom : the struggle to save America's wildlife / Roger L. DiSilvestro.</t>
        </is>
      </c>
      <c r="F758" t="inlineStr">
        <is>
          <t>No</t>
        </is>
      </c>
      <c r="G758" t="inlineStr">
        <is>
          <t>1</t>
        </is>
      </c>
      <c r="H758" t="inlineStr">
        <is>
          <t>No</t>
        </is>
      </c>
      <c r="I758" t="inlineStr">
        <is>
          <t>No</t>
        </is>
      </c>
      <c r="J758" t="inlineStr">
        <is>
          <t>0</t>
        </is>
      </c>
      <c r="K758" t="inlineStr">
        <is>
          <t>DiSilvestro, Roger L.</t>
        </is>
      </c>
      <c r="L758" t="inlineStr">
        <is>
          <t>New York : Wiley, c1989.</t>
        </is>
      </c>
      <c r="M758" t="inlineStr">
        <is>
          <t>1989</t>
        </is>
      </c>
      <c r="O758" t="inlineStr">
        <is>
          <t>eng</t>
        </is>
      </c>
      <c r="P758" t="inlineStr">
        <is>
          <t>nyu</t>
        </is>
      </c>
      <c r="Q758" t="inlineStr">
        <is>
          <t>Wiley science editions</t>
        </is>
      </c>
      <c r="R758" t="inlineStr">
        <is>
          <t xml:space="preserve">QL </t>
        </is>
      </c>
      <c r="S758" t="n">
        <v>37</v>
      </c>
      <c r="T758" t="n">
        <v>37</v>
      </c>
      <c r="U758" t="inlineStr">
        <is>
          <t>2005-09-30</t>
        </is>
      </c>
      <c r="V758" t="inlineStr">
        <is>
          <t>2005-09-30</t>
        </is>
      </c>
      <c r="W758" t="inlineStr">
        <is>
          <t>1990-06-18</t>
        </is>
      </c>
      <c r="X758" t="inlineStr">
        <is>
          <t>1990-06-18</t>
        </is>
      </c>
      <c r="Y758" t="n">
        <v>1368</v>
      </c>
      <c r="Z758" t="n">
        <v>1299</v>
      </c>
      <c r="AA758" t="n">
        <v>1351</v>
      </c>
      <c r="AB758" t="n">
        <v>8</v>
      </c>
      <c r="AC758" t="n">
        <v>8</v>
      </c>
      <c r="AD758" t="n">
        <v>35</v>
      </c>
      <c r="AE758" t="n">
        <v>36</v>
      </c>
      <c r="AF758" t="n">
        <v>14</v>
      </c>
      <c r="AG758" t="n">
        <v>15</v>
      </c>
      <c r="AH758" t="n">
        <v>8</v>
      </c>
      <c r="AI758" t="n">
        <v>8</v>
      </c>
      <c r="AJ758" t="n">
        <v>11</v>
      </c>
      <c r="AK758" t="n">
        <v>12</v>
      </c>
      <c r="AL758" t="n">
        <v>7</v>
      </c>
      <c r="AM758" t="n">
        <v>7</v>
      </c>
      <c r="AN758" t="n">
        <v>1</v>
      </c>
      <c r="AO758" t="n">
        <v>1</v>
      </c>
      <c r="AP758" t="inlineStr">
        <is>
          <t>No</t>
        </is>
      </c>
      <c r="AQ758" t="inlineStr">
        <is>
          <t>Yes</t>
        </is>
      </c>
      <c r="AR758">
        <f>HYPERLINK("http://catalog.hathitrust.org/Record/001815058","HathiTrust Record")</f>
        <v/>
      </c>
      <c r="AS758">
        <f>HYPERLINK("https://creighton-primo.hosted.exlibrisgroup.com/primo-explore/search?tab=default_tab&amp;search_scope=EVERYTHING&amp;vid=01CRU&amp;lang=en_US&amp;offset=0&amp;query=any,contains,991001398829702656","Catalog Record")</f>
        <v/>
      </c>
      <c r="AT758">
        <f>HYPERLINK("http://www.worldcat.org/oclc/18814766","WorldCat Record")</f>
        <v/>
      </c>
      <c r="AU758" t="inlineStr">
        <is>
          <t>18427113:eng</t>
        </is>
      </c>
      <c r="AV758" t="inlineStr">
        <is>
          <t>18814766</t>
        </is>
      </c>
      <c r="AW758" t="inlineStr">
        <is>
          <t>991001398829702656</t>
        </is>
      </c>
      <c r="AX758" t="inlineStr">
        <is>
          <t>991001398829702656</t>
        </is>
      </c>
      <c r="AY758" t="inlineStr">
        <is>
          <t>2262519670002656</t>
        </is>
      </c>
      <c r="AZ758" t="inlineStr">
        <is>
          <t>BOOK</t>
        </is>
      </c>
      <c r="BB758" t="inlineStr">
        <is>
          <t>9780471606000</t>
        </is>
      </c>
      <c r="BC758" t="inlineStr">
        <is>
          <t>32285000177930</t>
        </is>
      </c>
      <c r="BD758" t="inlineStr">
        <is>
          <t>893340411</t>
        </is>
      </c>
    </row>
    <row r="759">
      <c r="A759" t="inlineStr">
        <is>
          <t>No</t>
        </is>
      </c>
      <c r="B759" t="inlineStr">
        <is>
          <t>QL84.2 .E55 1994</t>
        </is>
      </c>
      <c r="C759" t="inlineStr">
        <is>
          <t>0                      QL 0084200E  55          1994</t>
        </is>
      </c>
      <c r="D759" t="inlineStr">
        <is>
          <t>Endangered species recovery : finding the lessons, improving the process / edited by Tim W. Clark, Richard P. Reading, Alice L. Clarke.</t>
        </is>
      </c>
      <c r="F759" t="inlineStr">
        <is>
          <t>No</t>
        </is>
      </c>
      <c r="G759" t="inlineStr">
        <is>
          <t>1</t>
        </is>
      </c>
      <c r="H759" t="inlineStr">
        <is>
          <t>No</t>
        </is>
      </c>
      <c r="I759" t="inlineStr">
        <is>
          <t>No</t>
        </is>
      </c>
      <c r="J759" t="inlineStr">
        <is>
          <t>0</t>
        </is>
      </c>
      <c r="L759" t="inlineStr">
        <is>
          <t>Washington, D.C. : Island Press, c1994.</t>
        </is>
      </c>
      <c r="M759" t="inlineStr">
        <is>
          <t>1994</t>
        </is>
      </c>
      <c r="O759" t="inlineStr">
        <is>
          <t>eng</t>
        </is>
      </c>
      <c r="P759" t="inlineStr">
        <is>
          <t>dcu</t>
        </is>
      </c>
      <c r="R759" t="inlineStr">
        <is>
          <t xml:space="preserve">QL </t>
        </is>
      </c>
      <c r="S759" t="n">
        <v>24</v>
      </c>
      <c r="T759" t="n">
        <v>24</v>
      </c>
      <c r="U759" t="inlineStr">
        <is>
          <t>2005-09-30</t>
        </is>
      </c>
      <c r="V759" t="inlineStr">
        <is>
          <t>2005-09-30</t>
        </is>
      </c>
      <c r="W759" t="inlineStr">
        <is>
          <t>1995-04-17</t>
        </is>
      </c>
      <c r="X759" t="inlineStr">
        <is>
          <t>1995-04-17</t>
        </is>
      </c>
      <c r="Y759" t="n">
        <v>637</v>
      </c>
      <c r="Z759" t="n">
        <v>567</v>
      </c>
      <c r="AA759" t="n">
        <v>573</v>
      </c>
      <c r="AB759" t="n">
        <v>4</v>
      </c>
      <c r="AC759" t="n">
        <v>4</v>
      </c>
      <c r="AD759" t="n">
        <v>26</v>
      </c>
      <c r="AE759" t="n">
        <v>26</v>
      </c>
      <c r="AF759" t="n">
        <v>8</v>
      </c>
      <c r="AG759" t="n">
        <v>8</v>
      </c>
      <c r="AH759" t="n">
        <v>4</v>
      </c>
      <c r="AI759" t="n">
        <v>4</v>
      </c>
      <c r="AJ759" t="n">
        <v>13</v>
      </c>
      <c r="AK759" t="n">
        <v>13</v>
      </c>
      <c r="AL759" t="n">
        <v>3</v>
      </c>
      <c r="AM759" t="n">
        <v>3</v>
      </c>
      <c r="AN759" t="n">
        <v>2</v>
      </c>
      <c r="AO759" t="n">
        <v>2</v>
      </c>
      <c r="AP759" t="inlineStr">
        <is>
          <t>No</t>
        </is>
      </c>
      <c r="AQ759" t="inlineStr">
        <is>
          <t>Yes</t>
        </is>
      </c>
      <c r="AR759">
        <f>HYPERLINK("http://catalog.hathitrust.org/Record/002898778","HathiTrust Record")</f>
        <v/>
      </c>
      <c r="AS759">
        <f>HYPERLINK("https://creighton-primo.hosted.exlibrisgroup.com/primo-explore/search?tab=default_tab&amp;search_scope=EVERYTHING&amp;vid=01CRU&amp;lang=en_US&amp;offset=0&amp;query=any,contains,991002340109702656","Catalog Record")</f>
        <v/>
      </c>
      <c r="AT759">
        <f>HYPERLINK("http://www.worldcat.org/oclc/30473323","WorldCat Record")</f>
        <v/>
      </c>
      <c r="AU759" t="inlineStr">
        <is>
          <t>807351337:eng</t>
        </is>
      </c>
      <c r="AV759" t="inlineStr">
        <is>
          <t>30473323</t>
        </is>
      </c>
      <c r="AW759" t="inlineStr">
        <is>
          <t>991002340109702656</t>
        </is>
      </c>
      <c r="AX759" t="inlineStr">
        <is>
          <t>991002340109702656</t>
        </is>
      </c>
      <c r="AY759" t="inlineStr">
        <is>
          <t>2262235880002656</t>
        </is>
      </c>
      <c r="AZ759" t="inlineStr">
        <is>
          <t>BOOK</t>
        </is>
      </c>
      <c r="BB759" t="inlineStr">
        <is>
          <t>9781559632713</t>
        </is>
      </c>
      <c r="BC759" t="inlineStr">
        <is>
          <t>32285002019015</t>
        </is>
      </c>
      <c r="BD759" t="inlineStr">
        <is>
          <t>893328952</t>
        </is>
      </c>
    </row>
    <row r="760">
      <c r="A760" t="inlineStr">
        <is>
          <t>No</t>
        </is>
      </c>
      <c r="B760" t="inlineStr">
        <is>
          <t>QL84.2 .T73</t>
        </is>
      </c>
      <c r="C760" t="inlineStr">
        <is>
          <t>0                      QL 0084200T  73</t>
        </is>
      </c>
      <c r="D760" t="inlineStr">
        <is>
          <t>An American crusade for wildlife / by James B. Trefethen ; drawings by Peter Corbin.</t>
        </is>
      </c>
      <c r="F760" t="inlineStr">
        <is>
          <t>No</t>
        </is>
      </c>
      <c r="G760" t="inlineStr">
        <is>
          <t>1</t>
        </is>
      </c>
      <c r="H760" t="inlineStr">
        <is>
          <t>No</t>
        </is>
      </c>
      <c r="I760" t="inlineStr">
        <is>
          <t>No</t>
        </is>
      </c>
      <c r="J760" t="inlineStr">
        <is>
          <t>0</t>
        </is>
      </c>
      <c r="K760" t="inlineStr">
        <is>
          <t>Trefethen, James B.</t>
        </is>
      </c>
      <c r="L760" t="inlineStr">
        <is>
          <t>New York : Winchester Press, [1975]</t>
        </is>
      </c>
      <c r="M760" t="inlineStr">
        <is>
          <t>1975</t>
        </is>
      </c>
      <c r="O760" t="inlineStr">
        <is>
          <t>eng</t>
        </is>
      </c>
      <c r="P760" t="inlineStr">
        <is>
          <t>nyu</t>
        </is>
      </c>
      <c r="R760" t="inlineStr">
        <is>
          <t xml:space="preserve">QL </t>
        </is>
      </c>
      <c r="S760" t="n">
        <v>7</v>
      </c>
      <c r="T760" t="n">
        <v>7</v>
      </c>
      <c r="U760" t="inlineStr">
        <is>
          <t>2000-04-10</t>
        </is>
      </c>
      <c r="V760" t="inlineStr">
        <is>
          <t>2000-04-10</t>
        </is>
      </c>
      <c r="W760" t="inlineStr">
        <is>
          <t>1992-12-03</t>
        </is>
      </c>
      <c r="X760" t="inlineStr">
        <is>
          <t>1992-12-03</t>
        </is>
      </c>
      <c r="Y760" t="n">
        <v>608</v>
      </c>
      <c r="Z760" t="n">
        <v>587</v>
      </c>
      <c r="AA760" t="n">
        <v>602</v>
      </c>
      <c r="AB760" t="n">
        <v>5</v>
      </c>
      <c r="AC760" t="n">
        <v>5</v>
      </c>
      <c r="AD760" t="n">
        <v>20</v>
      </c>
      <c r="AE760" t="n">
        <v>21</v>
      </c>
      <c r="AF760" t="n">
        <v>11</v>
      </c>
      <c r="AG760" t="n">
        <v>12</v>
      </c>
      <c r="AH760" t="n">
        <v>6</v>
      </c>
      <c r="AI760" t="n">
        <v>6</v>
      </c>
      <c r="AJ760" t="n">
        <v>6</v>
      </c>
      <c r="AK760" t="n">
        <v>6</v>
      </c>
      <c r="AL760" t="n">
        <v>2</v>
      </c>
      <c r="AM760" t="n">
        <v>2</v>
      </c>
      <c r="AN760" t="n">
        <v>0</v>
      </c>
      <c r="AO760" t="n">
        <v>0</v>
      </c>
      <c r="AP760" t="inlineStr">
        <is>
          <t>No</t>
        </is>
      </c>
      <c r="AQ760" t="inlineStr">
        <is>
          <t>Yes</t>
        </is>
      </c>
      <c r="AR760">
        <f>HYPERLINK("http://catalog.hathitrust.org/Record/004413399","HathiTrust Record")</f>
        <v/>
      </c>
      <c r="AS760">
        <f>HYPERLINK("https://creighton-primo.hosted.exlibrisgroup.com/primo-explore/search?tab=default_tab&amp;search_scope=EVERYTHING&amp;vid=01CRU&amp;lang=en_US&amp;offset=0&amp;query=any,contains,991003784479702656","Catalog Record")</f>
        <v/>
      </c>
      <c r="AT760">
        <f>HYPERLINK("http://www.worldcat.org/oclc/1500073","WorldCat Record")</f>
        <v/>
      </c>
      <c r="AU760" t="inlineStr">
        <is>
          <t>29250:eng</t>
        </is>
      </c>
      <c r="AV760" t="inlineStr">
        <is>
          <t>1500073</t>
        </is>
      </c>
      <c r="AW760" t="inlineStr">
        <is>
          <t>991003784479702656</t>
        </is>
      </c>
      <c r="AX760" t="inlineStr">
        <is>
          <t>991003784479702656</t>
        </is>
      </c>
      <c r="AY760" t="inlineStr">
        <is>
          <t>2260428430002656</t>
        </is>
      </c>
      <c r="AZ760" t="inlineStr">
        <is>
          <t>BOOK</t>
        </is>
      </c>
      <c r="BB760" t="inlineStr">
        <is>
          <t>9780876912072</t>
        </is>
      </c>
      <c r="BC760" t="inlineStr">
        <is>
          <t>32285001411940</t>
        </is>
      </c>
      <c r="BD760" t="inlineStr">
        <is>
          <t>893611447</t>
        </is>
      </c>
    </row>
    <row r="761">
      <c r="A761" t="inlineStr">
        <is>
          <t>No</t>
        </is>
      </c>
      <c r="B761" t="inlineStr">
        <is>
          <t>QL84.2 .Y26 1982</t>
        </is>
      </c>
      <c r="C761" t="inlineStr">
        <is>
          <t>0                      QL 0084200Y  26          1982</t>
        </is>
      </c>
      <c r="D761" t="inlineStr">
        <is>
          <t>Prohibitive policy : implementing the Federal Endangered Species Act / Steven Lewis Yaffee.</t>
        </is>
      </c>
      <c r="F761" t="inlineStr">
        <is>
          <t>No</t>
        </is>
      </c>
      <c r="G761" t="inlineStr">
        <is>
          <t>1</t>
        </is>
      </c>
      <c r="H761" t="inlineStr">
        <is>
          <t>No</t>
        </is>
      </c>
      <c r="I761" t="inlineStr">
        <is>
          <t>No</t>
        </is>
      </c>
      <c r="J761" t="inlineStr">
        <is>
          <t>0</t>
        </is>
      </c>
      <c r="K761" t="inlineStr">
        <is>
          <t>Yaffee, Steven Lewis.</t>
        </is>
      </c>
      <c r="L761" t="inlineStr">
        <is>
          <t>Cambridge, Mass. : MIT Press, c1982.</t>
        </is>
      </c>
      <c r="M761" t="inlineStr">
        <is>
          <t>1982</t>
        </is>
      </c>
      <c r="O761" t="inlineStr">
        <is>
          <t>eng</t>
        </is>
      </c>
      <c r="P761" t="inlineStr">
        <is>
          <t>mau</t>
        </is>
      </c>
      <c r="Q761" t="inlineStr">
        <is>
          <t>MIT studies in American politics and public policy ; 9</t>
        </is>
      </c>
      <c r="R761" t="inlineStr">
        <is>
          <t xml:space="preserve">QL </t>
        </is>
      </c>
      <c r="S761" t="n">
        <v>26</v>
      </c>
      <c r="T761" t="n">
        <v>26</v>
      </c>
      <c r="U761" t="inlineStr">
        <is>
          <t>2001-11-12</t>
        </is>
      </c>
      <c r="V761" t="inlineStr">
        <is>
          <t>2001-11-12</t>
        </is>
      </c>
      <c r="W761" t="inlineStr">
        <is>
          <t>1995-01-25</t>
        </is>
      </c>
      <c r="X761" t="inlineStr">
        <is>
          <t>1995-01-25</t>
        </is>
      </c>
      <c r="Y761" t="n">
        <v>436</v>
      </c>
      <c r="Z761" t="n">
        <v>388</v>
      </c>
      <c r="AA761" t="n">
        <v>395</v>
      </c>
      <c r="AB761" t="n">
        <v>4</v>
      </c>
      <c r="AC761" t="n">
        <v>4</v>
      </c>
      <c r="AD761" t="n">
        <v>20</v>
      </c>
      <c r="AE761" t="n">
        <v>20</v>
      </c>
      <c r="AF761" t="n">
        <v>2</v>
      </c>
      <c r="AG761" t="n">
        <v>2</v>
      </c>
      <c r="AH761" t="n">
        <v>3</v>
      </c>
      <c r="AI761" t="n">
        <v>3</v>
      </c>
      <c r="AJ761" t="n">
        <v>2</v>
      </c>
      <c r="AK761" t="n">
        <v>2</v>
      </c>
      <c r="AL761" t="n">
        <v>2</v>
      </c>
      <c r="AM761" t="n">
        <v>2</v>
      </c>
      <c r="AN761" t="n">
        <v>12</v>
      </c>
      <c r="AO761" t="n">
        <v>12</v>
      </c>
      <c r="AP761" t="inlineStr">
        <is>
          <t>No</t>
        </is>
      </c>
      <c r="AQ761" t="inlineStr">
        <is>
          <t>Yes</t>
        </is>
      </c>
      <c r="AR761">
        <f>HYPERLINK("http://catalog.hathitrust.org/Record/000103553","HathiTrust Record")</f>
        <v/>
      </c>
      <c r="AS761">
        <f>HYPERLINK("https://creighton-primo.hosted.exlibrisgroup.com/primo-explore/search?tab=default_tab&amp;search_scope=EVERYTHING&amp;vid=01CRU&amp;lang=en_US&amp;offset=0&amp;query=any,contains,991005213009702656","Catalog Record")</f>
        <v/>
      </c>
      <c r="AT761">
        <f>HYPERLINK("http://www.worldcat.org/oclc/8170945","WorldCat Record")</f>
        <v/>
      </c>
      <c r="AU761" t="inlineStr">
        <is>
          <t>292545952:eng</t>
        </is>
      </c>
      <c r="AV761" t="inlineStr">
        <is>
          <t>8170945</t>
        </is>
      </c>
      <c r="AW761" t="inlineStr">
        <is>
          <t>991005213009702656</t>
        </is>
      </c>
      <c r="AX761" t="inlineStr">
        <is>
          <t>991005213009702656</t>
        </is>
      </c>
      <c r="AY761" t="inlineStr">
        <is>
          <t>2256872800002656</t>
        </is>
      </c>
      <c r="AZ761" t="inlineStr">
        <is>
          <t>BOOK</t>
        </is>
      </c>
      <c r="BB761" t="inlineStr">
        <is>
          <t>9780262240246</t>
        </is>
      </c>
      <c r="BC761" t="inlineStr">
        <is>
          <t>32285001778876</t>
        </is>
      </c>
      <c r="BD761" t="inlineStr">
        <is>
          <t>893338735</t>
        </is>
      </c>
    </row>
    <row r="762">
      <c r="A762" t="inlineStr">
        <is>
          <t>No</t>
        </is>
      </c>
      <c r="B762" t="inlineStr">
        <is>
          <t>QL84.5.B93 R33 2002</t>
        </is>
      </c>
      <c r="C762" t="inlineStr">
        <is>
          <t>0                      QL 0084500B  93                 R  33          2002</t>
        </is>
      </c>
      <c r="D762" t="inlineStr">
        <is>
          <t>Beyond the last village : a journey of discovery in Asia's forbidden wilderness / Alan Rabinowitz.</t>
        </is>
      </c>
      <c r="F762" t="inlineStr">
        <is>
          <t>No</t>
        </is>
      </c>
      <c r="G762" t="inlineStr">
        <is>
          <t>1</t>
        </is>
      </c>
      <c r="H762" t="inlineStr">
        <is>
          <t>No</t>
        </is>
      </c>
      <c r="I762" t="inlineStr">
        <is>
          <t>No</t>
        </is>
      </c>
      <c r="J762" t="inlineStr">
        <is>
          <t>0</t>
        </is>
      </c>
      <c r="K762" t="inlineStr">
        <is>
          <t>Rabinowitz, Alan, 1953-2018.</t>
        </is>
      </c>
      <c r="L762" t="inlineStr">
        <is>
          <t>London : Aurum, 2002.</t>
        </is>
      </c>
      <c r="M762" t="inlineStr">
        <is>
          <t>2002</t>
        </is>
      </c>
      <c r="O762" t="inlineStr">
        <is>
          <t>eng</t>
        </is>
      </c>
      <c r="P762" t="inlineStr">
        <is>
          <t>enk</t>
        </is>
      </c>
      <c r="R762" t="inlineStr">
        <is>
          <t xml:space="preserve">QL </t>
        </is>
      </c>
      <c r="S762" t="n">
        <v>1</v>
      </c>
      <c r="T762" t="n">
        <v>1</v>
      </c>
      <c r="U762" t="inlineStr">
        <is>
          <t>2003-09-23</t>
        </is>
      </c>
      <c r="V762" t="inlineStr">
        <is>
          <t>2003-09-23</t>
        </is>
      </c>
      <c r="W762" t="inlineStr">
        <is>
          <t>2002-04-04</t>
        </is>
      </c>
      <c r="X762" t="inlineStr">
        <is>
          <t>2002-04-04</t>
        </is>
      </c>
      <c r="Y762" t="n">
        <v>43</v>
      </c>
      <c r="Z762" t="n">
        <v>3</v>
      </c>
      <c r="AA762" t="n">
        <v>656</v>
      </c>
      <c r="AB762" t="n">
        <v>1</v>
      </c>
      <c r="AC762" t="n">
        <v>3</v>
      </c>
      <c r="AD762" t="n">
        <v>0</v>
      </c>
      <c r="AE762" t="n">
        <v>14</v>
      </c>
      <c r="AF762" t="n">
        <v>0</v>
      </c>
      <c r="AG762" t="n">
        <v>6</v>
      </c>
      <c r="AH762" t="n">
        <v>0</v>
      </c>
      <c r="AI762" t="n">
        <v>3</v>
      </c>
      <c r="AJ762" t="n">
        <v>0</v>
      </c>
      <c r="AK762" t="n">
        <v>7</v>
      </c>
      <c r="AL762" t="n">
        <v>0</v>
      </c>
      <c r="AM762" t="n">
        <v>2</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HYPERLINK("https://creighton-primo.hosted.exlibrisgroup.com/primo-explore/search?tab=default_tab&amp;search_scope=EVERYTHING&amp;vid=01CRU&amp;lang=en_US&amp;offset=0&amp;query=any,contains,991003731329702656","Catalog Record")</f>
        <v/>
      </c>
      <c r="AT762">
        <f>HYPERLINK("http://www.worldcat.org/oclc/48467100","WorldCat Record")</f>
        <v/>
      </c>
      <c r="AU762" t="inlineStr">
        <is>
          <t>4176958:eng</t>
        </is>
      </c>
      <c r="AV762" t="inlineStr">
        <is>
          <t>48467100</t>
        </is>
      </c>
      <c r="AW762" t="inlineStr">
        <is>
          <t>991003731329702656</t>
        </is>
      </c>
      <c r="AX762" t="inlineStr">
        <is>
          <t>991003731329702656</t>
        </is>
      </c>
      <c r="AY762" t="inlineStr">
        <is>
          <t>2266786580002656</t>
        </is>
      </c>
      <c r="AZ762" t="inlineStr">
        <is>
          <t>BOOK</t>
        </is>
      </c>
      <c r="BB762" t="inlineStr">
        <is>
          <t>9781854108197</t>
        </is>
      </c>
      <c r="BC762" t="inlineStr">
        <is>
          <t>32285004476775</t>
        </is>
      </c>
      <c r="BD762" t="inlineStr">
        <is>
          <t>893445811</t>
        </is>
      </c>
    </row>
    <row r="763">
      <c r="A763" t="inlineStr">
        <is>
          <t>No</t>
        </is>
      </c>
      <c r="B763" t="inlineStr">
        <is>
          <t>QL84.6.A1 V65 1993</t>
        </is>
      </c>
      <c r="C763" t="inlineStr">
        <is>
          <t>0                      QL 0084600A  1                  V  65          1993</t>
        </is>
      </c>
      <c r="D763" t="inlineStr">
        <is>
          <t>Voices from Africa : local perspectives on conservation / edited by Dale Lewis and Nick Carter.</t>
        </is>
      </c>
      <c r="F763" t="inlineStr">
        <is>
          <t>No</t>
        </is>
      </c>
      <c r="G763" t="inlineStr">
        <is>
          <t>1</t>
        </is>
      </c>
      <c r="H763" t="inlineStr">
        <is>
          <t>No</t>
        </is>
      </c>
      <c r="I763" t="inlineStr">
        <is>
          <t>No</t>
        </is>
      </c>
      <c r="J763" t="inlineStr">
        <is>
          <t>0</t>
        </is>
      </c>
      <c r="L763" t="inlineStr">
        <is>
          <t>Washington, D.C. : World Wildlife Fund, 1993.</t>
        </is>
      </c>
      <c r="M763" t="inlineStr">
        <is>
          <t>1993</t>
        </is>
      </c>
      <c r="O763" t="inlineStr">
        <is>
          <t>eng</t>
        </is>
      </c>
      <c r="P763" t="inlineStr">
        <is>
          <t>dcu</t>
        </is>
      </c>
      <c r="R763" t="inlineStr">
        <is>
          <t xml:space="preserve">QL </t>
        </is>
      </c>
      <c r="S763" t="n">
        <v>3</v>
      </c>
      <c r="T763" t="n">
        <v>3</v>
      </c>
      <c r="U763" t="inlineStr">
        <is>
          <t>2006-05-24</t>
        </is>
      </c>
      <c r="V763" t="inlineStr">
        <is>
          <t>2006-05-24</t>
        </is>
      </c>
      <c r="W763" t="inlineStr">
        <is>
          <t>1994-05-26</t>
        </is>
      </c>
      <c r="X763" t="inlineStr">
        <is>
          <t>1994-05-26</t>
        </is>
      </c>
      <c r="Y763" t="n">
        <v>124</v>
      </c>
      <c r="Z763" t="n">
        <v>106</v>
      </c>
      <c r="AA763" t="n">
        <v>106</v>
      </c>
      <c r="AB763" t="n">
        <v>2</v>
      </c>
      <c r="AC763" t="n">
        <v>2</v>
      </c>
      <c r="AD763" t="n">
        <v>5</v>
      </c>
      <c r="AE763" t="n">
        <v>5</v>
      </c>
      <c r="AF763" t="n">
        <v>0</v>
      </c>
      <c r="AG763" t="n">
        <v>0</v>
      </c>
      <c r="AH763" t="n">
        <v>2</v>
      </c>
      <c r="AI763" t="n">
        <v>2</v>
      </c>
      <c r="AJ763" t="n">
        <v>2</v>
      </c>
      <c r="AK763" t="n">
        <v>2</v>
      </c>
      <c r="AL763" t="n">
        <v>1</v>
      </c>
      <c r="AM763" t="n">
        <v>1</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HYPERLINK("https://creighton-primo.hosted.exlibrisgroup.com/primo-explore/search?tab=default_tab&amp;search_scope=EVERYTHING&amp;vid=01CRU&amp;lang=en_US&amp;offset=0&amp;query=any,contains,991002197949702656","Catalog Record")</f>
        <v/>
      </c>
      <c r="AT763">
        <f>HYPERLINK("http://www.worldcat.org/oclc/28257238","WorldCat Record")</f>
        <v/>
      </c>
      <c r="AU763" t="inlineStr">
        <is>
          <t>30372944:eng</t>
        </is>
      </c>
      <c r="AV763" t="inlineStr">
        <is>
          <t>28257238</t>
        </is>
      </c>
      <c r="AW763" t="inlineStr">
        <is>
          <t>991002197949702656</t>
        </is>
      </c>
      <c r="AX763" t="inlineStr">
        <is>
          <t>991002197949702656</t>
        </is>
      </c>
      <c r="AY763" t="inlineStr">
        <is>
          <t>2260935120002656</t>
        </is>
      </c>
      <c r="AZ763" t="inlineStr">
        <is>
          <t>BOOK</t>
        </is>
      </c>
      <c r="BB763" t="inlineStr">
        <is>
          <t>9780891641247</t>
        </is>
      </c>
      <c r="BC763" t="inlineStr">
        <is>
          <t>32285001899565</t>
        </is>
      </c>
      <c r="BD763" t="inlineStr">
        <is>
          <t>893716163</t>
        </is>
      </c>
    </row>
    <row r="764">
      <c r="A764" t="inlineStr">
        <is>
          <t>No</t>
        </is>
      </c>
      <c r="B764" t="inlineStr">
        <is>
          <t>QL85 .C37 1996</t>
        </is>
      </c>
      <c r="C764" t="inlineStr">
        <is>
          <t>0                      QL 0085000C  37          1996</t>
        </is>
      </c>
      <c r="D764" t="inlineStr">
        <is>
          <t>A perfect harmony : the intertwining lives of animals and humans throughout history / Roger A. Caras.</t>
        </is>
      </c>
      <c r="F764" t="inlineStr">
        <is>
          <t>No</t>
        </is>
      </c>
      <c r="G764" t="inlineStr">
        <is>
          <t>1</t>
        </is>
      </c>
      <c r="H764" t="inlineStr">
        <is>
          <t>No</t>
        </is>
      </c>
      <c r="I764" t="inlineStr">
        <is>
          <t>No</t>
        </is>
      </c>
      <c r="J764" t="inlineStr">
        <is>
          <t>0</t>
        </is>
      </c>
      <c r="K764" t="inlineStr">
        <is>
          <t>Caras, Roger A.</t>
        </is>
      </c>
      <c r="L764" t="inlineStr">
        <is>
          <t>New York : Simon &amp; Schuster, 1996.</t>
        </is>
      </c>
      <c r="M764" t="inlineStr">
        <is>
          <t>1996</t>
        </is>
      </c>
      <c r="O764" t="inlineStr">
        <is>
          <t>eng</t>
        </is>
      </c>
      <c r="P764" t="inlineStr">
        <is>
          <t>nyu</t>
        </is>
      </c>
      <c r="R764" t="inlineStr">
        <is>
          <t xml:space="preserve">QL </t>
        </is>
      </c>
      <c r="S764" t="n">
        <v>2</v>
      </c>
      <c r="T764" t="n">
        <v>2</v>
      </c>
      <c r="U764" t="inlineStr">
        <is>
          <t>2006-11-28</t>
        </is>
      </c>
      <c r="V764" t="inlineStr">
        <is>
          <t>2006-11-28</t>
        </is>
      </c>
      <c r="W764" t="inlineStr">
        <is>
          <t>1996-09-24</t>
        </is>
      </c>
      <c r="X764" t="inlineStr">
        <is>
          <t>1996-09-24</t>
        </is>
      </c>
      <c r="Y764" t="n">
        <v>550</v>
      </c>
      <c r="Z764" t="n">
        <v>517</v>
      </c>
      <c r="AA764" t="n">
        <v>576</v>
      </c>
      <c r="AB764" t="n">
        <v>6</v>
      </c>
      <c r="AC764" t="n">
        <v>6</v>
      </c>
      <c r="AD764" t="n">
        <v>10</v>
      </c>
      <c r="AE764" t="n">
        <v>11</v>
      </c>
      <c r="AF764" t="n">
        <v>2</v>
      </c>
      <c r="AG764" t="n">
        <v>2</v>
      </c>
      <c r="AH764" t="n">
        <v>2</v>
      </c>
      <c r="AI764" t="n">
        <v>2</v>
      </c>
      <c r="AJ764" t="n">
        <v>6</v>
      </c>
      <c r="AK764" t="n">
        <v>6</v>
      </c>
      <c r="AL764" t="n">
        <v>1</v>
      </c>
      <c r="AM764" t="n">
        <v>1</v>
      </c>
      <c r="AN764" t="n">
        <v>0</v>
      </c>
      <c r="AO764" t="n">
        <v>1</v>
      </c>
      <c r="AP764" t="inlineStr">
        <is>
          <t>No</t>
        </is>
      </c>
      <c r="AQ764" t="inlineStr">
        <is>
          <t>Yes</t>
        </is>
      </c>
      <c r="AR764">
        <f>HYPERLINK("http://catalog.hathitrust.org/Record/009159143","HathiTrust Record")</f>
        <v/>
      </c>
      <c r="AS764">
        <f>HYPERLINK("https://creighton-primo.hosted.exlibrisgroup.com/primo-explore/search?tab=default_tab&amp;search_scope=EVERYTHING&amp;vid=01CRU&amp;lang=en_US&amp;offset=0&amp;query=any,contains,991002667669702656","Catalog Record")</f>
        <v/>
      </c>
      <c r="AT764">
        <f>HYPERLINK("http://www.worldcat.org/oclc/34894335","WorldCat Record")</f>
        <v/>
      </c>
      <c r="AU764" t="inlineStr">
        <is>
          <t>836153145:eng</t>
        </is>
      </c>
      <c r="AV764" t="inlineStr">
        <is>
          <t>34894335</t>
        </is>
      </c>
      <c r="AW764" t="inlineStr">
        <is>
          <t>991002667669702656</t>
        </is>
      </c>
      <c r="AX764" t="inlineStr">
        <is>
          <t>991002667669702656</t>
        </is>
      </c>
      <c r="AY764" t="inlineStr">
        <is>
          <t>2269286860002656</t>
        </is>
      </c>
      <c r="AZ764" t="inlineStr">
        <is>
          <t>BOOK</t>
        </is>
      </c>
      <c r="BB764" t="inlineStr">
        <is>
          <t>9780684811000</t>
        </is>
      </c>
      <c r="BC764" t="inlineStr">
        <is>
          <t>32285002318631</t>
        </is>
      </c>
      <c r="BD764" t="inlineStr">
        <is>
          <t>893904016</t>
        </is>
      </c>
    </row>
    <row r="765">
      <c r="A765" t="inlineStr">
        <is>
          <t>No</t>
        </is>
      </c>
      <c r="B765" t="inlineStr">
        <is>
          <t>QL85 .H85</t>
        </is>
      </c>
      <c r="C765" t="inlineStr">
        <is>
          <t>0                      QL 0085000H  85</t>
        </is>
      </c>
      <c r="D765" t="inlineStr">
        <is>
          <t>Humans and animals / edited by John S. Baky.</t>
        </is>
      </c>
      <c r="F765" t="inlineStr">
        <is>
          <t>No</t>
        </is>
      </c>
      <c r="G765" t="inlineStr">
        <is>
          <t>1</t>
        </is>
      </c>
      <c r="H765" t="inlineStr">
        <is>
          <t>No</t>
        </is>
      </c>
      <c r="I765" t="inlineStr">
        <is>
          <t>No</t>
        </is>
      </c>
      <c r="J765" t="inlineStr">
        <is>
          <t>0</t>
        </is>
      </c>
      <c r="L765" t="inlineStr">
        <is>
          <t>New York : H. W. Wilson Co., 1980.</t>
        </is>
      </c>
      <c r="M765" t="inlineStr">
        <is>
          <t>1980</t>
        </is>
      </c>
      <c r="O765" t="inlineStr">
        <is>
          <t>eng</t>
        </is>
      </c>
      <c r="P765" t="inlineStr">
        <is>
          <t>nyu</t>
        </is>
      </c>
      <c r="Q765" t="inlineStr">
        <is>
          <t>The Reference shelf ; v. 52, no. 4</t>
        </is>
      </c>
      <c r="R765" t="inlineStr">
        <is>
          <t xml:space="preserve">QL </t>
        </is>
      </c>
      <c r="S765" t="n">
        <v>4</v>
      </c>
      <c r="T765" t="n">
        <v>4</v>
      </c>
      <c r="U765" t="inlineStr">
        <is>
          <t>1994-03-27</t>
        </is>
      </c>
      <c r="V765" t="inlineStr">
        <is>
          <t>1994-03-27</t>
        </is>
      </c>
      <c r="W765" t="inlineStr">
        <is>
          <t>1993-05-21</t>
        </is>
      </c>
      <c r="X765" t="inlineStr">
        <is>
          <t>1993-05-21</t>
        </is>
      </c>
      <c r="Y765" t="n">
        <v>1238</v>
      </c>
      <c r="Z765" t="n">
        <v>1201</v>
      </c>
      <c r="AA765" t="n">
        <v>1209</v>
      </c>
      <c r="AB765" t="n">
        <v>8</v>
      </c>
      <c r="AC765" t="n">
        <v>8</v>
      </c>
      <c r="AD765" t="n">
        <v>37</v>
      </c>
      <c r="AE765" t="n">
        <v>37</v>
      </c>
      <c r="AF765" t="n">
        <v>14</v>
      </c>
      <c r="AG765" t="n">
        <v>14</v>
      </c>
      <c r="AH765" t="n">
        <v>6</v>
      </c>
      <c r="AI765" t="n">
        <v>6</v>
      </c>
      <c r="AJ765" t="n">
        <v>21</v>
      </c>
      <c r="AK765" t="n">
        <v>21</v>
      </c>
      <c r="AL765" t="n">
        <v>5</v>
      </c>
      <c r="AM765" t="n">
        <v>5</v>
      </c>
      <c r="AN765" t="n">
        <v>0</v>
      </c>
      <c r="AO765" t="n">
        <v>0</v>
      </c>
      <c r="AP765" t="inlineStr">
        <is>
          <t>No</t>
        </is>
      </c>
      <c r="AQ765" t="inlineStr">
        <is>
          <t>Yes</t>
        </is>
      </c>
      <c r="AR765">
        <f>HYPERLINK("http://catalog.hathitrust.org/Record/000717373","HathiTrust Record")</f>
        <v/>
      </c>
      <c r="AS765">
        <f>HYPERLINK("https://creighton-primo.hosted.exlibrisgroup.com/primo-explore/search?tab=default_tab&amp;search_scope=EVERYTHING&amp;vid=01CRU&amp;lang=en_US&amp;offset=0&amp;query=any,contains,991005016849702656","Catalog Record")</f>
        <v/>
      </c>
      <c r="AT765">
        <f>HYPERLINK("http://www.worldcat.org/oclc/6627106","WorldCat Record")</f>
        <v/>
      </c>
      <c r="AU765" t="inlineStr">
        <is>
          <t>23072035:eng</t>
        </is>
      </c>
      <c r="AV765" t="inlineStr">
        <is>
          <t>6627106</t>
        </is>
      </c>
      <c r="AW765" t="inlineStr">
        <is>
          <t>991005016849702656</t>
        </is>
      </c>
      <c r="AX765" t="inlineStr">
        <is>
          <t>991005016849702656</t>
        </is>
      </c>
      <c r="AY765" t="inlineStr">
        <is>
          <t>2255322270002656</t>
        </is>
      </c>
      <c r="AZ765" t="inlineStr">
        <is>
          <t>BOOK</t>
        </is>
      </c>
      <c r="BB765" t="inlineStr">
        <is>
          <t>9780824206475</t>
        </is>
      </c>
      <c r="BC765" t="inlineStr">
        <is>
          <t>32285001686202</t>
        </is>
      </c>
      <c r="BD765" t="inlineStr">
        <is>
          <t>893789315</t>
        </is>
      </c>
    </row>
    <row r="766">
      <c r="A766" t="inlineStr">
        <is>
          <t>No</t>
        </is>
      </c>
      <c r="B766" t="inlineStr">
        <is>
          <t>QL85 .L35</t>
        </is>
      </c>
      <c r="C766" t="inlineStr">
        <is>
          <t>0                      QL 0085000L  35</t>
        </is>
      </c>
      <c r="D766" t="inlineStr">
        <is>
          <t>Man, culture, and animals : the role of animals in human ecological adjustments / edited by Anthony Leeds [and] Andrew P. Vayda.</t>
        </is>
      </c>
      <c r="F766" t="inlineStr">
        <is>
          <t>No</t>
        </is>
      </c>
      <c r="G766" t="inlineStr">
        <is>
          <t>1</t>
        </is>
      </c>
      <c r="H766" t="inlineStr">
        <is>
          <t>No</t>
        </is>
      </c>
      <c r="I766" t="inlineStr">
        <is>
          <t>No</t>
        </is>
      </c>
      <c r="J766" t="inlineStr">
        <is>
          <t>0</t>
        </is>
      </c>
      <c r="K766" t="inlineStr">
        <is>
          <t>Leeds, Anthony, 1925-, editor.</t>
        </is>
      </c>
      <c r="L766" t="inlineStr">
        <is>
          <t>Washington : [American Association for the Advancement of Science], 1965.</t>
        </is>
      </c>
      <c r="M766" t="inlineStr">
        <is>
          <t>1965</t>
        </is>
      </c>
      <c r="O766" t="inlineStr">
        <is>
          <t>eng</t>
        </is>
      </c>
      <c r="P766" t="inlineStr">
        <is>
          <t>dcu</t>
        </is>
      </c>
      <c r="Q766" t="inlineStr">
        <is>
          <t>American Association for the Advancement of Science. Publication no. 78</t>
        </is>
      </c>
      <c r="R766" t="inlineStr">
        <is>
          <t xml:space="preserve">QL </t>
        </is>
      </c>
      <c r="S766" t="n">
        <v>1</v>
      </c>
      <c r="T766" t="n">
        <v>1</v>
      </c>
      <c r="U766" t="inlineStr">
        <is>
          <t>1998-09-29</t>
        </is>
      </c>
      <c r="V766" t="inlineStr">
        <is>
          <t>1998-09-29</t>
        </is>
      </c>
      <c r="W766" t="inlineStr">
        <is>
          <t>1995-03-28</t>
        </is>
      </c>
      <c r="X766" t="inlineStr">
        <is>
          <t>1995-03-28</t>
        </is>
      </c>
      <c r="Y766" t="n">
        <v>794</v>
      </c>
      <c r="Z766" t="n">
        <v>675</v>
      </c>
      <c r="AA766" t="n">
        <v>677</v>
      </c>
      <c r="AB766" t="n">
        <v>4</v>
      </c>
      <c r="AC766" t="n">
        <v>4</v>
      </c>
      <c r="AD766" t="n">
        <v>26</v>
      </c>
      <c r="AE766" t="n">
        <v>26</v>
      </c>
      <c r="AF766" t="n">
        <v>8</v>
      </c>
      <c r="AG766" t="n">
        <v>8</v>
      </c>
      <c r="AH766" t="n">
        <v>6</v>
      </c>
      <c r="AI766" t="n">
        <v>6</v>
      </c>
      <c r="AJ766" t="n">
        <v>16</v>
      </c>
      <c r="AK766" t="n">
        <v>16</v>
      </c>
      <c r="AL766" t="n">
        <v>3</v>
      </c>
      <c r="AM766" t="n">
        <v>3</v>
      </c>
      <c r="AN766" t="n">
        <v>0</v>
      </c>
      <c r="AO766" t="n">
        <v>0</v>
      </c>
      <c r="AP766" t="inlineStr">
        <is>
          <t>No</t>
        </is>
      </c>
      <c r="AQ766" t="inlineStr">
        <is>
          <t>Yes</t>
        </is>
      </c>
      <c r="AR766">
        <f>HYPERLINK("http://catalog.hathitrust.org/Record/001498910","HathiTrust Record")</f>
        <v/>
      </c>
      <c r="AS766">
        <f>HYPERLINK("https://creighton-primo.hosted.exlibrisgroup.com/primo-explore/search?tab=default_tab&amp;search_scope=EVERYTHING&amp;vid=01CRU&amp;lang=en_US&amp;offset=0&amp;query=any,contains,991002987309702656","Catalog Record")</f>
        <v/>
      </c>
      <c r="AT766">
        <f>HYPERLINK("http://www.worldcat.org/oclc/558315","WorldCat Record")</f>
        <v/>
      </c>
      <c r="AU766" t="inlineStr">
        <is>
          <t>890006559:eng</t>
        </is>
      </c>
      <c r="AV766" t="inlineStr">
        <is>
          <t>558315</t>
        </is>
      </c>
      <c r="AW766" t="inlineStr">
        <is>
          <t>991002987309702656</t>
        </is>
      </c>
      <c r="AX766" t="inlineStr">
        <is>
          <t>991002987309702656</t>
        </is>
      </c>
      <c r="AY766" t="inlineStr">
        <is>
          <t>2258237800002656</t>
        </is>
      </c>
      <c r="AZ766" t="inlineStr">
        <is>
          <t>BOOK</t>
        </is>
      </c>
      <c r="BC766" t="inlineStr">
        <is>
          <t>32285002014115</t>
        </is>
      </c>
      <c r="BD766" t="inlineStr">
        <is>
          <t>893867960</t>
        </is>
      </c>
    </row>
    <row r="767">
      <c r="A767" t="inlineStr">
        <is>
          <t>No</t>
        </is>
      </c>
      <c r="B767" t="inlineStr">
        <is>
          <t>QL85 .M34 1997</t>
        </is>
      </c>
      <c r="C767" t="inlineStr">
        <is>
          <t>0                      QL 0085000M  34          1997</t>
        </is>
      </c>
      <c r="D767" t="inlineStr">
        <is>
          <t>Animals as teachers &amp; healers : true stories &amp; reflections / Susan Chernak McElroy ; foreword by Michael W. Fox.</t>
        </is>
      </c>
      <c r="F767" t="inlineStr">
        <is>
          <t>No</t>
        </is>
      </c>
      <c r="G767" t="inlineStr">
        <is>
          <t>1</t>
        </is>
      </c>
      <c r="H767" t="inlineStr">
        <is>
          <t>No</t>
        </is>
      </c>
      <c r="I767" t="inlineStr">
        <is>
          <t>No</t>
        </is>
      </c>
      <c r="J767" t="inlineStr">
        <is>
          <t>0</t>
        </is>
      </c>
      <c r="K767" t="inlineStr">
        <is>
          <t>McElroy, Susan Chernak, 1952-</t>
        </is>
      </c>
      <c r="L767" t="inlineStr">
        <is>
          <t>New York : Ballantine Books, c1997.</t>
        </is>
      </c>
      <c r="M767" t="inlineStr">
        <is>
          <t>1997</t>
        </is>
      </c>
      <c r="N767" t="inlineStr">
        <is>
          <t>1st Ballantine Books ed.</t>
        </is>
      </c>
      <c r="O767" t="inlineStr">
        <is>
          <t>eng</t>
        </is>
      </c>
      <c r="P767" t="inlineStr">
        <is>
          <t>nyu</t>
        </is>
      </c>
      <c r="R767" t="inlineStr">
        <is>
          <t xml:space="preserve">QL </t>
        </is>
      </c>
      <c r="S767" t="n">
        <v>9</v>
      </c>
      <c r="T767" t="n">
        <v>9</v>
      </c>
      <c r="U767" t="inlineStr">
        <is>
          <t>2005-11-28</t>
        </is>
      </c>
      <c r="V767" t="inlineStr">
        <is>
          <t>2005-11-28</t>
        </is>
      </c>
      <c r="W767" t="inlineStr">
        <is>
          <t>1997-02-26</t>
        </is>
      </c>
      <c r="X767" t="inlineStr">
        <is>
          <t>1997-02-26</t>
        </is>
      </c>
      <c r="Y767" t="n">
        <v>371</v>
      </c>
      <c r="Z767" t="n">
        <v>355</v>
      </c>
      <c r="AA767" t="n">
        <v>794</v>
      </c>
      <c r="AB767" t="n">
        <v>5</v>
      </c>
      <c r="AC767" t="n">
        <v>8</v>
      </c>
      <c r="AD767" t="n">
        <v>2</v>
      </c>
      <c r="AE767" t="n">
        <v>6</v>
      </c>
      <c r="AF767" t="n">
        <v>0</v>
      </c>
      <c r="AG767" t="n">
        <v>2</v>
      </c>
      <c r="AH767" t="n">
        <v>1</v>
      </c>
      <c r="AI767" t="n">
        <v>2</v>
      </c>
      <c r="AJ767" t="n">
        <v>0</v>
      </c>
      <c r="AK767" t="n">
        <v>0</v>
      </c>
      <c r="AL767" t="n">
        <v>1</v>
      </c>
      <c r="AM767" t="n">
        <v>2</v>
      </c>
      <c r="AN767" t="n">
        <v>0</v>
      </c>
      <c r="AO767" t="n">
        <v>0</v>
      </c>
      <c r="AP767" t="inlineStr">
        <is>
          <t>No</t>
        </is>
      </c>
      <c r="AQ767" t="inlineStr">
        <is>
          <t>Yes</t>
        </is>
      </c>
      <c r="AR767">
        <f>HYPERLINK("http://catalog.hathitrust.org/Record/009474439","HathiTrust Record")</f>
        <v/>
      </c>
      <c r="AS767">
        <f>HYPERLINK("https://creighton-primo.hosted.exlibrisgroup.com/primo-explore/search?tab=default_tab&amp;search_scope=EVERYTHING&amp;vid=01CRU&amp;lang=en_US&amp;offset=0&amp;query=any,contains,991002762319702656","Catalog Record")</f>
        <v/>
      </c>
      <c r="AT767">
        <f>HYPERLINK("http://www.worldcat.org/oclc/36240227","WorldCat Record")</f>
        <v/>
      </c>
      <c r="AU767" t="inlineStr">
        <is>
          <t>601092:eng</t>
        </is>
      </c>
      <c r="AV767" t="inlineStr">
        <is>
          <t>36240227</t>
        </is>
      </c>
      <c r="AW767" t="inlineStr">
        <is>
          <t>991002762319702656</t>
        </is>
      </c>
      <c r="AX767" t="inlineStr">
        <is>
          <t>991002762319702656</t>
        </is>
      </c>
      <c r="AY767" t="inlineStr">
        <is>
          <t>2261608910002656</t>
        </is>
      </c>
      <c r="AZ767" t="inlineStr">
        <is>
          <t>BOOK</t>
        </is>
      </c>
      <c r="BB767" t="inlineStr">
        <is>
          <t>9780345409904</t>
        </is>
      </c>
      <c r="BC767" t="inlineStr">
        <is>
          <t>32285002433513</t>
        </is>
      </c>
      <c r="BD767" t="inlineStr">
        <is>
          <t>893415613</t>
        </is>
      </c>
    </row>
    <row r="768">
      <c r="A768" t="inlineStr">
        <is>
          <t>No</t>
        </is>
      </c>
      <c r="B768" t="inlineStr">
        <is>
          <t>QL86 .L3</t>
        </is>
      </c>
      <c r="C768" t="inlineStr">
        <is>
          <t>0                      QL 0086000L  3</t>
        </is>
      </c>
      <c r="D768" t="inlineStr">
        <is>
          <t>The alien animals.</t>
        </is>
      </c>
      <c r="F768" t="inlineStr">
        <is>
          <t>No</t>
        </is>
      </c>
      <c r="G768" t="inlineStr">
        <is>
          <t>1</t>
        </is>
      </c>
      <c r="H768" t="inlineStr">
        <is>
          <t>No</t>
        </is>
      </c>
      <c r="I768" t="inlineStr">
        <is>
          <t>No</t>
        </is>
      </c>
      <c r="J768" t="inlineStr">
        <is>
          <t>0</t>
        </is>
      </c>
      <c r="K768" t="inlineStr">
        <is>
          <t>Laycock, George.</t>
        </is>
      </c>
      <c r="L768" t="inlineStr">
        <is>
          <t>Garden City, N.Y., Published for the American Museum of Natural History [by] the Natural History Press [1966]</t>
        </is>
      </c>
      <c r="M768" t="inlineStr">
        <is>
          <t>1966</t>
        </is>
      </c>
      <c r="N768" t="inlineStr">
        <is>
          <t>[1st ed.]</t>
        </is>
      </c>
      <c r="O768" t="inlineStr">
        <is>
          <t>eng</t>
        </is>
      </c>
      <c r="P768" t="inlineStr">
        <is>
          <t>nyu</t>
        </is>
      </c>
      <c r="R768" t="inlineStr">
        <is>
          <t xml:space="preserve">QL </t>
        </is>
      </c>
      <c r="S768" t="n">
        <v>3</v>
      </c>
      <c r="T768" t="n">
        <v>3</v>
      </c>
      <c r="U768" t="inlineStr">
        <is>
          <t>2000-07-25</t>
        </is>
      </c>
      <c r="V768" t="inlineStr">
        <is>
          <t>2000-07-25</t>
        </is>
      </c>
      <c r="W768" t="inlineStr">
        <is>
          <t>1997-07-19</t>
        </is>
      </c>
      <c r="X768" t="inlineStr">
        <is>
          <t>1997-07-19</t>
        </is>
      </c>
      <c r="Y768" t="n">
        <v>678</v>
      </c>
      <c r="Z768" t="n">
        <v>643</v>
      </c>
      <c r="AA768" t="n">
        <v>682</v>
      </c>
      <c r="AB768" t="n">
        <v>6</v>
      </c>
      <c r="AC768" t="n">
        <v>6</v>
      </c>
      <c r="AD768" t="n">
        <v>15</v>
      </c>
      <c r="AE768" t="n">
        <v>15</v>
      </c>
      <c r="AF768" t="n">
        <v>4</v>
      </c>
      <c r="AG768" t="n">
        <v>4</v>
      </c>
      <c r="AH768" t="n">
        <v>2</v>
      </c>
      <c r="AI768" t="n">
        <v>2</v>
      </c>
      <c r="AJ768" t="n">
        <v>8</v>
      </c>
      <c r="AK768" t="n">
        <v>8</v>
      </c>
      <c r="AL768" t="n">
        <v>5</v>
      </c>
      <c r="AM768" t="n">
        <v>5</v>
      </c>
      <c r="AN768" t="n">
        <v>0</v>
      </c>
      <c r="AO768" t="n">
        <v>0</v>
      </c>
      <c r="AP768" t="inlineStr">
        <is>
          <t>No</t>
        </is>
      </c>
      <c r="AQ768" t="inlineStr">
        <is>
          <t>Yes</t>
        </is>
      </c>
      <c r="AR768">
        <f>HYPERLINK("http://catalog.hathitrust.org/Record/001498913","HathiTrust Record")</f>
        <v/>
      </c>
      <c r="AS768">
        <f>HYPERLINK("https://creighton-primo.hosted.exlibrisgroup.com/primo-explore/search?tab=default_tab&amp;search_scope=EVERYTHING&amp;vid=01CRU&amp;lang=en_US&amp;offset=0&amp;query=any,contains,991003181959702656","Catalog Record")</f>
        <v/>
      </c>
      <c r="AT768">
        <f>HYPERLINK("http://www.worldcat.org/oclc/711939","WorldCat Record")</f>
        <v/>
      </c>
      <c r="AU768" t="inlineStr">
        <is>
          <t>4896605:eng</t>
        </is>
      </c>
      <c r="AV768" t="inlineStr">
        <is>
          <t>711939</t>
        </is>
      </c>
      <c r="AW768" t="inlineStr">
        <is>
          <t>991003181959702656</t>
        </is>
      </c>
      <c r="AX768" t="inlineStr">
        <is>
          <t>991003181959702656</t>
        </is>
      </c>
      <c r="AY768" t="inlineStr">
        <is>
          <t>2261884130002656</t>
        </is>
      </c>
      <c r="AZ768" t="inlineStr">
        <is>
          <t>BOOK</t>
        </is>
      </c>
      <c r="BC768" t="inlineStr">
        <is>
          <t>32285002939196</t>
        </is>
      </c>
      <c r="BD768" t="inlineStr">
        <is>
          <t>893323839</t>
        </is>
      </c>
    </row>
    <row r="769">
      <c r="A769" t="inlineStr">
        <is>
          <t>No</t>
        </is>
      </c>
      <c r="B769" t="inlineStr">
        <is>
          <t>QL86 .T64 2001</t>
        </is>
      </c>
      <c r="C769" t="inlineStr">
        <is>
          <t>0                      QL 0086000T  64          2001</t>
        </is>
      </c>
      <c r="D769" t="inlineStr">
        <is>
          <t>Tinkering with Eden : a natural history of exotics in America / Kim Todd ; illustrations by Claire Emery.</t>
        </is>
      </c>
      <c r="F769" t="inlineStr">
        <is>
          <t>No</t>
        </is>
      </c>
      <c r="G769" t="inlineStr">
        <is>
          <t>1</t>
        </is>
      </c>
      <c r="H769" t="inlineStr">
        <is>
          <t>No</t>
        </is>
      </c>
      <c r="I769" t="inlineStr">
        <is>
          <t>No</t>
        </is>
      </c>
      <c r="J769" t="inlineStr">
        <is>
          <t>0</t>
        </is>
      </c>
      <c r="K769" t="inlineStr">
        <is>
          <t>Todd, Kim, 1970-</t>
        </is>
      </c>
      <c r="L769" t="inlineStr">
        <is>
          <t>New York : W.W. Norton, c2001.</t>
        </is>
      </c>
      <c r="M769" t="inlineStr">
        <is>
          <t>2001</t>
        </is>
      </c>
      <c r="N769" t="inlineStr">
        <is>
          <t>1st ed.</t>
        </is>
      </c>
      <c r="O769" t="inlineStr">
        <is>
          <t>eng</t>
        </is>
      </c>
      <c r="P769" t="inlineStr">
        <is>
          <t>nyu</t>
        </is>
      </c>
      <c r="R769" t="inlineStr">
        <is>
          <t xml:space="preserve">QL </t>
        </is>
      </c>
      <c r="S769" t="n">
        <v>2</v>
      </c>
      <c r="T769" t="n">
        <v>2</v>
      </c>
      <c r="U769" t="inlineStr">
        <is>
          <t>2002-08-22</t>
        </is>
      </c>
      <c r="V769" t="inlineStr">
        <is>
          <t>2002-08-22</t>
        </is>
      </c>
      <c r="W769" t="inlineStr">
        <is>
          <t>2002-08-22</t>
        </is>
      </c>
      <c r="X769" t="inlineStr">
        <is>
          <t>2002-08-22</t>
        </is>
      </c>
      <c r="Y769" t="n">
        <v>1143</v>
      </c>
      <c r="Z769" t="n">
        <v>1078</v>
      </c>
      <c r="AA769" t="n">
        <v>1141</v>
      </c>
      <c r="AB769" t="n">
        <v>7</v>
      </c>
      <c r="AC769" t="n">
        <v>7</v>
      </c>
      <c r="AD769" t="n">
        <v>33</v>
      </c>
      <c r="AE769" t="n">
        <v>33</v>
      </c>
      <c r="AF769" t="n">
        <v>13</v>
      </c>
      <c r="AG769" t="n">
        <v>13</v>
      </c>
      <c r="AH769" t="n">
        <v>4</v>
      </c>
      <c r="AI769" t="n">
        <v>4</v>
      </c>
      <c r="AJ769" t="n">
        <v>17</v>
      </c>
      <c r="AK769" t="n">
        <v>17</v>
      </c>
      <c r="AL769" t="n">
        <v>4</v>
      </c>
      <c r="AM769" t="n">
        <v>4</v>
      </c>
      <c r="AN769" t="n">
        <v>1</v>
      </c>
      <c r="AO769" t="n">
        <v>1</v>
      </c>
      <c r="AP769" t="inlineStr">
        <is>
          <t>No</t>
        </is>
      </c>
      <c r="AQ769" t="inlineStr">
        <is>
          <t>No</t>
        </is>
      </c>
      <c r="AS769">
        <f>HYPERLINK("https://creighton-primo.hosted.exlibrisgroup.com/primo-explore/search?tab=default_tab&amp;search_scope=EVERYTHING&amp;vid=01CRU&amp;lang=en_US&amp;offset=0&amp;query=any,contains,991003859749702656","Catalog Record")</f>
        <v/>
      </c>
      <c r="AT769">
        <f>HYPERLINK("http://www.worldcat.org/oclc/44619479","WorldCat Record")</f>
        <v/>
      </c>
      <c r="AU769" t="inlineStr">
        <is>
          <t>44930:eng</t>
        </is>
      </c>
      <c r="AV769" t="inlineStr">
        <is>
          <t>44619479</t>
        </is>
      </c>
      <c r="AW769" t="inlineStr">
        <is>
          <t>991003859749702656</t>
        </is>
      </c>
      <c r="AX769" t="inlineStr">
        <is>
          <t>991003859749702656</t>
        </is>
      </c>
      <c r="AY769" t="inlineStr">
        <is>
          <t>2266067210002656</t>
        </is>
      </c>
      <c r="AZ769" t="inlineStr">
        <is>
          <t>BOOK</t>
        </is>
      </c>
      <c r="BB769" t="inlineStr">
        <is>
          <t>9780393048605</t>
        </is>
      </c>
      <c r="BC769" t="inlineStr">
        <is>
          <t>32285004644703</t>
        </is>
      </c>
      <c r="BD769" t="inlineStr">
        <is>
          <t>893435550</t>
        </is>
      </c>
    </row>
    <row r="770">
      <c r="A770" t="inlineStr">
        <is>
          <t>No</t>
        </is>
      </c>
      <c r="B770" t="inlineStr">
        <is>
          <t>QL87 .T68</t>
        </is>
      </c>
      <c r="C770" t="inlineStr">
        <is>
          <t>0                      QL 0087000T  68</t>
        </is>
      </c>
      <c r="D770" t="inlineStr">
        <is>
          <t>Animals in Roman life and art [by] J. M. C. Toynbee.</t>
        </is>
      </c>
      <c r="F770" t="inlineStr">
        <is>
          <t>No</t>
        </is>
      </c>
      <c r="G770" t="inlineStr">
        <is>
          <t>1</t>
        </is>
      </c>
      <c r="H770" t="inlineStr">
        <is>
          <t>No</t>
        </is>
      </c>
      <c r="I770" t="inlineStr">
        <is>
          <t>No</t>
        </is>
      </c>
      <c r="J770" t="inlineStr">
        <is>
          <t>0</t>
        </is>
      </c>
      <c r="K770" t="inlineStr">
        <is>
          <t>Toynbee, J. M. C. (Jocelyn M. C.), 1897-1985.</t>
        </is>
      </c>
      <c r="L770" t="inlineStr">
        <is>
          <t>Ithaca, N.Y., Cornell University Press [1973]</t>
        </is>
      </c>
      <c r="M770" t="inlineStr">
        <is>
          <t>1973</t>
        </is>
      </c>
      <c r="O770" t="inlineStr">
        <is>
          <t>eng</t>
        </is>
      </c>
      <c r="P770" t="inlineStr">
        <is>
          <t>nyu</t>
        </is>
      </c>
      <c r="Q770" t="inlineStr">
        <is>
          <t>Aspects of Greek and Roman life</t>
        </is>
      </c>
      <c r="R770" t="inlineStr">
        <is>
          <t xml:space="preserve">QL </t>
        </is>
      </c>
      <c r="S770" t="n">
        <v>6</v>
      </c>
      <c r="T770" t="n">
        <v>6</v>
      </c>
      <c r="U770" t="inlineStr">
        <is>
          <t>1998-11-18</t>
        </is>
      </c>
      <c r="V770" t="inlineStr">
        <is>
          <t>1998-11-18</t>
        </is>
      </c>
      <c r="W770" t="inlineStr">
        <is>
          <t>1998-02-16</t>
        </is>
      </c>
      <c r="X770" t="inlineStr">
        <is>
          <t>1998-02-16</t>
        </is>
      </c>
      <c r="Y770" t="n">
        <v>621</v>
      </c>
      <c r="Z770" t="n">
        <v>569</v>
      </c>
      <c r="AA770" t="n">
        <v>721</v>
      </c>
      <c r="AB770" t="n">
        <v>2</v>
      </c>
      <c r="AC770" t="n">
        <v>3</v>
      </c>
      <c r="AD770" t="n">
        <v>27</v>
      </c>
      <c r="AE770" t="n">
        <v>33</v>
      </c>
      <c r="AF770" t="n">
        <v>10</v>
      </c>
      <c r="AG770" t="n">
        <v>13</v>
      </c>
      <c r="AH770" t="n">
        <v>6</v>
      </c>
      <c r="AI770" t="n">
        <v>7</v>
      </c>
      <c r="AJ770" t="n">
        <v>18</v>
      </c>
      <c r="AK770" t="n">
        <v>22</v>
      </c>
      <c r="AL770" t="n">
        <v>1</v>
      </c>
      <c r="AM770" t="n">
        <v>2</v>
      </c>
      <c r="AN770" t="n">
        <v>0</v>
      </c>
      <c r="AO770" t="n">
        <v>0</v>
      </c>
      <c r="AP770" t="inlineStr">
        <is>
          <t>No</t>
        </is>
      </c>
      <c r="AQ770" t="inlineStr">
        <is>
          <t>Yes</t>
        </is>
      </c>
      <c r="AR770">
        <f>HYPERLINK("http://catalog.hathitrust.org/Record/000352242","HathiTrust Record")</f>
        <v/>
      </c>
      <c r="AS770">
        <f>HYPERLINK("https://creighton-primo.hosted.exlibrisgroup.com/primo-explore/search?tab=default_tab&amp;search_scope=EVERYTHING&amp;vid=01CRU&amp;lang=en_US&amp;offset=0&amp;query=any,contains,991003199689702656","Catalog Record")</f>
        <v/>
      </c>
      <c r="AT770">
        <f>HYPERLINK("http://www.worldcat.org/oclc/724190","WorldCat Record")</f>
        <v/>
      </c>
      <c r="AU770" t="inlineStr">
        <is>
          <t>450094:eng</t>
        </is>
      </c>
      <c r="AV770" t="inlineStr">
        <is>
          <t>724190</t>
        </is>
      </c>
      <c r="AW770" t="inlineStr">
        <is>
          <t>991003199689702656</t>
        </is>
      </c>
      <c r="AX770" t="inlineStr">
        <is>
          <t>991003199689702656</t>
        </is>
      </c>
      <c r="AY770" t="inlineStr">
        <is>
          <t>2255222600002656</t>
        </is>
      </c>
      <c r="AZ770" t="inlineStr">
        <is>
          <t>BOOK</t>
        </is>
      </c>
      <c r="BB770" t="inlineStr">
        <is>
          <t>9780801407857</t>
        </is>
      </c>
      <c r="BC770" t="inlineStr">
        <is>
          <t>32285003261087</t>
        </is>
      </c>
      <c r="BD770" t="inlineStr">
        <is>
          <t>893899715</t>
        </is>
      </c>
    </row>
    <row r="771">
      <c r="A771" t="inlineStr">
        <is>
          <t>No</t>
        </is>
      </c>
      <c r="B771" t="inlineStr">
        <is>
          <t>QL88 .F5</t>
        </is>
      </c>
      <c r="C771" t="inlineStr">
        <is>
          <t>0                      QL 0088000F  5</t>
        </is>
      </c>
      <c r="D771" t="inlineStr">
        <is>
          <t>Vanishing wild animals of the world, by Richard Fitter. With 43 paintings by John Leigh-Pemberton. Foreword by HRH the Duke of Edinburgh. Introd. by Peter Scott.</t>
        </is>
      </c>
      <c r="F771" t="inlineStr">
        <is>
          <t>No</t>
        </is>
      </c>
      <c r="G771" t="inlineStr">
        <is>
          <t>1</t>
        </is>
      </c>
      <c r="H771" t="inlineStr">
        <is>
          <t>No</t>
        </is>
      </c>
      <c r="I771" t="inlineStr">
        <is>
          <t>No</t>
        </is>
      </c>
      <c r="J771" t="inlineStr">
        <is>
          <t>0</t>
        </is>
      </c>
      <c r="K771" t="inlineStr">
        <is>
          <t>Fitter, Richard.</t>
        </is>
      </c>
      <c r="L771" t="inlineStr">
        <is>
          <t>New York, F. Watts [1968]</t>
        </is>
      </c>
      <c r="M771" t="inlineStr">
        <is>
          <t>1968</t>
        </is>
      </c>
      <c r="O771" t="inlineStr">
        <is>
          <t>eng</t>
        </is>
      </c>
      <c r="P771" t="inlineStr">
        <is>
          <t>nyu</t>
        </is>
      </c>
      <c r="R771" t="inlineStr">
        <is>
          <t xml:space="preserve">QL </t>
        </is>
      </c>
      <c r="S771" t="n">
        <v>1</v>
      </c>
      <c r="T771" t="n">
        <v>1</v>
      </c>
      <c r="U771" t="inlineStr">
        <is>
          <t>2004-03-22</t>
        </is>
      </c>
      <c r="V771" t="inlineStr">
        <is>
          <t>2004-03-22</t>
        </is>
      </c>
      <c r="W771" t="inlineStr">
        <is>
          <t>1997-07-19</t>
        </is>
      </c>
      <c r="X771" t="inlineStr">
        <is>
          <t>1997-07-19</t>
        </is>
      </c>
      <c r="Y771" t="n">
        <v>592</v>
      </c>
      <c r="Z771" t="n">
        <v>565</v>
      </c>
      <c r="AA771" t="n">
        <v>603</v>
      </c>
      <c r="AB771" t="n">
        <v>4</v>
      </c>
      <c r="AC771" t="n">
        <v>4</v>
      </c>
      <c r="AD771" t="n">
        <v>10</v>
      </c>
      <c r="AE771" t="n">
        <v>10</v>
      </c>
      <c r="AF771" t="n">
        <v>4</v>
      </c>
      <c r="AG771" t="n">
        <v>4</v>
      </c>
      <c r="AH771" t="n">
        <v>1</v>
      </c>
      <c r="AI771" t="n">
        <v>1</v>
      </c>
      <c r="AJ771" t="n">
        <v>5</v>
      </c>
      <c r="AK771" t="n">
        <v>5</v>
      </c>
      <c r="AL771" t="n">
        <v>2</v>
      </c>
      <c r="AM771" t="n">
        <v>2</v>
      </c>
      <c r="AN771" t="n">
        <v>0</v>
      </c>
      <c r="AO771" t="n">
        <v>0</v>
      </c>
      <c r="AP771" t="inlineStr">
        <is>
          <t>No</t>
        </is>
      </c>
      <c r="AQ771" t="inlineStr">
        <is>
          <t>Yes</t>
        </is>
      </c>
      <c r="AR771">
        <f>HYPERLINK("http://catalog.hathitrust.org/Record/001498916","HathiTrust Record")</f>
        <v/>
      </c>
      <c r="AS771">
        <f>HYPERLINK("https://creighton-primo.hosted.exlibrisgroup.com/primo-explore/search?tab=default_tab&amp;search_scope=EVERYTHING&amp;vid=01CRU&amp;lang=en_US&amp;offset=0&amp;query=any,contains,991002780869702656","Catalog Record")</f>
        <v/>
      </c>
      <c r="AT771">
        <f>HYPERLINK("http://www.worldcat.org/oclc/440180","WorldCat Record")</f>
        <v/>
      </c>
      <c r="AU771" t="inlineStr">
        <is>
          <t>181253413:eng</t>
        </is>
      </c>
      <c r="AV771" t="inlineStr">
        <is>
          <t>440180</t>
        </is>
      </c>
      <c r="AW771" t="inlineStr">
        <is>
          <t>991002780869702656</t>
        </is>
      </c>
      <c r="AX771" t="inlineStr">
        <is>
          <t>991002780869702656</t>
        </is>
      </c>
      <c r="AY771" t="inlineStr">
        <is>
          <t>2256632610002656</t>
        </is>
      </c>
      <c r="AZ771" t="inlineStr">
        <is>
          <t>BOOK</t>
        </is>
      </c>
      <c r="BC771" t="inlineStr">
        <is>
          <t>32285002939204</t>
        </is>
      </c>
      <c r="BD771" t="inlineStr">
        <is>
          <t>893317251</t>
        </is>
      </c>
    </row>
    <row r="772">
      <c r="A772" t="inlineStr">
        <is>
          <t>No</t>
        </is>
      </c>
      <c r="B772" t="inlineStr">
        <is>
          <t>QL88.5 .W37 1992</t>
        </is>
      </c>
      <c r="C772" t="inlineStr">
        <is>
          <t>0                      QL 0088500W  37          1992</t>
        </is>
      </c>
      <c r="D772" t="inlineStr">
        <is>
          <t>On Methuselah's trail : living fossils and the great extinctions / Peter Douglas Ward ; [illustrations by Linda Krause, unless noted otherwise].</t>
        </is>
      </c>
      <c r="F772" t="inlineStr">
        <is>
          <t>No</t>
        </is>
      </c>
      <c r="G772" t="inlineStr">
        <is>
          <t>1</t>
        </is>
      </c>
      <c r="H772" t="inlineStr">
        <is>
          <t>No</t>
        </is>
      </c>
      <c r="I772" t="inlineStr">
        <is>
          <t>No</t>
        </is>
      </c>
      <c r="J772" t="inlineStr">
        <is>
          <t>0</t>
        </is>
      </c>
      <c r="K772" t="inlineStr">
        <is>
          <t>Ward, Peter D. (Peter Douglas), 1949-</t>
        </is>
      </c>
      <c r="L772" t="inlineStr">
        <is>
          <t>New York : W.H. Freeman, c1992.</t>
        </is>
      </c>
      <c r="M772" t="inlineStr">
        <is>
          <t>1992</t>
        </is>
      </c>
      <c r="O772" t="inlineStr">
        <is>
          <t>eng</t>
        </is>
      </c>
      <c r="P772" t="inlineStr">
        <is>
          <t>nyu</t>
        </is>
      </c>
      <c r="R772" t="inlineStr">
        <is>
          <t xml:space="preserve">QL </t>
        </is>
      </c>
      <c r="S772" t="n">
        <v>112</v>
      </c>
      <c r="T772" t="n">
        <v>112</v>
      </c>
      <c r="U772" t="inlineStr">
        <is>
          <t>2001-07-10</t>
        </is>
      </c>
      <c r="V772" t="inlineStr">
        <is>
          <t>2001-07-10</t>
        </is>
      </c>
      <c r="W772" t="inlineStr">
        <is>
          <t>1992-06-18</t>
        </is>
      </c>
      <c r="X772" t="inlineStr">
        <is>
          <t>1992-06-18</t>
        </is>
      </c>
      <c r="Y772" t="n">
        <v>1107</v>
      </c>
      <c r="Z772" t="n">
        <v>979</v>
      </c>
      <c r="AA772" t="n">
        <v>1009</v>
      </c>
      <c r="AB772" t="n">
        <v>8</v>
      </c>
      <c r="AC772" t="n">
        <v>8</v>
      </c>
      <c r="AD772" t="n">
        <v>31</v>
      </c>
      <c r="AE772" t="n">
        <v>31</v>
      </c>
      <c r="AF772" t="n">
        <v>11</v>
      </c>
      <c r="AG772" t="n">
        <v>11</v>
      </c>
      <c r="AH772" t="n">
        <v>7</v>
      </c>
      <c r="AI772" t="n">
        <v>7</v>
      </c>
      <c r="AJ772" t="n">
        <v>17</v>
      </c>
      <c r="AK772" t="n">
        <v>17</v>
      </c>
      <c r="AL772" t="n">
        <v>5</v>
      </c>
      <c r="AM772" t="n">
        <v>5</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HYPERLINK("https://creighton-primo.hosted.exlibrisgroup.com/primo-explore/search?tab=default_tab&amp;search_scope=EVERYTHING&amp;vid=01CRU&amp;lang=en_US&amp;offset=0&amp;query=any,contains,991001881959702656","Catalog Record")</f>
        <v/>
      </c>
      <c r="AT772">
        <f>HYPERLINK("http://www.worldcat.org/oclc/23732474","WorldCat Record")</f>
        <v/>
      </c>
      <c r="AU772" t="inlineStr">
        <is>
          <t>348762:eng</t>
        </is>
      </c>
      <c r="AV772" t="inlineStr">
        <is>
          <t>23732474</t>
        </is>
      </c>
      <c r="AW772" t="inlineStr">
        <is>
          <t>991001881959702656</t>
        </is>
      </c>
      <c r="AX772" t="inlineStr">
        <is>
          <t>991001881959702656</t>
        </is>
      </c>
      <c r="AY772" t="inlineStr">
        <is>
          <t>2265413290002656</t>
        </is>
      </c>
      <c r="AZ772" t="inlineStr">
        <is>
          <t>BOOK</t>
        </is>
      </c>
      <c r="BB772" t="inlineStr">
        <is>
          <t>9780716722038</t>
        </is>
      </c>
      <c r="BC772" t="inlineStr">
        <is>
          <t>32285001129419</t>
        </is>
      </c>
      <c r="BD772" t="inlineStr">
        <is>
          <t>893596801</t>
        </is>
      </c>
    </row>
    <row r="773">
      <c r="A773" t="inlineStr">
        <is>
          <t>No</t>
        </is>
      </c>
      <c r="B773" t="inlineStr">
        <is>
          <t>QL89 .L45</t>
        </is>
      </c>
      <c r="C773" t="inlineStr">
        <is>
          <t>0                      QL 0089000L  45</t>
        </is>
      </c>
      <c r="D773" t="inlineStr">
        <is>
          <t>The lungfish and the unicorn; an excursion into romantic zoology, by Willy Ley.</t>
        </is>
      </c>
      <c r="F773" t="inlineStr">
        <is>
          <t>No</t>
        </is>
      </c>
      <c r="G773" t="inlineStr">
        <is>
          <t>1</t>
        </is>
      </c>
      <c r="H773" t="inlineStr">
        <is>
          <t>No</t>
        </is>
      </c>
      <c r="I773" t="inlineStr">
        <is>
          <t>No</t>
        </is>
      </c>
      <c r="J773" t="inlineStr">
        <is>
          <t>0</t>
        </is>
      </c>
      <c r="K773" t="inlineStr">
        <is>
          <t>Ley, Willy, 1906-1969.</t>
        </is>
      </c>
      <c r="L773" t="inlineStr">
        <is>
          <t>New York, Modern age books, 1941.</t>
        </is>
      </c>
      <c r="M773" t="inlineStr">
        <is>
          <t>1941</t>
        </is>
      </c>
      <c r="O773" t="inlineStr">
        <is>
          <t>eng</t>
        </is>
      </c>
      <c r="P773" t="inlineStr">
        <is>
          <t xml:space="preserve">xx </t>
        </is>
      </c>
      <c r="R773" t="inlineStr">
        <is>
          <t xml:space="preserve">QL </t>
        </is>
      </c>
      <c r="S773" t="n">
        <v>2</v>
      </c>
      <c r="T773" t="n">
        <v>2</v>
      </c>
      <c r="U773" t="inlineStr">
        <is>
          <t>2001-02-05</t>
        </is>
      </c>
      <c r="V773" t="inlineStr">
        <is>
          <t>2001-02-05</t>
        </is>
      </c>
      <c r="W773" t="inlineStr">
        <is>
          <t>1997-07-19</t>
        </is>
      </c>
      <c r="X773" t="inlineStr">
        <is>
          <t>1997-07-19</t>
        </is>
      </c>
      <c r="Y773" t="n">
        <v>164</v>
      </c>
      <c r="Z773" t="n">
        <v>157</v>
      </c>
      <c r="AA773" t="n">
        <v>163</v>
      </c>
      <c r="AB773" t="n">
        <v>1</v>
      </c>
      <c r="AC773" t="n">
        <v>1</v>
      </c>
      <c r="AD773" t="n">
        <v>1</v>
      </c>
      <c r="AE773" t="n">
        <v>1</v>
      </c>
      <c r="AF773" t="n">
        <v>0</v>
      </c>
      <c r="AG773" t="n">
        <v>0</v>
      </c>
      <c r="AH773" t="n">
        <v>0</v>
      </c>
      <c r="AI773" t="n">
        <v>0</v>
      </c>
      <c r="AJ773" t="n">
        <v>1</v>
      </c>
      <c r="AK773" t="n">
        <v>1</v>
      </c>
      <c r="AL773" t="n">
        <v>0</v>
      </c>
      <c r="AM773" t="n">
        <v>0</v>
      </c>
      <c r="AN773" t="n">
        <v>0</v>
      </c>
      <c r="AO773" t="n">
        <v>0</v>
      </c>
      <c r="AP773" t="inlineStr">
        <is>
          <t>No</t>
        </is>
      </c>
      <c r="AQ773" t="inlineStr">
        <is>
          <t>Yes</t>
        </is>
      </c>
      <c r="AR773">
        <f>HYPERLINK("http://catalog.hathitrust.org/Record/102102412","HathiTrust Record")</f>
        <v/>
      </c>
      <c r="AS773">
        <f>HYPERLINK("https://creighton-primo.hosted.exlibrisgroup.com/primo-explore/search?tab=default_tab&amp;search_scope=EVERYTHING&amp;vid=01CRU&amp;lang=en_US&amp;offset=0&amp;query=any,contains,991002635179702656","Catalog Record")</f>
        <v/>
      </c>
      <c r="AT773">
        <f>HYPERLINK("http://www.worldcat.org/oclc/382398","WorldCat Record")</f>
        <v/>
      </c>
      <c r="AU773" t="inlineStr">
        <is>
          <t>1497210:eng</t>
        </is>
      </c>
      <c r="AV773" t="inlineStr">
        <is>
          <t>382398</t>
        </is>
      </c>
      <c r="AW773" t="inlineStr">
        <is>
          <t>991002635179702656</t>
        </is>
      </c>
      <c r="AX773" t="inlineStr">
        <is>
          <t>991002635179702656</t>
        </is>
      </c>
      <c r="AY773" t="inlineStr">
        <is>
          <t>2259979130002656</t>
        </is>
      </c>
      <c r="AZ773" t="inlineStr">
        <is>
          <t>BOOK</t>
        </is>
      </c>
      <c r="BC773" t="inlineStr">
        <is>
          <t>32285002939220</t>
        </is>
      </c>
      <c r="BD773" t="inlineStr">
        <is>
          <t>893352427</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