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F1138"/>
  <sheetViews>
    <sheetView workbookViewId="0">
      <selection activeCell="A1" sqref="A1"/>
    </sheetView>
  </sheetViews>
  <sheetFormatPr baseColWidth="8" defaultRowHeight="15"/>
  <sheetData>
    <row r="1">
      <c r="A1" t="inlineStr">
        <is>
          <t>Keep in Collection?</t>
        </is>
      </c>
      <c r="B1" t="inlineStr">
        <is>
          <t>Collection Code</t>
        </is>
      </c>
      <c r="C1" t="inlineStr">
        <is>
          <t>Location Code</t>
        </is>
      </c>
      <c r="D1" t="inlineStr">
        <is>
          <t>Display Call Number</t>
        </is>
      </c>
      <c r="E1" t="inlineStr">
        <is>
          <t>Display Call Number Normalized</t>
        </is>
      </c>
      <c r="F1" t="inlineStr">
        <is>
          <t>Title</t>
        </is>
      </c>
      <c r="G1" t="inlineStr">
        <is>
          <t>Enumeration</t>
        </is>
      </c>
      <c r="H1" t="inlineStr">
        <is>
          <t>Possible Multi-Volume Set</t>
        </is>
      </c>
      <c r="I1" t="inlineStr">
        <is>
          <t>Copy Number</t>
        </is>
      </c>
      <c r="J1" t="inlineStr">
        <is>
          <t>Possible Duplicate</t>
        </is>
      </c>
      <c r="K1" t="inlineStr">
        <is>
          <t>Multi-Edition Title</t>
        </is>
      </c>
      <c r="L1" t="inlineStr">
        <is>
          <t>Number of Related Ebooks</t>
        </is>
      </c>
      <c r="M1" t="inlineStr">
        <is>
          <t>Author</t>
        </is>
      </c>
      <c r="N1" t="inlineStr">
        <is>
          <t>Publisher</t>
        </is>
      </c>
      <c r="O1" t="inlineStr">
        <is>
          <t>Publication Year</t>
        </is>
      </c>
      <c r="P1" t="inlineStr">
        <is>
          <t>Edition</t>
        </is>
      </c>
      <c r="Q1" t="inlineStr">
        <is>
          <t>Primary Language</t>
        </is>
      </c>
      <c r="R1" t="inlineStr">
        <is>
          <t>Place of Publication</t>
        </is>
      </c>
      <c r="S1" t="inlineStr">
        <is>
          <t>Series</t>
        </is>
      </c>
      <c r="T1" t="inlineStr">
        <is>
          <t>LC Subclass</t>
        </is>
      </c>
      <c r="U1" t="inlineStr">
        <is>
          <t>Recorded Uses - Item</t>
        </is>
      </c>
      <c r="V1" t="inlineStr">
        <is>
          <t>Recorded Uses - Title</t>
        </is>
      </c>
      <c r="W1" t="inlineStr">
        <is>
          <t>Last Charge Date - Item</t>
        </is>
      </c>
      <c r="X1" t="inlineStr">
        <is>
          <t>Last Charge Date - Title</t>
        </is>
      </c>
      <c r="Y1" t="inlineStr">
        <is>
          <t>Last Add Date - Item</t>
        </is>
      </c>
      <c r="Z1" t="inlineStr">
        <is>
          <t>Last Add Date - Title</t>
        </is>
      </c>
      <c r="AA1" t="inlineStr">
        <is>
          <t>Global Holdings - Same Edition</t>
        </is>
      </c>
      <c r="AB1" t="inlineStr">
        <is>
          <t>US Holdings - Same Edition</t>
        </is>
      </c>
      <c r="AC1" t="inlineStr">
        <is>
          <t xml:space="preserve">US Holdings </t>
        </is>
      </c>
      <c r="AD1" t="inlineStr">
        <is>
          <t>Nebraska Holdings - Same Edition</t>
        </is>
      </c>
      <c r="AE1" t="inlineStr">
        <is>
          <t>Nebraska Holdings</t>
        </is>
      </c>
      <c r="AF1" t="inlineStr">
        <is>
          <t>All Comparator Library Holdings - Same Edition</t>
        </is>
      </c>
      <c r="AG1" t="inlineStr">
        <is>
          <t xml:space="preserve">All Comparator Library Holdings </t>
        </is>
      </c>
      <c r="AH1" t="inlineStr">
        <is>
          <t>Affinity Libraries - Same Edition</t>
        </is>
      </c>
      <c r="AI1" t="inlineStr">
        <is>
          <t>Affinity Libraries - Any Edition</t>
        </is>
      </c>
      <c r="AJ1" t="inlineStr">
        <is>
          <t>Big East - Same Edition</t>
        </is>
      </c>
      <c r="AK1" t="inlineStr">
        <is>
          <t>Big East - Any Edition</t>
        </is>
      </c>
      <c r="AL1" t="inlineStr">
        <is>
          <t>AJCU - Same Edition</t>
        </is>
      </c>
      <c r="AM1" t="inlineStr">
        <is>
          <t>AJCU - Any Edition</t>
        </is>
      </c>
      <c r="AN1" t="inlineStr">
        <is>
          <t>Nebraska Colleges &amp; Universities - Same Edition</t>
        </is>
      </c>
      <c r="AO1" t="inlineStr">
        <is>
          <t>Nebraska Colleges &amp; Universities - Any Edition</t>
        </is>
      </c>
      <c r="AP1" t="inlineStr">
        <is>
          <t>MALLCO - Same Edition</t>
        </is>
      </c>
      <c r="AQ1" t="inlineStr">
        <is>
          <t>MALLCO - Any Edition</t>
        </is>
      </c>
      <c r="AR1" t="inlineStr">
        <is>
          <t>HathiTrust Public Domain</t>
        </is>
      </c>
      <c r="AS1" t="inlineStr">
        <is>
          <t>HathiTrust In Copyright</t>
        </is>
      </c>
      <c r="AT1" t="inlineStr">
        <is>
          <t>HathiTrust URL</t>
        </is>
      </c>
      <c r="AU1" t="inlineStr">
        <is>
          <t>OPAC URL</t>
        </is>
      </c>
      <c r="AV1" t="inlineStr">
        <is>
          <t>WorldCat URL</t>
        </is>
      </c>
      <c r="AW1" t="inlineStr">
        <is>
          <t>OCLC Work ID</t>
        </is>
      </c>
      <c r="AX1" t="inlineStr">
        <is>
          <t>WorldCat OCLC Number</t>
        </is>
      </c>
      <c r="AY1" t="inlineStr">
        <is>
          <t>Bib Record Number</t>
        </is>
      </c>
      <c r="AZ1" t="inlineStr">
        <is>
          <t>Bib Control Number</t>
        </is>
      </c>
      <c r="BA1" t="inlineStr">
        <is>
          <t>Item Control Number</t>
        </is>
      </c>
      <c r="BB1" t="inlineStr">
        <is>
          <t>Item Type Code</t>
        </is>
      </c>
      <c r="BC1" t="inlineStr">
        <is>
          <t>Item Status Code</t>
        </is>
      </c>
      <c r="BD1" t="inlineStr">
        <is>
          <t>ISBN</t>
        </is>
      </c>
      <c r="BE1" t="inlineStr">
        <is>
          <t>Barcode</t>
        </is>
      </c>
      <c r="BF1" t="inlineStr">
        <is>
          <t>SCS Item ID</t>
        </is>
      </c>
    </row>
    <row r="2">
      <c r="B2" t="inlineStr">
        <is>
          <t>CURAL</t>
        </is>
      </c>
      <c r="C2" t="inlineStr">
        <is>
          <t>SHELVES</t>
        </is>
      </c>
      <c r="D2" t="inlineStr">
        <is>
          <t>QP1 .P62 v.12</t>
        </is>
      </c>
      <c r="E2" t="inlineStr">
        <is>
          <t>0                      QP 0001000P  62                                                      v.12</t>
        </is>
      </c>
      <c r="F2" t="inlineStr">
        <is>
          <t>Gastrointestinal physiology II / edited by Robert K. Crane.</t>
        </is>
      </c>
      <c r="G2" t="inlineStr">
        <is>
          <t>V. 12</t>
        </is>
      </c>
      <c r="H2" t="inlineStr">
        <is>
          <t>No</t>
        </is>
      </c>
      <c r="I2" t="inlineStr">
        <is>
          <t>1</t>
        </is>
      </c>
      <c r="J2" t="inlineStr">
        <is>
          <t>No</t>
        </is>
      </c>
      <c r="K2" t="inlineStr">
        <is>
          <t>No</t>
        </is>
      </c>
      <c r="L2" t="inlineStr">
        <is>
          <t>0</t>
        </is>
      </c>
      <c r="N2" t="inlineStr">
        <is>
          <t>Baltimore : University Park Press, c1977.</t>
        </is>
      </c>
      <c r="O2" t="inlineStr">
        <is>
          <t>1977</t>
        </is>
      </c>
      <c r="Q2" t="inlineStr">
        <is>
          <t>eng</t>
        </is>
      </c>
      <c r="R2" t="inlineStr">
        <is>
          <t>mdu</t>
        </is>
      </c>
      <c r="S2" t="inlineStr">
        <is>
          <t>International review of physiology ; v. 12</t>
        </is>
      </c>
      <c r="T2" t="inlineStr">
        <is>
          <t xml:space="preserve">QP </t>
        </is>
      </c>
      <c r="U2" t="n">
        <v>4</v>
      </c>
      <c r="V2" t="n">
        <v>4</v>
      </c>
      <c r="W2" t="inlineStr">
        <is>
          <t>1997-03-26</t>
        </is>
      </c>
      <c r="X2" t="inlineStr">
        <is>
          <t>1997-03-26</t>
        </is>
      </c>
      <c r="Y2" t="inlineStr">
        <is>
          <t>1993-02-23</t>
        </is>
      </c>
      <c r="Z2" t="inlineStr">
        <is>
          <t>1993-02-23</t>
        </is>
      </c>
      <c r="AA2" t="n">
        <v>235</v>
      </c>
      <c r="AB2" t="n">
        <v>192</v>
      </c>
      <c r="AC2" t="n">
        <v>199</v>
      </c>
      <c r="AD2" t="n">
        <v>1</v>
      </c>
      <c r="AE2" t="n">
        <v>1</v>
      </c>
      <c r="AF2" t="n">
        <v>7</v>
      </c>
      <c r="AG2" t="n">
        <v>7</v>
      </c>
      <c r="AH2" t="n">
        <v>1</v>
      </c>
      <c r="AI2" t="n">
        <v>1</v>
      </c>
      <c r="AJ2" t="n">
        <v>5</v>
      </c>
      <c r="AK2" t="n">
        <v>5</v>
      </c>
      <c r="AL2" t="n">
        <v>4</v>
      </c>
      <c r="AM2" t="n">
        <v>4</v>
      </c>
      <c r="AN2" t="n">
        <v>0</v>
      </c>
      <c r="AO2" t="n">
        <v>0</v>
      </c>
      <c r="AP2" t="n">
        <v>0</v>
      </c>
      <c r="AQ2" t="n">
        <v>0</v>
      </c>
      <c r="AR2" t="inlineStr">
        <is>
          <t>No</t>
        </is>
      </c>
      <c r="AS2" t="inlineStr">
        <is>
          <t>Yes</t>
        </is>
      </c>
      <c r="AT2">
        <f>HYPERLINK("http://catalog.hathitrust.org/Record/011453488","HathiTrust Record")</f>
        <v/>
      </c>
      <c r="AU2">
        <f>HYPERLINK("https://creighton-primo.hosted.exlibrisgroup.com/primo-explore/search?tab=default_tab&amp;search_scope=EVERYTHING&amp;vid=01CRU&amp;lang=en_US&amp;offset=0&amp;query=any,contains,991004185069702656","Catalog Record")</f>
        <v/>
      </c>
      <c r="AV2">
        <f>HYPERLINK("http://www.worldcat.org/oclc/33933118","WorldCat Record")</f>
        <v/>
      </c>
      <c r="AW2" t="inlineStr">
        <is>
          <t>14949977:eng</t>
        </is>
      </c>
      <c r="AX2" t="inlineStr">
        <is>
          <t>33933118</t>
        </is>
      </c>
      <c r="AY2" t="inlineStr">
        <is>
          <t>991004185069702656</t>
        </is>
      </c>
      <c r="AZ2" t="inlineStr">
        <is>
          <t>991004185069702656</t>
        </is>
      </c>
      <c r="BA2" t="inlineStr">
        <is>
          <t>2266104850002656</t>
        </is>
      </c>
      <c r="BB2" t="inlineStr">
        <is>
          <t>BOOK</t>
        </is>
      </c>
      <c r="BD2" t="inlineStr">
        <is>
          <t>9780839110613</t>
        </is>
      </c>
      <c r="BE2" t="inlineStr">
        <is>
          <t>32285001548675</t>
        </is>
      </c>
      <c r="BF2" t="inlineStr">
        <is>
          <t>893800697</t>
        </is>
      </c>
    </row>
    <row r="3">
      <c r="B3" t="inlineStr">
        <is>
          <t>CURAL</t>
        </is>
      </c>
      <c r="C3" t="inlineStr">
        <is>
          <t>SHELVES</t>
        </is>
      </c>
      <c r="D3" t="inlineStr">
        <is>
          <t>QP101 .D385 1997</t>
        </is>
      </c>
      <c r="E3" t="inlineStr">
        <is>
          <t>0                      QP 0101000D  385         1997</t>
        </is>
      </c>
      <c r="F3" t="inlineStr">
        <is>
          <t>Development of cardiovascular systems : molecules to organisms / edited by Warren W. Burggren, Bradley B. Keller.</t>
        </is>
      </c>
      <c r="H3" t="inlineStr">
        <is>
          <t>No</t>
        </is>
      </c>
      <c r="I3" t="inlineStr">
        <is>
          <t>1</t>
        </is>
      </c>
      <c r="J3" t="inlineStr">
        <is>
          <t>No</t>
        </is>
      </c>
      <c r="K3" t="inlineStr">
        <is>
          <t>No</t>
        </is>
      </c>
      <c r="L3" t="inlineStr">
        <is>
          <t>0</t>
        </is>
      </c>
      <c r="N3" t="inlineStr">
        <is>
          <t>Cambridge, U.K. ; New York : Cambridge University Press, 1997.</t>
        </is>
      </c>
      <c r="O3" t="inlineStr">
        <is>
          <t>1997</t>
        </is>
      </c>
      <c r="Q3" t="inlineStr">
        <is>
          <t>eng</t>
        </is>
      </c>
      <c r="R3" t="inlineStr">
        <is>
          <t>enk</t>
        </is>
      </c>
      <c r="T3" t="inlineStr">
        <is>
          <t xml:space="preserve">QP </t>
        </is>
      </c>
      <c r="U3" t="n">
        <v>4</v>
      </c>
      <c r="V3" t="n">
        <v>4</v>
      </c>
      <c r="W3" t="inlineStr">
        <is>
          <t>2000-03-20</t>
        </is>
      </c>
      <c r="X3" t="inlineStr">
        <is>
          <t>2000-03-20</t>
        </is>
      </c>
      <c r="Y3" t="inlineStr">
        <is>
          <t>1998-02-05</t>
        </is>
      </c>
      <c r="Z3" t="inlineStr">
        <is>
          <t>1998-02-05</t>
        </is>
      </c>
      <c r="AA3" t="n">
        <v>224</v>
      </c>
      <c r="AB3" t="n">
        <v>170</v>
      </c>
      <c r="AC3" t="n">
        <v>184</v>
      </c>
      <c r="AD3" t="n">
        <v>3</v>
      </c>
      <c r="AE3" t="n">
        <v>3</v>
      </c>
      <c r="AF3" t="n">
        <v>11</v>
      </c>
      <c r="AG3" t="n">
        <v>11</v>
      </c>
      <c r="AH3" t="n">
        <v>1</v>
      </c>
      <c r="AI3" t="n">
        <v>1</v>
      </c>
      <c r="AJ3" t="n">
        <v>2</v>
      </c>
      <c r="AK3" t="n">
        <v>2</v>
      </c>
      <c r="AL3" t="n">
        <v>8</v>
      </c>
      <c r="AM3" t="n">
        <v>8</v>
      </c>
      <c r="AN3" t="n">
        <v>2</v>
      </c>
      <c r="AO3" t="n">
        <v>2</v>
      </c>
      <c r="AP3" t="n">
        <v>0</v>
      </c>
      <c r="AQ3" t="n">
        <v>0</v>
      </c>
      <c r="AR3" t="inlineStr">
        <is>
          <t>No</t>
        </is>
      </c>
      <c r="AS3" t="inlineStr">
        <is>
          <t>No</t>
        </is>
      </c>
      <c r="AU3">
        <f>HYPERLINK("https://creighton-primo.hosted.exlibrisgroup.com/primo-explore/search?tab=default_tab&amp;search_scope=EVERYTHING&amp;vid=01CRU&amp;lang=en_US&amp;offset=0&amp;query=any,contains,991002721789702656","Catalog Record")</f>
        <v/>
      </c>
      <c r="AV3">
        <f>HYPERLINK("http://www.worldcat.org/oclc/35688152","WorldCat Record")</f>
        <v/>
      </c>
      <c r="AW3" t="inlineStr">
        <is>
          <t>896284911:eng</t>
        </is>
      </c>
      <c r="AX3" t="inlineStr">
        <is>
          <t>35688152</t>
        </is>
      </c>
      <c r="AY3" t="inlineStr">
        <is>
          <t>991002721789702656</t>
        </is>
      </c>
      <c r="AZ3" t="inlineStr">
        <is>
          <t>991002721789702656</t>
        </is>
      </c>
      <c r="BA3" t="inlineStr">
        <is>
          <t>2263421040002656</t>
        </is>
      </c>
      <c r="BB3" t="inlineStr">
        <is>
          <t>BOOK</t>
        </is>
      </c>
      <c r="BD3" t="inlineStr">
        <is>
          <t>9780521560726</t>
        </is>
      </c>
      <c r="BE3" t="inlineStr">
        <is>
          <t>32285003312476</t>
        </is>
      </c>
      <c r="BF3" t="inlineStr">
        <is>
          <t>893704428</t>
        </is>
      </c>
    </row>
    <row r="4">
      <c r="B4" t="inlineStr">
        <is>
          <t>CURAL</t>
        </is>
      </c>
      <c r="C4" t="inlineStr">
        <is>
          <t>SHELVES</t>
        </is>
      </c>
      <c r="D4" t="inlineStr">
        <is>
          <t>QP101 .R47</t>
        </is>
      </c>
      <c r="E4" t="inlineStr">
        <is>
          <t>0                      QP 0101000R  47</t>
        </is>
      </c>
      <c r="F4" t="inlineStr">
        <is>
          <t>Respiration and circulation / compiled and edited by Philip L. Altman and Dorothy S. Dittmer. Prepared under the auspices of the Committee on Biological Handbooks.</t>
        </is>
      </c>
      <c r="H4" t="inlineStr">
        <is>
          <t>No</t>
        </is>
      </c>
      <c r="I4" t="inlineStr">
        <is>
          <t>1</t>
        </is>
      </c>
      <c r="J4" t="inlineStr">
        <is>
          <t>Yes</t>
        </is>
      </c>
      <c r="K4" t="inlineStr">
        <is>
          <t>No</t>
        </is>
      </c>
      <c r="L4" t="inlineStr">
        <is>
          <t>0</t>
        </is>
      </c>
      <c r="N4" t="inlineStr">
        <is>
          <t>Bethesda, Md. : Federation of American Societies for Experimental Biology, [c1971]</t>
        </is>
      </c>
      <c r="O4" t="inlineStr">
        <is>
          <t>1971</t>
        </is>
      </c>
      <c r="Q4" t="inlineStr">
        <is>
          <t>eng</t>
        </is>
      </c>
      <c r="R4" t="inlineStr">
        <is>
          <t>mdu</t>
        </is>
      </c>
      <c r="S4" t="inlineStr">
        <is>
          <t>Biological handbooks</t>
        </is>
      </c>
      <c r="T4" t="inlineStr">
        <is>
          <t xml:space="preserve">QP </t>
        </is>
      </c>
      <c r="U4" t="n">
        <v>3</v>
      </c>
      <c r="V4" t="n">
        <v>3</v>
      </c>
      <c r="W4" t="inlineStr">
        <is>
          <t>1994-02-19</t>
        </is>
      </c>
      <c r="X4" t="inlineStr">
        <is>
          <t>1994-02-19</t>
        </is>
      </c>
      <c r="Y4" t="inlineStr">
        <is>
          <t>1992-01-20</t>
        </is>
      </c>
      <c r="Z4" t="inlineStr">
        <is>
          <t>1992-01-20</t>
        </is>
      </c>
      <c r="AA4" t="n">
        <v>666</v>
      </c>
      <c r="AB4" t="n">
        <v>525</v>
      </c>
      <c r="AC4" t="n">
        <v>528</v>
      </c>
      <c r="AD4" t="n">
        <v>5</v>
      </c>
      <c r="AE4" t="n">
        <v>5</v>
      </c>
      <c r="AF4" t="n">
        <v>18</v>
      </c>
      <c r="AG4" t="n">
        <v>18</v>
      </c>
      <c r="AH4" t="n">
        <v>6</v>
      </c>
      <c r="AI4" t="n">
        <v>6</v>
      </c>
      <c r="AJ4" t="n">
        <v>5</v>
      </c>
      <c r="AK4" t="n">
        <v>5</v>
      </c>
      <c r="AL4" t="n">
        <v>9</v>
      </c>
      <c r="AM4" t="n">
        <v>9</v>
      </c>
      <c r="AN4" t="n">
        <v>3</v>
      </c>
      <c r="AO4" t="n">
        <v>3</v>
      </c>
      <c r="AP4" t="n">
        <v>0</v>
      </c>
      <c r="AQ4" t="n">
        <v>0</v>
      </c>
      <c r="AR4" t="inlineStr">
        <is>
          <t>No</t>
        </is>
      </c>
      <c r="AS4" t="inlineStr">
        <is>
          <t>Yes</t>
        </is>
      </c>
      <c r="AT4">
        <f>HYPERLINK("http://catalog.hathitrust.org/Record/001553776","HathiTrust Record")</f>
        <v/>
      </c>
      <c r="AU4">
        <f>HYPERLINK("https://creighton-primo.hosted.exlibrisgroup.com/primo-explore/search?tab=default_tab&amp;search_scope=EVERYTHING&amp;vid=01CRU&amp;lang=en_US&amp;offset=0&amp;query=any,contains,991001788199702656","Catalog Record")</f>
        <v/>
      </c>
      <c r="AV4">
        <f>HYPERLINK("http://www.worldcat.org/oclc/118258","WorldCat Record")</f>
        <v/>
      </c>
      <c r="AW4" t="inlineStr">
        <is>
          <t>346787892:eng</t>
        </is>
      </c>
      <c r="AX4" t="inlineStr">
        <is>
          <t>118258</t>
        </is>
      </c>
      <c r="AY4" t="inlineStr">
        <is>
          <t>991001788199702656</t>
        </is>
      </c>
      <c r="AZ4" t="inlineStr">
        <is>
          <t>991001788199702656</t>
        </is>
      </c>
      <c r="BA4" t="inlineStr">
        <is>
          <t>2261717390002656</t>
        </is>
      </c>
      <c r="BB4" t="inlineStr">
        <is>
          <t>BOOK</t>
        </is>
      </c>
      <c r="BE4" t="inlineStr">
        <is>
          <t>32285000914456</t>
        </is>
      </c>
      <c r="BF4" t="inlineStr">
        <is>
          <t>893703329</t>
        </is>
      </c>
    </row>
    <row r="5">
      <c r="B5" t="inlineStr">
        <is>
          <t>CURAL</t>
        </is>
      </c>
      <c r="C5" t="inlineStr">
        <is>
          <t>SHELVES</t>
        </is>
      </c>
      <c r="D5" t="inlineStr">
        <is>
          <t>QP102 .G73 1987</t>
        </is>
      </c>
      <c r="E5" t="inlineStr">
        <is>
          <t>0                      QP 0102000G  73          1987</t>
        </is>
      </c>
      <c r="F5" t="inlineStr">
        <is>
          <t>Fundamental cardiovascular and pulmonary physiology / Jerry Franklin Green.</t>
        </is>
      </c>
      <c r="H5" t="inlineStr">
        <is>
          <t>No</t>
        </is>
      </c>
      <c r="I5" t="inlineStr">
        <is>
          <t>1</t>
        </is>
      </c>
      <c r="J5" t="inlineStr">
        <is>
          <t>No</t>
        </is>
      </c>
      <c r="K5" t="inlineStr">
        <is>
          <t>Yes</t>
        </is>
      </c>
      <c r="L5" t="inlineStr">
        <is>
          <t>0</t>
        </is>
      </c>
      <c r="M5" t="inlineStr">
        <is>
          <t>Green, Jerry Franklin.</t>
        </is>
      </c>
      <c r="N5" t="inlineStr">
        <is>
          <t>Philadelphia : Lea &amp; Febiger, 1987.</t>
        </is>
      </c>
      <c r="O5" t="inlineStr">
        <is>
          <t>1987</t>
        </is>
      </c>
      <c r="P5" t="inlineStr">
        <is>
          <t>2nd ed.</t>
        </is>
      </c>
      <c r="Q5" t="inlineStr">
        <is>
          <t>eng</t>
        </is>
      </c>
      <c r="R5" t="inlineStr">
        <is>
          <t>pau</t>
        </is>
      </c>
      <c r="T5" t="inlineStr">
        <is>
          <t xml:space="preserve">QP </t>
        </is>
      </c>
      <c r="U5" t="n">
        <v>5</v>
      </c>
      <c r="V5" t="n">
        <v>5</v>
      </c>
      <c r="W5" t="inlineStr">
        <is>
          <t>1994-02-23</t>
        </is>
      </c>
      <c r="X5" t="inlineStr">
        <is>
          <t>1994-02-23</t>
        </is>
      </c>
      <c r="Y5" t="inlineStr">
        <is>
          <t>1990-06-22</t>
        </is>
      </c>
      <c r="Z5" t="inlineStr">
        <is>
          <t>1990-06-22</t>
        </is>
      </c>
      <c r="AA5" t="n">
        <v>253</v>
      </c>
      <c r="AB5" t="n">
        <v>196</v>
      </c>
      <c r="AC5" t="n">
        <v>309</v>
      </c>
      <c r="AD5" t="n">
        <v>2</v>
      </c>
      <c r="AE5" t="n">
        <v>4</v>
      </c>
      <c r="AF5" t="n">
        <v>11</v>
      </c>
      <c r="AG5" t="n">
        <v>14</v>
      </c>
      <c r="AH5" t="n">
        <v>6</v>
      </c>
      <c r="AI5" t="n">
        <v>6</v>
      </c>
      <c r="AJ5" t="n">
        <v>1</v>
      </c>
      <c r="AK5" t="n">
        <v>3</v>
      </c>
      <c r="AL5" t="n">
        <v>4</v>
      </c>
      <c r="AM5" t="n">
        <v>5</v>
      </c>
      <c r="AN5" t="n">
        <v>1</v>
      </c>
      <c r="AO5" t="n">
        <v>2</v>
      </c>
      <c r="AP5" t="n">
        <v>0</v>
      </c>
      <c r="AQ5" t="n">
        <v>0</v>
      </c>
      <c r="AR5" t="inlineStr">
        <is>
          <t>No</t>
        </is>
      </c>
      <c r="AS5" t="inlineStr">
        <is>
          <t>Yes</t>
        </is>
      </c>
      <c r="AT5">
        <f>HYPERLINK("http://catalog.hathitrust.org/Record/000812980","HathiTrust Record")</f>
        <v/>
      </c>
      <c r="AU5">
        <f>HYPERLINK("https://creighton-primo.hosted.exlibrisgroup.com/primo-explore/search?tab=default_tab&amp;search_scope=EVERYTHING&amp;vid=01CRU&amp;lang=en_US&amp;offset=0&amp;query=any,contains,991000922649702656","Catalog Record")</f>
        <v/>
      </c>
      <c r="AV5">
        <f>HYPERLINK("http://www.worldcat.org/oclc/14213950","WorldCat Record")</f>
        <v/>
      </c>
      <c r="AW5" t="inlineStr">
        <is>
          <t>8223185:eng</t>
        </is>
      </c>
      <c r="AX5" t="inlineStr">
        <is>
          <t>14213950</t>
        </is>
      </c>
      <c r="AY5" t="inlineStr">
        <is>
          <t>991000922649702656</t>
        </is>
      </c>
      <c r="AZ5" t="inlineStr">
        <is>
          <t>991000922649702656</t>
        </is>
      </c>
      <c r="BA5" t="inlineStr">
        <is>
          <t>2269413230002656</t>
        </is>
      </c>
      <c r="BB5" t="inlineStr">
        <is>
          <t>BOOK</t>
        </is>
      </c>
      <c r="BD5" t="inlineStr">
        <is>
          <t>9780812110685</t>
        </is>
      </c>
      <c r="BE5" t="inlineStr">
        <is>
          <t>32285000179639</t>
        </is>
      </c>
      <c r="BF5" t="inlineStr">
        <is>
          <t>893884879</t>
        </is>
      </c>
    </row>
    <row r="6">
      <c r="B6" t="inlineStr">
        <is>
          <t>CURAL</t>
        </is>
      </c>
      <c r="C6" t="inlineStr">
        <is>
          <t>SHELVES</t>
        </is>
      </c>
      <c r="D6" t="inlineStr">
        <is>
          <t>QP102 .P59 1992</t>
        </is>
      </c>
      <c r="E6" t="inlineStr">
        <is>
          <t>0                      QP 0102000P  59          1992</t>
        </is>
      </c>
      <c r="F6" t="inlineStr">
        <is>
          <t>Physiological adaptations in vertebrates : respiration, circulation, and metabolism / edited by Stephen C. Wood ... [et al.].</t>
        </is>
      </c>
      <c r="H6" t="inlineStr">
        <is>
          <t>No</t>
        </is>
      </c>
      <c r="I6" t="inlineStr">
        <is>
          <t>1</t>
        </is>
      </c>
      <c r="J6" t="inlineStr">
        <is>
          <t>No</t>
        </is>
      </c>
      <c r="K6" t="inlineStr">
        <is>
          <t>No</t>
        </is>
      </c>
      <c r="L6" t="inlineStr">
        <is>
          <t>0</t>
        </is>
      </c>
      <c r="N6" t="inlineStr">
        <is>
          <t>New York : Dekker, c1992.</t>
        </is>
      </c>
      <c r="O6" t="inlineStr">
        <is>
          <t>1992</t>
        </is>
      </c>
      <c r="Q6" t="inlineStr">
        <is>
          <t>eng</t>
        </is>
      </c>
      <c r="R6" t="inlineStr">
        <is>
          <t>nyu</t>
        </is>
      </c>
      <c r="S6" t="inlineStr">
        <is>
          <t>Lung biology in health and disease ; 56</t>
        </is>
      </c>
      <c r="T6" t="inlineStr">
        <is>
          <t xml:space="preserve">QP </t>
        </is>
      </c>
      <c r="U6" t="n">
        <v>8</v>
      </c>
      <c r="V6" t="n">
        <v>8</v>
      </c>
      <c r="W6" t="inlineStr">
        <is>
          <t>2006-05-11</t>
        </is>
      </c>
      <c r="X6" t="inlineStr">
        <is>
          <t>2006-05-11</t>
        </is>
      </c>
      <c r="Y6" t="inlineStr">
        <is>
          <t>1992-03-17</t>
        </is>
      </c>
      <c r="Z6" t="inlineStr">
        <is>
          <t>1992-03-17</t>
        </is>
      </c>
      <c r="AA6" t="n">
        <v>248</v>
      </c>
      <c r="AB6" t="n">
        <v>179</v>
      </c>
      <c r="AC6" t="n">
        <v>184</v>
      </c>
      <c r="AD6" t="n">
        <v>1</v>
      </c>
      <c r="AE6" t="n">
        <v>1</v>
      </c>
      <c r="AF6" t="n">
        <v>6</v>
      </c>
      <c r="AG6" t="n">
        <v>6</v>
      </c>
      <c r="AH6" t="n">
        <v>1</v>
      </c>
      <c r="AI6" t="n">
        <v>1</v>
      </c>
      <c r="AJ6" t="n">
        <v>3</v>
      </c>
      <c r="AK6" t="n">
        <v>3</v>
      </c>
      <c r="AL6" t="n">
        <v>3</v>
      </c>
      <c r="AM6" t="n">
        <v>3</v>
      </c>
      <c r="AN6" t="n">
        <v>0</v>
      </c>
      <c r="AO6" t="n">
        <v>0</v>
      </c>
      <c r="AP6" t="n">
        <v>0</v>
      </c>
      <c r="AQ6" t="n">
        <v>0</v>
      </c>
      <c r="AR6" t="inlineStr">
        <is>
          <t>No</t>
        </is>
      </c>
      <c r="AS6" t="inlineStr">
        <is>
          <t>No</t>
        </is>
      </c>
      <c r="AU6">
        <f>HYPERLINK("https://creighton-primo.hosted.exlibrisgroup.com/primo-explore/search?tab=default_tab&amp;search_scope=EVERYTHING&amp;vid=01CRU&amp;lang=en_US&amp;offset=0&amp;query=any,contains,991001934269702656","Catalog Record")</f>
        <v/>
      </c>
      <c r="AV6">
        <f>HYPERLINK("http://www.worldcat.org/oclc/24430104","WorldCat Record")</f>
        <v/>
      </c>
      <c r="AW6" t="inlineStr">
        <is>
          <t>26928021:eng</t>
        </is>
      </c>
      <c r="AX6" t="inlineStr">
        <is>
          <t>24430104</t>
        </is>
      </c>
      <c r="AY6" t="inlineStr">
        <is>
          <t>991001934269702656</t>
        </is>
      </c>
      <c r="AZ6" t="inlineStr">
        <is>
          <t>991001934269702656</t>
        </is>
      </c>
      <c r="BA6" t="inlineStr">
        <is>
          <t>2267982820002656</t>
        </is>
      </c>
      <c r="BB6" t="inlineStr">
        <is>
          <t>BOOK</t>
        </is>
      </c>
      <c r="BD6" t="inlineStr">
        <is>
          <t>9780824785581</t>
        </is>
      </c>
      <c r="BE6" t="inlineStr">
        <is>
          <t>32285000939784</t>
        </is>
      </c>
      <c r="BF6" t="inlineStr">
        <is>
          <t>893250624</t>
        </is>
      </c>
    </row>
    <row r="7">
      <c r="B7" t="inlineStr">
        <is>
          <t>CURAL</t>
        </is>
      </c>
      <c r="C7" t="inlineStr">
        <is>
          <t>SHELVES</t>
        </is>
      </c>
      <c r="D7" t="inlineStr">
        <is>
          <t>QP106 .P47</t>
        </is>
      </c>
      <c r="E7" t="inlineStr">
        <is>
          <t>0                      QP 0106000P  47</t>
        </is>
      </c>
      <c r="F7" t="inlineStr">
        <is>
          <t>Peripheral circulation / [edited by] Paul C. Johnson.</t>
        </is>
      </c>
      <c r="H7" t="inlineStr">
        <is>
          <t>No</t>
        </is>
      </c>
      <c r="I7" t="inlineStr">
        <is>
          <t>1</t>
        </is>
      </c>
      <c r="J7" t="inlineStr">
        <is>
          <t>Yes</t>
        </is>
      </c>
      <c r="K7" t="inlineStr">
        <is>
          <t>No</t>
        </is>
      </c>
      <c r="L7" t="inlineStr">
        <is>
          <t>0</t>
        </is>
      </c>
      <c r="N7" t="inlineStr">
        <is>
          <t>New York : Wiley, c1978.</t>
        </is>
      </c>
      <c r="O7" t="inlineStr">
        <is>
          <t>1978</t>
        </is>
      </c>
      <c r="Q7" t="inlineStr">
        <is>
          <t>eng</t>
        </is>
      </c>
      <c r="R7" t="inlineStr">
        <is>
          <t>nyu</t>
        </is>
      </c>
      <c r="S7" t="inlineStr">
        <is>
          <t>A Wiley medical publication</t>
        </is>
      </c>
      <c r="T7" t="inlineStr">
        <is>
          <t xml:space="preserve">QP </t>
        </is>
      </c>
      <c r="U7" t="n">
        <v>4</v>
      </c>
      <c r="V7" t="n">
        <v>5</v>
      </c>
      <c r="W7" t="inlineStr">
        <is>
          <t>1995-05-04</t>
        </is>
      </c>
      <c r="X7" t="inlineStr">
        <is>
          <t>1995-05-04</t>
        </is>
      </c>
      <c r="Y7" t="inlineStr">
        <is>
          <t>1993-02-26</t>
        </is>
      </c>
      <c r="Z7" t="inlineStr">
        <is>
          <t>1993-02-26</t>
        </is>
      </c>
      <c r="AA7" t="n">
        <v>193</v>
      </c>
      <c r="AB7" t="n">
        <v>130</v>
      </c>
      <c r="AC7" t="n">
        <v>132</v>
      </c>
      <c r="AD7" t="n">
        <v>2</v>
      </c>
      <c r="AE7" t="n">
        <v>2</v>
      </c>
      <c r="AF7" t="n">
        <v>1</v>
      </c>
      <c r="AG7" t="n">
        <v>1</v>
      </c>
      <c r="AH7" t="n">
        <v>0</v>
      </c>
      <c r="AI7" t="n">
        <v>0</v>
      </c>
      <c r="AJ7" t="n">
        <v>0</v>
      </c>
      <c r="AK7" t="n">
        <v>0</v>
      </c>
      <c r="AL7" t="n">
        <v>1</v>
      </c>
      <c r="AM7" t="n">
        <v>1</v>
      </c>
      <c r="AN7" t="n">
        <v>0</v>
      </c>
      <c r="AO7" t="n">
        <v>0</v>
      </c>
      <c r="AP7" t="n">
        <v>0</v>
      </c>
      <c r="AQ7" t="n">
        <v>0</v>
      </c>
      <c r="AR7" t="inlineStr">
        <is>
          <t>No</t>
        </is>
      </c>
      <c r="AS7" t="inlineStr">
        <is>
          <t>Yes</t>
        </is>
      </c>
      <c r="AT7">
        <f>HYPERLINK("http://catalog.hathitrust.org/Record/000089628","HathiTrust Record")</f>
        <v/>
      </c>
      <c r="AU7">
        <f>HYPERLINK("https://creighton-primo.hosted.exlibrisgroup.com/primo-explore/search?tab=default_tab&amp;search_scope=EVERYTHING&amp;vid=01CRU&amp;lang=en_US&amp;offset=0&amp;query=any,contains,991001790709702656","Catalog Record")</f>
        <v/>
      </c>
      <c r="AV7">
        <f>HYPERLINK("http://www.worldcat.org/oclc/3542699","WorldCat Record")</f>
        <v/>
      </c>
      <c r="AW7" t="inlineStr">
        <is>
          <t>11384997:eng</t>
        </is>
      </c>
      <c r="AX7" t="inlineStr">
        <is>
          <t>3542699</t>
        </is>
      </c>
      <c r="AY7" t="inlineStr">
        <is>
          <t>991001790709702656</t>
        </is>
      </c>
      <c r="AZ7" t="inlineStr">
        <is>
          <t>991001790709702656</t>
        </is>
      </c>
      <c r="BA7" t="inlineStr">
        <is>
          <t>2264852970002656</t>
        </is>
      </c>
      <c r="BB7" t="inlineStr">
        <is>
          <t>BOOK</t>
        </is>
      </c>
      <c r="BD7" t="inlineStr">
        <is>
          <t>9780471446378</t>
        </is>
      </c>
      <c r="BE7" t="inlineStr">
        <is>
          <t>32285001549798</t>
        </is>
      </c>
      <c r="BF7" t="inlineStr">
        <is>
          <t>893891843</t>
        </is>
      </c>
    </row>
    <row r="8">
      <c r="B8" t="inlineStr">
        <is>
          <t>CURAL</t>
        </is>
      </c>
      <c r="C8" t="inlineStr">
        <is>
          <t>SHELVES</t>
        </is>
      </c>
      <c r="D8" t="inlineStr">
        <is>
          <t>QP111.3 .H42 v...</t>
        </is>
      </c>
      <c r="E8" t="inlineStr">
        <is>
          <t>0                      QP 0111300H  42                                                      v...</t>
        </is>
      </c>
      <c r="F8" t="inlineStr">
        <is>
          <t>Hearts and heart-like organs / edited by Geoffrey H. Bourne.</t>
        </is>
      </c>
      <c r="G8" t="inlineStr">
        <is>
          <t>V. 1</t>
        </is>
      </c>
      <c r="H8" t="inlineStr">
        <is>
          <t>No</t>
        </is>
      </c>
      <c r="I8" t="inlineStr">
        <is>
          <t>1</t>
        </is>
      </c>
      <c r="J8" t="inlineStr">
        <is>
          <t>No</t>
        </is>
      </c>
      <c r="K8" t="inlineStr">
        <is>
          <t>No</t>
        </is>
      </c>
      <c r="L8" t="inlineStr">
        <is>
          <t>0</t>
        </is>
      </c>
      <c r="N8" t="inlineStr">
        <is>
          <t>New York : Academic Press, c1980-</t>
        </is>
      </c>
      <c r="O8" t="inlineStr">
        <is>
          <t>1980</t>
        </is>
      </c>
      <c r="Q8" t="inlineStr">
        <is>
          <t>eng</t>
        </is>
      </c>
      <c r="R8" t="inlineStr">
        <is>
          <t>nyu</t>
        </is>
      </c>
      <c r="T8" t="inlineStr">
        <is>
          <t xml:space="preserve">QP </t>
        </is>
      </c>
      <c r="U8" t="n">
        <v>4</v>
      </c>
      <c r="V8" t="n">
        <v>4</v>
      </c>
      <c r="W8" t="inlineStr">
        <is>
          <t>1995-01-29</t>
        </is>
      </c>
      <c r="X8" t="inlineStr">
        <is>
          <t>1995-01-29</t>
        </is>
      </c>
      <c r="Y8" t="inlineStr">
        <is>
          <t>1994-03-16</t>
        </is>
      </c>
      <c r="Z8" t="inlineStr">
        <is>
          <t>1994-03-16</t>
        </is>
      </c>
      <c r="AA8" t="n">
        <v>266</v>
      </c>
      <c r="AB8" t="n">
        <v>209</v>
      </c>
      <c r="AC8" t="n">
        <v>249</v>
      </c>
      <c r="AD8" t="n">
        <v>2</v>
      </c>
      <c r="AE8" t="n">
        <v>3</v>
      </c>
      <c r="AF8" t="n">
        <v>8</v>
      </c>
      <c r="AG8" t="n">
        <v>12</v>
      </c>
      <c r="AH8" t="n">
        <v>0</v>
      </c>
      <c r="AI8" t="n">
        <v>2</v>
      </c>
      <c r="AJ8" t="n">
        <v>4</v>
      </c>
      <c r="AK8" t="n">
        <v>6</v>
      </c>
      <c r="AL8" t="n">
        <v>6</v>
      </c>
      <c r="AM8" t="n">
        <v>6</v>
      </c>
      <c r="AN8" t="n">
        <v>1</v>
      </c>
      <c r="AO8" t="n">
        <v>2</v>
      </c>
      <c r="AP8" t="n">
        <v>0</v>
      </c>
      <c r="AQ8" t="n">
        <v>0</v>
      </c>
      <c r="AR8" t="inlineStr">
        <is>
          <t>No</t>
        </is>
      </c>
      <c r="AS8" t="inlineStr">
        <is>
          <t>Yes</t>
        </is>
      </c>
      <c r="AT8">
        <f>HYPERLINK("http://catalog.hathitrust.org/Record/008331246","HathiTrust Record")</f>
        <v/>
      </c>
      <c r="AU8">
        <f>HYPERLINK("https://creighton-primo.hosted.exlibrisgroup.com/primo-explore/search?tab=default_tab&amp;search_scope=EVERYTHING&amp;vid=01CRU&amp;lang=en_US&amp;offset=0&amp;query=any,contains,991005015199702656","Catalog Record")</f>
        <v/>
      </c>
      <c r="AV8">
        <f>HYPERLINK("http://www.worldcat.org/oclc/6485058","WorldCat Record")</f>
        <v/>
      </c>
      <c r="AW8" t="inlineStr">
        <is>
          <t>4663566945:eng</t>
        </is>
      </c>
      <c r="AX8" t="inlineStr">
        <is>
          <t>6485058</t>
        </is>
      </c>
      <c r="AY8" t="inlineStr">
        <is>
          <t>991005015199702656</t>
        </is>
      </c>
      <c r="AZ8" t="inlineStr">
        <is>
          <t>991005015199702656</t>
        </is>
      </c>
      <c r="BA8" t="inlineStr">
        <is>
          <t>2255518820002656</t>
        </is>
      </c>
      <c r="BB8" t="inlineStr">
        <is>
          <t>BOOK</t>
        </is>
      </c>
      <c r="BD8" t="inlineStr">
        <is>
          <t>9780121194017</t>
        </is>
      </c>
      <c r="BE8" t="inlineStr">
        <is>
          <t>32285001853604</t>
        </is>
      </c>
      <c r="BF8" t="inlineStr">
        <is>
          <t>893807711</t>
        </is>
      </c>
    </row>
    <row r="9">
      <c r="B9" t="inlineStr">
        <is>
          <t>CURAL</t>
        </is>
      </c>
      <c r="C9" t="inlineStr">
        <is>
          <t>SHELVES</t>
        </is>
      </c>
      <c r="D9" t="inlineStr">
        <is>
          <t>QP111.4 .H43 1999</t>
        </is>
      </c>
      <c r="E9" t="inlineStr">
        <is>
          <t>0                      QP 0111400H  43          1999</t>
        </is>
      </c>
      <c r="F9" t="inlineStr">
        <is>
          <t>Heart development / edited by Richard P. Harvey, Nadia Rosenthal.</t>
        </is>
      </c>
      <c r="H9" t="inlineStr">
        <is>
          <t>No</t>
        </is>
      </c>
      <c r="I9" t="inlineStr">
        <is>
          <t>1</t>
        </is>
      </c>
      <c r="J9" t="inlineStr">
        <is>
          <t>No</t>
        </is>
      </c>
      <c r="K9" t="inlineStr">
        <is>
          <t>No</t>
        </is>
      </c>
      <c r="L9" t="inlineStr">
        <is>
          <t>0</t>
        </is>
      </c>
      <c r="N9" t="inlineStr">
        <is>
          <t>San Diego : Academic Press, c1999.</t>
        </is>
      </c>
      <c r="O9" t="inlineStr">
        <is>
          <t>1999</t>
        </is>
      </c>
      <c r="Q9" t="inlineStr">
        <is>
          <t>eng</t>
        </is>
      </c>
      <c r="R9" t="inlineStr">
        <is>
          <t>cau</t>
        </is>
      </c>
      <c r="T9" t="inlineStr">
        <is>
          <t xml:space="preserve">QP </t>
        </is>
      </c>
      <c r="U9" t="n">
        <v>9</v>
      </c>
      <c r="V9" t="n">
        <v>9</v>
      </c>
      <c r="W9" t="inlineStr">
        <is>
          <t>2008-02-24</t>
        </is>
      </c>
      <c r="X9" t="inlineStr">
        <is>
          <t>2008-02-24</t>
        </is>
      </c>
      <c r="Y9" t="inlineStr">
        <is>
          <t>1999-04-27</t>
        </is>
      </c>
      <c r="Z9" t="inlineStr">
        <is>
          <t>1999-04-27</t>
        </is>
      </c>
      <c r="AA9" t="n">
        <v>187</v>
      </c>
      <c r="AB9" t="n">
        <v>129</v>
      </c>
      <c r="AC9" t="n">
        <v>183</v>
      </c>
      <c r="AD9" t="n">
        <v>1</v>
      </c>
      <c r="AE9" t="n">
        <v>1</v>
      </c>
      <c r="AF9" t="n">
        <v>2</v>
      </c>
      <c r="AG9" t="n">
        <v>5</v>
      </c>
      <c r="AH9" t="n">
        <v>0</v>
      </c>
      <c r="AI9" t="n">
        <v>1</v>
      </c>
      <c r="AJ9" t="n">
        <v>1</v>
      </c>
      <c r="AK9" t="n">
        <v>2</v>
      </c>
      <c r="AL9" t="n">
        <v>1</v>
      </c>
      <c r="AM9" t="n">
        <v>2</v>
      </c>
      <c r="AN9" t="n">
        <v>0</v>
      </c>
      <c r="AO9" t="n">
        <v>0</v>
      </c>
      <c r="AP9" t="n">
        <v>0</v>
      </c>
      <c r="AQ9" t="n">
        <v>0</v>
      </c>
      <c r="AR9" t="inlineStr">
        <is>
          <t>No</t>
        </is>
      </c>
      <c r="AS9" t="inlineStr">
        <is>
          <t>Yes</t>
        </is>
      </c>
      <c r="AT9">
        <f>HYPERLINK("http://catalog.hathitrust.org/Record/004008196","HathiTrust Record")</f>
        <v/>
      </c>
      <c r="AU9">
        <f>HYPERLINK("https://creighton-primo.hosted.exlibrisgroup.com/primo-explore/search?tab=default_tab&amp;search_scope=EVERYTHING&amp;vid=01CRU&amp;lang=en_US&amp;offset=0&amp;query=any,contains,991002988049702656","Catalog Record")</f>
        <v/>
      </c>
      <c r="AV9">
        <f>HYPERLINK("http://www.worldcat.org/oclc/40292358","WorldCat Record")</f>
        <v/>
      </c>
      <c r="AW9" t="inlineStr">
        <is>
          <t>2517101137:eng</t>
        </is>
      </c>
      <c r="AX9" t="inlineStr">
        <is>
          <t>40292358</t>
        </is>
      </c>
      <c r="AY9" t="inlineStr">
        <is>
          <t>991002988049702656</t>
        </is>
      </c>
      <c r="AZ9" t="inlineStr">
        <is>
          <t>991002988049702656</t>
        </is>
      </c>
      <c r="BA9" t="inlineStr">
        <is>
          <t>2262466870002656</t>
        </is>
      </c>
      <c r="BB9" t="inlineStr">
        <is>
          <t>BOOK</t>
        </is>
      </c>
      <c r="BD9" t="inlineStr">
        <is>
          <t>9780123298607</t>
        </is>
      </c>
      <c r="BE9" t="inlineStr">
        <is>
          <t>32285003556635</t>
        </is>
      </c>
      <c r="BF9" t="inlineStr">
        <is>
          <t>893409791</t>
        </is>
      </c>
    </row>
    <row r="10">
      <c r="B10" t="inlineStr">
        <is>
          <t>CURAL</t>
        </is>
      </c>
      <c r="C10" t="inlineStr">
        <is>
          <t>SHELVES</t>
        </is>
      </c>
      <c r="D10" t="inlineStr">
        <is>
          <t>QP113.2 .C38 1986</t>
        </is>
      </c>
      <c r="E10" t="inlineStr">
        <is>
          <t>0                      QP 0113200C  38          1986</t>
        </is>
      </c>
      <c r="F10" t="inlineStr">
        <is>
          <t>Cardiac muscle : the regulation of excitation and contraction / edited by Richard D. Nathan.</t>
        </is>
      </c>
      <c r="H10" t="inlineStr">
        <is>
          <t>No</t>
        </is>
      </c>
      <c r="I10" t="inlineStr">
        <is>
          <t>1</t>
        </is>
      </c>
      <c r="J10" t="inlineStr">
        <is>
          <t>No</t>
        </is>
      </c>
      <c r="K10" t="inlineStr">
        <is>
          <t>No</t>
        </is>
      </c>
      <c r="L10" t="inlineStr">
        <is>
          <t>0</t>
        </is>
      </c>
      <c r="N10" t="inlineStr">
        <is>
          <t>Orlando : Academic Press, 1986.</t>
        </is>
      </c>
      <c r="O10" t="inlineStr">
        <is>
          <t>1986</t>
        </is>
      </c>
      <c r="Q10" t="inlineStr">
        <is>
          <t>eng</t>
        </is>
      </c>
      <c r="R10" t="inlineStr">
        <is>
          <t>flu</t>
        </is>
      </c>
      <c r="S10" t="inlineStr">
        <is>
          <t>Research topics in physiology ; 8</t>
        </is>
      </c>
      <c r="T10" t="inlineStr">
        <is>
          <t xml:space="preserve">QP </t>
        </is>
      </c>
      <c r="U10" t="n">
        <v>4</v>
      </c>
      <c r="V10" t="n">
        <v>4</v>
      </c>
      <c r="W10" t="inlineStr">
        <is>
          <t>1996-09-26</t>
        </is>
      </c>
      <c r="X10" t="inlineStr">
        <is>
          <t>1996-09-26</t>
        </is>
      </c>
      <c r="Y10" t="inlineStr">
        <is>
          <t>1993-02-26</t>
        </is>
      </c>
      <c r="Z10" t="inlineStr">
        <is>
          <t>1993-02-26</t>
        </is>
      </c>
      <c r="AA10" t="n">
        <v>211</v>
      </c>
      <c r="AB10" t="n">
        <v>165</v>
      </c>
      <c r="AC10" t="n">
        <v>214</v>
      </c>
      <c r="AD10" t="n">
        <v>1</v>
      </c>
      <c r="AE10" t="n">
        <v>2</v>
      </c>
      <c r="AF10" t="n">
        <v>6</v>
      </c>
      <c r="AG10" t="n">
        <v>9</v>
      </c>
      <c r="AH10" t="n">
        <v>2</v>
      </c>
      <c r="AI10" t="n">
        <v>3</v>
      </c>
      <c r="AJ10" t="n">
        <v>4</v>
      </c>
      <c r="AK10" t="n">
        <v>6</v>
      </c>
      <c r="AL10" t="n">
        <v>4</v>
      </c>
      <c r="AM10" t="n">
        <v>4</v>
      </c>
      <c r="AN10" t="n">
        <v>0</v>
      </c>
      <c r="AO10" t="n">
        <v>1</v>
      </c>
      <c r="AP10" t="n">
        <v>0</v>
      </c>
      <c r="AQ10" t="n">
        <v>0</v>
      </c>
      <c r="AR10" t="inlineStr">
        <is>
          <t>No</t>
        </is>
      </c>
      <c r="AS10" t="inlineStr">
        <is>
          <t>Yes</t>
        </is>
      </c>
      <c r="AT10">
        <f>HYPERLINK("http://catalog.hathitrust.org/Record/000447611","HathiTrust Record")</f>
        <v/>
      </c>
      <c r="AU10">
        <f>HYPERLINK("https://creighton-primo.hosted.exlibrisgroup.com/primo-explore/search?tab=default_tab&amp;search_scope=EVERYTHING&amp;vid=01CRU&amp;lang=en_US&amp;offset=0&amp;query=any,contains,991000701789702656","Catalog Record")</f>
        <v/>
      </c>
      <c r="AV10">
        <f>HYPERLINK("http://www.worldcat.org/oclc/12550531","WorldCat Record")</f>
        <v/>
      </c>
      <c r="AW10" t="inlineStr">
        <is>
          <t>4841926:eng</t>
        </is>
      </c>
      <c r="AX10" t="inlineStr">
        <is>
          <t>12550531</t>
        </is>
      </c>
      <c r="AY10" t="inlineStr">
        <is>
          <t>991000701789702656</t>
        </is>
      </c>
      <c r="AZ10" t="inlineStr">
        <is>
          <t>991000701789702656</t>
        </is>
      </c>
      <c r="BA10" t="inlineStr">
        <is>
          <t>2267289280002656</t>
        </is>
      </c>
      <c r="BB10" t="inlineStr">
        <is>
          <t>BOOK</t>
        </is>
      </c>
      <c r="BD10" t="inlineStr">
        <is>
          <t>9780125143707</t>
        </is>
      </c>
      <c r="BE10" t="inlineStr">
        <is>
          <t>32285001549806</t>
        </is>
      </c>
      <c r="BF10" t="inlineStr">
        <is>
          <t>893444430</t>
        </is>
      </c>
    </row>
    <row r="11">
      <c r="B11" t="inlineStr">
        <is>
          <t>CURAL</t>
        </is>
      </c>
      <c r="C11" t="inlineStr">
        <is>
          <t>SHELVES</t>
        </is>
      </c>
      <c r="D11" t="inlineStr">
        <is>
          <t>QP114.E9 K37 1987</t>
        </is>
      </c>
      <c r="E11" t="inlineStr">
        <is>
          <t>0                      QP 0114000E  9                  K  37          1987</t>
        </is>
      </c>
      <c r="F11" t="inlineStr">
        <is>
          <t>Cardiovascular system and physical exercise / author, Victor L. Karpman.</t>
        </is>
      </c>
      <c r="H11" t="inlineStr">
        <is>
          <t>No</t>
        </is>
      </c>
      <c r="I11" t="inlineStr">
        <is>
          <t>1</t>
        </is>
      </c>
      <c r="J11" t="inlineStr">
        <is>
          <t>Yes</t>
        </is>
      </c>
      <c r="K11" t="inlineStr">
        <is>
          <t>No</t>
        </is>
      </c>
      <c r="L11" t="inlineStr">
        <is>
          <t>0</t>
        </is>
      </c>
      <c r="M11" t="inlineStr">
        <is>
          <t>Karpman, V. L. (Viktor Lʹvovich)</t>
        </is>
      </c>
      <c r="N11" t="inlineStr">
        <is>
          <t>Boca Raton, Fla. : CRC Press, c1987.</t>
        </is>
      </c>
      <c r="O11" t="inlineStr">
        <is>
          <t>1987</t>
        </is>
      </c>
      <c r="Q11" t="inlineStr">
        <is>
          <t>eng</t>
        </is>
      </c>
      <c r="R11" t="inlineStr">
        <is>
          <t>flu</t>
        </is>
      </c>
      <c r="T11" t="inlineStr">
        <is>
          <t xml:space="preserve">QP </t>
        </is>
      </c>
      <c r="U11" t="n">
        <v>5</v>
      </c>
      <c r="V11" t="n">
        <v>5</v>
      </c>
      <c r="W11" t="inlineStr">
        <is>
          <t>1997-06-18</t>
        </is>
      </c>
      <c r="X11" t="inlineStr">
        <is>
          <t>1997-06-18</t>
        </is>
      </c>
      <c r="Y11" t="inlineStr">
        <is>
          <t>1993-02-09</t>
        </is>
      </c>
      <c r="Z11" t="inlineStr">
        <is>
          <t>1993-02-09</t>
        </is>
      </c>
      <c r="AA11" t="n">
        <v>318</v>
      </c>
      <c r="AB11" t="n">
        <v>244</v>
      </c>
      <c r="AC11" t="n">
        <v>247</v>
      </c>
      <c r="AD11" t="n">
        <v>4</v>
      </c>
      <c r="AE11" t="n">
        <v>4</v>
      </c>
      <c r="AF11" t="n">
        <v>10</v>
      </c>
      <c r="AG11" t="n">
        <v>10</v>
      </c>
      <c r="AH11" t="n">
        <v>4</v>
      </c>
      <c r="AI11" t="n">
        <v>4</v>
      </c>
      <c r="AJ11" t="n">
        <v>2</v>
      </c>
      <c r="AK11" t="n">
        <v>2</v>
      </c>
      <c r="AL11" t="n">
        <v>3</v>
      </c>
      <c r="AM11" t="n">
        <v>3</v>
      </c>
      <c r="AN11" t="n">
        <v>2</v>
      </c>
      <c r="AO11" t="n">
        <v>2</v>
      </c>
      <c r="AP11" t="n">
        <v>0</v>
      </c>
      <c r="AQ11" t="n">
        <v>0</v>
      </c>
      <c r="AR11" t="inlineStr">
        <is>
          <t>No</t>
        </is>
      </c>
      <c r="AS11" t="inlineStr">
        <is>
          <t>No</t>
        </is>
      </c>
      <c r="AU11">
        <f>HYPERLINK("https://creighton-primo.hosted.exlibrisgroup.com/primo-explore/search?tab=default_tab&amp;search_scope=EVERYTHING&amp;vid=01CRU&amp;lang=en_US&amp;offset=0&amp;query=any,contains,991000779899702656","Catalog Record")</f>
        <v/>
      </c>
      <c r="AV11">
        <f>HYPERLINK("http://www.worldcat.org/oclc/13094506","WorldCat Record")</f>
        <v/>
      </c>
      <c r="AW11" t="inlineStr">
        <is>
          <t>5845759:eng</t>
        </is>
      </c>
      <c r="AX11" t="inlineStr">
        <is>
          <t>13094506</t>
        </is>
      </c>
      <c r="AY11" t="inlineStr">
        <is>
          <t>991000779899702656</t>
        </is>
      </c>
      <c r="AZ11" t="inlineStr">
        <is>
          <t>991000779899702656</t>
        </is>
      </c>
      <c r="BA11" t="inlineStr">
        <is>
          <t>2271914940002656</t>
        </is>
      </c>
      <c r="BB11" t="inlineStr">
        <is>
          <t>BOOK</t>
        </is>
      </c>
      <c r="BD11" t="inlineStr">
        <is>
          <t>9780849365287</t>
        </is>
      </c>
      <c r="BE11" t="inlineStr">
        <is>
          <t>32285001495166</t>
        </is>
      </c>
      <c r="BF11" t="inlineStr">
        <is>
          <t>893321332</t>
        </is>
      </c>
    </row>
    <row r="12">
      <c r="B12" t="inlineStr">
        <is>
          <t>CURAL</t>
        </is>
      </c>
      <c r="C12" t="inlineStr">
        <is>
          <t>SHELVES</t>
        </is>
      </c>
      <c r="D12" t="inlineStr">
        <is>
          <t>QP121 .A574 1990</t>
        </is>
      </c>
      <c r="E12" t="inlineStr">
        <is>
          <t>0                      QP 0121000A  574         1990</t>
        </is>
      </c>
      <c r="F12" t="inlineStr">
        <is>
          <t>Airway smooth muscle : modulation of receptors and response / editors : Devendra K. Agrawal, Robert G. Townley.</t>
        </is>
      </c>
      <c r="H12" t="inlineStr">
        <is>
          <t>No</t>
        </is>
      </c>
      <c r="I12" t="inlineStr">
        <is>
          <t>1</t>
        </is>
      </c>
      <c r="J12" t="inlineStr">
        <is>
          <t>Yes</t>
        </is>
      </c>
      <c r="K12" t="inlineStr">
        <is>
          <t>No</t>
        </is>
      </c>
      <c r="L12" t="inlineStr">
        <is>
          <t>0</t>
        </is>
      </c>
      <c r="N12" t="inlineStr">
        <is>
          <t>Boca Raton : CRC Press, 1990.</t>
        </is>
      </c>
      <c r="O12" t="inlineStr">
        <is>
          <t>1990</t>
        </is>
      </c>
      <c r="Q12" t="inlineStr">
        <is>
          <t>eng</t>
        </is>
      </c>
      <c r="R12" t="inlineStr">
        <is>
          <t>flu</t>
        </is>
      </c>
      <c r="T12" t="inlineStr">
        <is>
          <t xml:space="preserve">QP </t>
        </is>
      </c>
      <c r="U12" t="n">
        <v>10</v>
      </c>
      <c r="V12" t="n">
        <v>10</v>
      </c>
      <c r="W12" t="inlineStr">
        <is>
          <t>2005-05-02</t>
        </is>
      </c>
      <c r="X12" t="inlineStr">
        <is>
          <t>2005-05-02</t>
        </is>
      </c>
      <c r="Y12" t="inlineStr">
        <is>
          <t>1990-12-04</t>
        </is>
      </c>
      <c r="Z12" t="inlineStr">
        <is>
          <t>1990-12-04</t>
        </is>
      </c>
      <c r="AA12" t="n">
        <v>63</v>
      </c>
      <c r="AB12" t="n">
        <v>44</v>
      </c>
      <c r="AC12" t="n">
        <v>44</v>
      </c>
      <c r="AD12" t="n">
        <v>2</v>
      </c>
      <c r="AE12" t="n">
        <v>2</v>
      </c>
      <c r="AF12" t="n">
        <v>1</v>
      </c>
      <c r="AG12" t="n">
        <v>1</v>
      </c>
      <c r="AH12" t="n">
        <v>0</v>
      </c>
      <c r="AI12" t="n">
        <v>0</v>
      </c>
      <c r="AJ12" t="n">
        <v>1</v>
      </c>
      <c r="AK12" t="n">
        <v>1</v>
      </c>
      <c r="AL12" t="n">
        <v>0</v>
      </c>
      <c r="AM12" t="n">
        <v>0</v>
      </c>
      <c r="AN12" t="n">
        <v>0</v>
      </c>
      <c r="AO12" t="n">
        <v>0</v>
      </c>
      <c r="AP12" t="n">
        <v>0</v>
      </c>
      <c r="AQ12" t="n">
        <v>0</v>
      </c>
      <c r="AR12" t="inlineStr">
        <is>
          <t>No</t>
        </is>
      </c>
      <c r="AS12" t="inlineStr">
        <is>
          <t>No</t>
        </is>
      </c>
      <c r="AU12">
        <f>HYPERLINK("https://creighton-primo.hosted.exlibrisgroup.com/primo-explore/search?tab=default_tab&amp;search_scope=EVERYTHING&amp;vid=01CRU&amp;lang=en_US&amp;offset=0&amp;query=any,contains,991001687519702656","Catalog Record")</f>
        <v/>
      </c>
      <c r="AV12">
        <f>HYPERLINK("http://www.worldcat.org/oclc/21408955","WorldCat Record")</f>
        <v/>
      </c>
      <c r="AW12" t="inlineStr">
        <is>
          <t>366208244:eng</t>
        </is>
      </c>
      <c r="AX12" t="inlineStr">
        <is>
          <t>21408955</t>
        </is>
      </c>
      <c r="AY12" t="inlineStr">
        <is>
          <t>991001687519702656</t>
        </is>
      </c>
      <c r="AZ12" t="inlineStr">
        <is>
          <t>991001687519702656</t>
        </is>
      </c>
      <c r="BA12" t="inlineStr">
        <is>
          <t>2272733860002656</t>
        </is>
      </c>
      <c r="BB12" t="inlineStr">
        <is>
          <t>BOOK</t>
        </is>
      </c>
      <c r="BD12" t="inlineStr">
        <is>
          <t>9780849359040</t>
        </is>
      </c>
      <c r="BE12" t="inlineStr">
        <is>
          <t>32285000358191</t>
        </is>
      </c>
      <c r="BF12" t="inlineStr">
        <is>
          <t>893879087</t>
        </is>
      </c>
    </row>
    <row r="13">
      <c r="B13" t="inlineStr">
        <is>
          <t>CURAL</t>
        </is>
      </c>
      <c r="C13" t="inlineStr">
        <is>
          <t>SHELVES</t>
        </is>
      </c>
      <c r="D13" t="inlineStr">
        <is>
          <t>QP121 .C26 1989</t>
        </is>
      </c>
      <c r="E13" t="inlineStr">
        <is>
          <t>0                      QP 0121000C  26          1989</t>
        </is>
      </c>
      <c r="F13" t="inlineStr">
        <is>
          <t>The respiratory physiology of animals / James N. Cameron.</t>
        </is>
      </c>
      <c r="H13" t="inlineStr">
        <is>
          <t>No</t>
        </is>
      </c>
      <c r="I13" t="inlineStr">
        <is>
          <t>1</t>
        </is>
      </c>
      <c r="J13" t="inlineStr">
        <is>
          <t>No</t>
        </is>
      </c>
      <c r="K13" t="inlineStr">
        <is>
          <t>No</t>
        </is>
      </c>
      <c r="L13" t="inlineStr">
        <is>
          <t>0</t>
        </is>
      </c>
      <c r="M13" t="inlineStr">
        <is>
          <t>Cameron, James N.</t>
        </is>
      </c>
      <c r="N13" t="inlineStr">
        <is>
          <t>New York : Oxford University Press, 1989.</t>
        </is>
      </c>
      <c r="O13" t="inlineStr">
        <is>
          <t>1989</t>
        </is>
      </c>
      <c r="Q13" t="inlineStr">
        <is>
          <t>eng</t>
        </is>
      </c>
      <c r="R13" t="inlineStr">
        <is>
          <t>nyu</t>
        </is>
      </c>
      <c r="T13" t="inlineStr">
        <is>
          <t xml:space="preserve">QP </t>
        </is>
      </c>
      <c r="U13" t="n">
        <v>7</v>
      </c>
      <c r="V13" t="n">
        <v>7</v>
      </c>
      <c r="W13" t="inlineStr">
        <is>
          <t>2000-09-19</t>
        </is>
      </c>
      <c r="X13" t="inlineStr">
        <is>
          <t>2000-09-19</t>
        </is>
      </c>
      <c r="Y13" t="inlineStr">
        <is>
          <t>1990-10-12</t>
        </is>
      </c>
      <c r="Z13" t="inlineStr">
        <is>
          <t>1990-10-12</t>
        </is>
      </c>
      <c r="AA13" t="n">
        <v>303</v>
      </c>
      <c r="AB13" t="n">
        <v>238</v>
      </c>
      <c r="AC13" t="n">
        <v>255</v>
      </c>
      <c r="AD13" t="n">
        <v>1</v>
      </c>
      <c r="AE13" t="n">
        <v>1</v>
      </c>
      <c r="AF13" t="n">
        <v>12</v>
      </c>
      <c r="AG13" t="n">
        <v>12</v>
      </c>
      <c r="AH13" t="n">
        <v>3</v>
      </c>
      <c r="AI13" t="n">
        <v>3</v>
      </c>
      <c r="AJ13" t="n">
        <v>5</v>
      </c>
      <c r="AK13" t="n">
        <v>5</v>
      </c>
      <c r="AL13" t="n">
        <v>6</v>
      </c>
      <c r="AM13" t="n">
        <v>6</v>
      </c>
      <c r="AN13" t="n">
        <v>0</v>
      </c>
      <c r="AO13" t="n">
        <v>0</v>
      </c>
      <c r="AP13" t="n">
        <v>0</v>
      </c>
      <c r="AQ13" t="n">
        <v>0</v>
      </c>
      <c r="AR13" t="inlineStr">
        <is>
          <t>No</t>
        </is>
      </c>
      <c r="AS13" t="inlineStr">
        <is>
          <t>Yes</t>
        </is>
      </c>
      <c r="AT13">
        <f>HYPERLINK("http://catalog.hathitrust.org/Record/001950883","HathiTrust Record")</f>
        <v/>
      </c>
      <c r="AU13">
        <f>HYPERLINK("https://creighton-primo.hosted.exlibrisgroup.com/primo-explore/search?tab=default_tab&amp;search_scope=EVERYTHING&amp;vid=01CRU&amp;lang=en_US&amp;offset=0&amp;query=any,contains,991004451899702656","Catalog Record")</f>
        <v/>
      </c>
      <c r="AV13">
        <f>HYPERLINK("http://www.worldcat.org/oclc/19886857","WorldCat Record")</f>
        <v/>
      </c>
      <c r="AW13" t="inlineStr">
        <is>
          <t>20146914:eng</t>
        </is>
      </c>
      <c r="AX13" t="inlineStr">
        <is>
          <t>19886857</t>
        </is>
      </c>
      <c r="AY13" t="inlineStr">
        <is>
          <t>991004451899702656</t>
        </is>
      </c>
      <c r="AZ13" t="inlineStr">
        <is>
          <t>991004451899702656</t>
        </is>
      </c>
      <c r="BA13" t="inlineStr">
        <is>
          <t>2258431080002656</t>
        </is>
      </c>
      <c r="BB13" t="inlineStr">
        <is>
          <t>BOOK</t>
        </is>
      </c>
      <c r="BD13" t="inlineStr">
        <is>
          <t>9780195060195</t>
        </is>
      </c>
      <c r="BE13" t="inlineStr">
        <is>
          <t>32285000318914</t>
        </is>
      </c>
      <c r="BF13" t="inlineStr">
        <is>
          <t>893895023</t>
        </is>
      </c>
    </row>
    <row r="14">
      <c r="B14" t="inlineStr">
        <is>
          <t>CURAL</t>
        </is>
      </c>
      <c r="C14" t="inlineStr">
        <is>
          <t>SHELVES</t>
        </is>
      </c>
      <c r="D14" t="inlineStr">
        <is>
          <t>QP121 .E96</t>
        </is>
      </c>
      <c r="E14" t="inlineStr">
        <is>
          <t>0                      QP 0121000E  96</t>
        </is>
      </c>
      <c r="F14" t="inlineStr">
        <is>
          <t>The Evolution of air breathing in vertebrates / David J. Randall ... [et al.].</t>
        </is>
      </c>
      <c r="H14" t="inlineStr">
        <is>
          <t>No</t>
        </is>
      </c>
      <c r="I14" t="inlineStr">
        <is>
          <t>1</t>
        </is>
      </c>
      <c r="J14" t="inlineStr">
        <is>
          <t>No</t>
        </is>
      </c>
      <c r="K14" t="inlineStr">
        <is>
          <t>No</t>
        </is>
      </c>
      <c r="L14" t="inlineStr">
        <is>
          <t>0</t>
        </is>
      </c>
      <c r="N14" t="inlineStr">
        <is>
          <t>Cambridge [Eng.] ; New York : Cambridge University Press, 1981.</t>
        </is>
      </c>
      <c r="O14" t="inlineStr">
        <is>
          <t>1981</t>
        </is>
      </c>
      <c r="Q14" t="inlineStr">
        <is>
          <t>eng</t>
        </is>
      </c>
      <c r="R14" t="inlineStr">
        <is>
          <t>enk</t>
        </is>
      </c>
      <c r="T14" t="inlineStr">
        <is>
          <t xml:space="preserve">QP </t>
        </is>
      </c>
      <c r="U14" t="n">
        <v>7</v>
      </c>
      <c r="V14" t="n">
        <v>7</v>
      </c>
      <c r="W14" t="inlineStr">
        <is>
          <t>2000-10-24</t>
        </is>
      </c>
      <c r="X14" t="inlineStr">
        <is>
          <t>2000-10-24</t>
        </is>
      </c>
      <c r="Y14" t="inlineStr">
        <is>
          <t>1992-01-17</t>
        </is>
      </c>
      <c r="Z14" t="inlineStr">
        <is>
          <t>1992-01-17</t>
        </is>
      </c>
      <c r="AA14" t="n">
        <v>468</v>
      </c>
      <c r="AB14" t="n">
        <v>351</v>
      </c>
      <c r="AC14" t="n">
        <v>362</v>
      </c>
      <c r="AD14" t="n">
        <v>4</v>
      </c>
      <c r="AE14" t="n">
        <v>4</v>
      </c>
      <c r="AF14" t="n">
        <v>12</v>
      </c>
      <c r="AG14" t="n">
        <v>12</v>
      </c>
      <c r="AH14" t="n">
        <v>3</v>
      </c>
      <c r="AI14" t="n">
        <v>3</v>
      </c>
      <c r="AJ14" t="n">
        <v>3</v>
      </c>
      <c r="AK14" t="n">
        <v>3</v>
      </c>
      <c r="AL14" t="n">
        <v>7</v>
      </c>
      <c r="AM14" t="n">
        <v>7</v>
      </c>
      <c r="AN14" t="n">
        <v>3</v>
      </c>
      <c r="AO14" t="n">
        <v>3</v>
      </c>
      <c r="AP14" t="n">
        <v>0</v>
      </c>
      <c r="AQ14" t="n">
        <v>0</v>
      </c>
      <c r="AR14" t="inlineStr">
        <is>
          <t>No</t>
        </is>
      </c>
      <c r="AS14" t="inlineStr">
        <is>
          <t>Yes</t>
        </is>
      </c>
      <c r="AT14">
        <f>HYPERLINK("http://catalog.hathitrust.org/Record/000733662","HathiTrust Record")</f>
        <v/>
      </c>
      <c r="AU14">
        <f>HYPERLINK("https://creighton-primo.hosted.exlibrisgroup.com/primo-explore/search?tab=default_tab&amp;search_scope=EVERYTHING&amp;vid=01CRU&amp;lang=en_US&amp;offset=0&amp;query=any,contains,991004905789702656","Catalog Record")</f>
        <v/>
      </c>
      <c r="AV14">
        <f>HYPERLINK("http://www.worldcat.org/oclc/5946633","WorldCat Record")</f>
        <v/>
      </c>
      <c r="AW14" t="inlineStr">
        <is>
          <t>504013:eng</t>
        </is>
      </c>
      <c r="AX14" t="inlineStr">
        <is>
          <t>5946633</t>
        </is>
      </c>
      <c r="AY14" t="inlineStr">
        <is>
          <t>991004905789702656</t>
        </is>
      </c>
      <c r="AZ14" t="inlineStr">
        <is>
          <t>991004905789702656</t>
        </is>
      </c>
      <c r="BA14" t="inlineStr">
        <is>
          <t>2257644250002656</t>
        </is>
      </c>
      <c r="BB14" t="inlineStr">
        <is>
          <t>BOOK</t>
        </is>
      </c>
      <c r="BD14" t="inlineStr">
        <is>
          <t>9780521222594</t>
        </is>
      </c>
      <c r="BE14" t="inlineStr">
        <is>
          <t>32285000915164</t>
        </is>
      </c>
      <c r="BF14" t="inlineStr">
        <is>
          <t>893236037</t>
        </is>
      </c>
    </row>
    <row r="15">
      <c r="B15" t="inlineStr">
        <is>
          <t>CURAL</t>
        </is>
      </c>
      <c r="C15" t="inlineStr">
        <is>
          <t>SHELVES</t>
        </is>
      </c>
      <c r="D15" t="inlineStr">
        <is>
          <t>QP121 .H8</t>
        </is>
      </c>
      <c r="E15" t="inlineStr">
        <is>
          <t>0                      QP 0121000H  8</t>
        </is>
      </c>
      <c r="F15" t="inlineStr">
        <is>
          <t>Comparative physiology of vertebrate respiration.</t>
        </is>
      </c>
      <c r="H15" t="inlineStr">
        <is>
          <t>No</t>
        </is>
      </c>
      <c r="I15" t="inlineStr">
        <is>
          <t>1</t>
        </is>
      </c>
      <c r="J15" t="inlineStr">
        <is>
          <t>No</t>
        </is>
      </c>
      <c r="K15" t="inlineStr">
        <is>
          <t>No</t>
        </is>
      </c>
      <c r="L15" t="inlineStr">
        <is>
          <t>0</t>
        </is>
      </c>
      <c r="M15" t="inlineStr">
        <is>
          <t>Hughes, G. M. (George Morgan)</t>
        </is>
      </c>
      <c r="N15" t="inlineStr">
        <is>
          <t>Cambridge, Mass. : Harvard University Press, 1963.</t>
        </is>
      </c>
      <c r="O15" t="inlineStr">
        <is>
          <t>1963</t>
        </is>
      </c>
      <c r="Q15" t="inlineStr">
        <is>
          <t>eng</t>
        </is>
      </c>
      <c r="R15" t="inlineStr">
        <is>
          <t>mau</t>
        </is>
      </c>
      <c r="T15" t="inlineStr">
        <is>
          <t xml:space="preserve">QP </t>
        </is>
      </c>
      <c r="U15" t="n">
        <v>2</v>
      </c>
      <c r="V15" t="n">
        <v>2</v>
      </c>
      <c r="W15" t="inlineStr">
        <is>
          <t>2000-10-24</t>
        </is>
      </c>
      <c r="X15" t="inlineStr">
        <is>
          <t>2000-10-24</t>
        </is>
      </c>
      <c r="Y15" t="inlineStr">
        <is>
          <t>1995-03-15</t>
        </is>
      </c>
      <c r="Z15" t="inlineStr">
        <is>
          <t>1995-03-15</t>
        </is>
      </c>
      <c r="AA15" t="n">
        <v>243</v>
      </c>
      <c r="AB15" t="n">
        <v>226</v>
      </c>
      <c r="AC15" t="n">
        <v>359</v>
      </c>
      <c r="AD15" t="n">
        <v>2</v>
      </c>
      <c r="AE15" t="n">
        <v>3</v>
      </c>
      <c r="AF15" t="n">
        <v>8</v>
      </c>
      <c r="AG15" t="n">
        <v>12</v>
      </c>
      <c r="AH15" t="n">
        <v>4</v>
      </c>
      <c r="AI15" t="n">
        <v>5</v>
      </c>
      <c r="AJ15" t="n">
        <v>1</v>
      </c>
      <c r="AK15" t="n">
        <v>2</v>
      </c>
      <c r="AL15" t="n">
        <v>2</v>
      </c>
      <c r="AM15" t="n">
        <v>5</v>
      </c>
      <c r="AN15" t="n">
        <v>1</v>
      </c>
      <c r="AO15" t="n">
        <v>2</v>
      </c>
      <c r="AP15" t="n">
        <v>0</v>
      </c>
      <c r="AQ15" t="n">
        <v>0</v>
      </c>
      <c r="AR15" t="inlineStr">
        <is>
          <t>No</t>
        </is>
      </c>
      <c r="AS15" t="inlineStr">
        <is>
          <t>No</t>
        </is>
      </c>
      <c r="AT15">
        <f>HYPERLINK("http://catalog.hathitrust.org/Record/001553848","HathiTrust Record")</f>
        <v/>
      </c>
      <c r="AU15">
        <f>HYPERLINK("https://creighton-primo.hosted.exlibrisgroup.com/primo-explore/search?tab=default_tab&amp;search_scope=EVERYTHING&amp;vid=01CRU&amp;lang=en_US&amp;offset=0&amp;query=any,contains,991003403239702656","Catalog Record")</f>
        <v/>
      </c>
      <c r="AV15">
        <f>HYPERLINK("http://www.worldcat.org/oclc/942710","WorldCat Record")</f>
        <v/>
      </c>
      <c r="AW15" t="inlineStr">
        <is>
          <t>1902495:eng</t>
        </is>
      </c>
      <c r="AX15" t="inlineStr">
        <is>
          <t>942710</t>
        </is>
      </c>
      <c r="AY15" t="inlineStr">
        <is>
          <t>991003403239702656</t>
        </is>
      </c>
      <c r="AZ15" t="inlineStr">
        <is>
          <t>991003403239702656</t>
        </is>
      </c>
      <c r="BA15" t="inlineStr">
        <is>
          <t>2268367130002656</t>
        </is>
      </c>
      <c r="BB15" t="inlineStr">
        <is>
          <t>BOOK</t>
        </is>
      </c>
      <c r="BE15" t="inlineStr">
        <is>
          <t>32285002012242</t>
        </is>
      </c>
      <c r="BF15" t="inlineStr">
        <is>
          <t>893518452</t>
        </is>
      </c>
    </row>
    <row r="16">
      <c r="B16" t="inlineStr">
        <is>
          <t>CURAL</t>
        </is>
      </c>
      <c r="C16" t="inlineStr">
        <is>
          <t>SHELVES</t>
        </is>
      </c>
      <c r="D16" t="inlineStr">
        <is>
          <t>QP121 .K3</t>
        </is>
      </c>
      <c r="E16" t="inlineStr">
        <is>
          <t>0                      QP 0121000K  3</t>
        </is>
      </c>
      <c r="F16" t="inlineStr">
        <is>
          <t>A study of individual differences in breathing capacity in relation to some physical characteristics / by Helen Garside Kelly.</t>
        </is>
      </c>
      <c r="H16" t="inlineStr">
        <is>
          <t>No</t>
        </is>
      </c>
      <c r="I16" t="inlineStr">
        <is>
          <t>1</t>
        </is>
      </c>
      <c r="J16" t="inlineStr">
        <is>
          <t>No</t>
        </is>
      </c>
      <c r="K16" t="inlineStr">
        <is>
          <t>No</t>
        </is>
      </c>
      <c r="L16" t="inlineStr">
        <is>
          <t>0</t>
        </is>
      </c>
      <c r="M16" t="inlineStr">
        <is>
          <t>Kelly, Helen Garside.</t>
        </is>
      </c>
      <c r="N16" t="inlineStr">
        <is>
          <t>Iowa City, Ia. : The University, 1933.</t>
        </is>
      </c>
      <c r="O16" t="inlineStr">
        <is>
          <t>1933</t>
        </is>
      </c>
      <c r="Q16" t="inlineStr">
        <is>
          <t>eng</t>
        </is>
      </c>
      <c r="R16" t="inlineStr">
        <is>
          <t xml:space="preserve">xx </t>
        </is>
      </c>
      <c r="S16" t="inlineStr">
        <is>
          <t>University of Iowa. University of Iowa studies in child welfare, v.7, no.5</t>
        </is>
      </c>
      <c r="T16" t="inlineStr">
        <is>
          <t xml:space="preserve">QP </t>
        </is>
      </c>
      <c r="U16" t="n">
        <v>2</v>
      </c>
      <c r="V16" t="n">
        <v>2</v>
      </c>
      <c r="W16" t="inlineStr">
        <is>
          <t>1995-02-04</t>
        </is>
      </c>
      <c r="X16" t="inlineStr">
        <is>
          <t>1995-02-04</t>
        </is>
      </c>
      <c r="Y16" t="inlineStr">
        <is>
          <t>1992-01-20</t>
        </is>
      </c>
      <c r="Z16" t="inlineStr">
        <is>
          <t>1992-01-20</t>
        </is>
      </c>
      <c r="AA16" t="n">
        <v>125</v>
      </c>
      <c r="AB16" t="n">
        <v>120</v>
      </c>
      <c r="AC16" t="n">
        <v>160</v>
      </c>
      <c r="AD16" t="n">
        <v>2</v>
      </c>
      <c r="AE16" t="n">
        <v>3</v>
      </c>
      <c r="AF16" t="n">
        <v>6</v>
      </c>
      <c r="AG16" t="n">
        <v>8</v>
      </c>
      <c r="AH16" t="n">
        <v>1</v>
      </c>
      <c r="AI16" t="n">
        <v>2</v>
      </c>
      <c r="AJ16" t="n">
        <v>2</v>
      </c>
      <c r="AK16" t="n">
        <v>2</v>
      </c>
      <c r="AL16" t="n">
        <v>2</v>
      </c>
      <c r="AM16" t="n">
        <v>2</v>
      </c>
      <c r="AN16" t="n">
        <v>1</v>
      </c>
      <c r="AO16" t="n">
        <v>2</v>
      </c>
      <c r="AP16" t="n">
        <v>0</v>
      </c>
      <c r="AQ16" t="n">
        <v>0</v>
      </c>
      <c r="AR16" t="inlineStr">
        <is>
          <t>No</t>
        </is>
      </c>
      <c r="AS16" t="inlineStr">
        <is>
          <t>No</t>
        </is>
      </c>
      <c r="AU16">
        <f>HYPERLINK("https://creighton-primo.hosted.exlibrisgroup.com/primo-explore/search?tab=default_tab&amp;search_scope=EVERYTHING&amp;vid=01CRU&amp;lang=en_US&amp;offset=0&amp;query=any,contains,991004242079702656","Catalog Record")</f>
        <v/>
      </c>
      <c r="AV16">
        <f>HYPERLINK("http://www.worldcat.org/oclc/2789313","WorldCat Record")</f>
        <v/>
      </c>
      <c r="AW16" t="inlineStr">
        <is>
          <t>6224642:eng</t>
        </is>
      </c>
      <c r="AX16" t="inlineStr">
        <is>
          <t>2789313</t>
        </is>
      </c>
      <c r="AY16" t="inlineStr">
        <is>
          <t>991004242079702656</t>
        </is>
      </c>
      <c r="AZ16" t="inlineStr">
        <is>
          <t>991004242079702656</t>
        </is>
      </c>
      <c r="BA16" t="inlineStr">
        <is>
          <t>2267429250002656</t>
        </is>
      </c>
      <c r="BB16" t="inlineStr">
        <is>
          <t>BOOK</t>
        </is>
      </c>
      <c r="BE16" t="inlineStr">
        <is>
          <t>32285000914449</t>
        </is>
      </c>
      <c r="BF16" t="inlineStr">
        <is>
          <t>893800768</t>
        </is>
      </c>
    </row>
    <row r="17">
      <c r="B17" t="inlineStr">
        <is>
          <t>CURAL</t>
        </is>
      </c>
      <c r="C17" t="inlineStr">
        <is>
          <t>SHELVES</t>
        </is>
      </c>
      <c r="D17" t="inlineStr">
        <is>
          <t>QP121 .M578 1986</t>
        </is>
      </c>
      <c r="E17" t="inlineStr">
        <is>
          <t>0                      QP 0121000M  578         1986</t>
        </is>
      </c>
      <c r="F17" t="inlineStr">
        <is>
          <t>Respiratory physiology / Allan H. Mines.</t>
        </is>
      </c>
      <c r="H17" t="inlineStr">
        <is>
          <t>No</t>
        </is>
      </c>
      <c r="I17" t="inlineStr">
        <is>
          <t>1</t>
        </is>
      </c>
      <c r="J17" t="inlineStr">
        <is>
          <t>No</t>
        </is>
      </c>
      <c r="K17" t="inlineStr">
        <is>
          <t>No</t>
        </is>
      </c>
      <c r="L17" t="inlineStr">
        <is>
          <t>0</t>
        </is>
      </c>
      <c r="M17" t="inlineStr">
        <is>
          <t>Mines, Allan H.</t>
        </is>
      </c>
      <c r="N17" t="inlineStr">
        <is>
          <t>New York : Raven Press, c1986.</t>
        </is>
      </c>
      <c r="O17" t="inlineStr">
        <is>
          <t>1986</t>
        </is>
      </c>
      <c r="P17" t="inlineStr">
        <is>
          <t>2nd ed.</t>
        </is>
      </c>
      <c r="Q17" t="inlineStr">
        <is>
          <t>eng</t>
        </is>
      </c>
      <c r="R17" t="inlineStr">
        <is>
          <t>nyu</t>
        </is>
      </c>
      <c r="S17" t="inlineStr">
        <is>
          <t>Raven Press series in physiology</t>
        </is>
      </c>
      <c r="T17" t="inlineStr">
        <is>
          <t xml:space="preserve">QP </t>
        </is>
      </c>
      <c r="U17" t="n">
        <v>5</v>
      </c>
      <c r="V17" t="n">
        <v>5</v>
      </c>
      <c r="W17" t="inlineStr">
        <is>
          <t>1995-02-11</t>
        </is>
      </c>
      <c r="X17" t="inlineStr">
        <is>
          <t>1995-02-11</t>
        </is>
      </c>
      <c r="Y17" t="inlineStr">
        <is>
          <t>1992-01-17</t>
        </is>
      </c>
      <c r="Z17" t="inlineStr">
        <is>
          <t>1992-01-17</t>
        </is>
      </c>
      <c r="AA17" t="n">
        <v>223</v>
      </c>
      <c r="AB17" t="n">
        <v>159</v>
      </c>
      <c r="AC17" t="n">
        <v>319</v>
      </c>
      <c r="AD17" t="n">
        <v>2</v>
      </c>
      <c r="AE17" t="n">
        <v>2</v>
      </c>
      <c r="AF17" t="n">
        <v>6</v>
      </c>
      <c r="AG17" t="n">
        <v>10</v>
      </c>
      <c r="AH17" t="n">
        <v>1</v>
      </c>
      <c r="AI17" t="n">
        <v>2</v>
      </c>
      <c r="AJ17" t="n">
        <v>2</v>
      </c>
      <c r="AK17" t="n">
        <v>4</v>
      </c>
      <c r="AL17" t="n">
        <v>4</v>
      </c>
      <c r="AM17" t="n">
        <v>6</v>
      </c>
      <c r="AN17" t="n">
        <v>1</v>
      </c>
      <c r="AO17" t="n">
        <v>1</v>
      </c>
      <c r="AP17" t="n">
        <v>0</v>
      </c>
      <c r="AQ17" t="n">
        <v>0</v>
      </c>
      <c r="AR17" t="inlineStr">
        <is>
          <t>No</t>
        </is>
      </c>
      <c r="AS17" t="inlineStr">
        <is>
          <t>Yes</t>
        </is>
      </c>
      <c r="AT17">
        <f>HYPERLINK("http://catalog.hathitrust.org/Record/000433757","HathiTrust Record")</f>
        <v/>
      </c>
      <c r="AU17">
        <f>HYPERLINK("https://creighton-primo.hosted.exlibrisgroup.com/primo-explore/search?tab=default_tab&amp;search_scope=EVERYTHING&amp;vid=01CRU&amp;lang=en_US&amp;offset=0&amp;query=any,contains,991000785569702656","Catalog Record")</f>
        <v/>
      </c>
      <c r="AV17">
        <f>HYPERLINK("http://www.worldcat.org/oclc/13124306","WorldCat Record")</f>
        <v/>
      </c>
      <c r="AW17" t="inlineStr">
        <is>
          <t>3855421846:eng</t>
        </is>
      </c>
      <c r="AX17" t="inlineStr">
        <is>
          <t>13124306</t>
        </is>
      </c>
      <c r="AY17" t="inlineStr">
        <is>
          <t>991000785569702656</t>
        </is>
      </c>
      <c r="AZ17" t="inlineStr">
        <is>
          <t>991000785569702656</t>
        </is>
      </c>
      <c r="BA17" t="inlineStr">
        <is>
          <t>2255408230002656</t>
        </is>
      </c>
      <c r="BB17" t="inlineStr">
        <is>
          <t>BOOK</t>
        </is>
      </c>
      <c r="BD17" t="inlineStr">
        <is>
          <t>9780881671872</t>
        </is>
      </c>
      <c r="BE17" t="inlineStr">
        <is>
          <t>32285000915156</t>
        </is>
      </c>
      <c r="BF17" t="inlineStr">
        <is>
          <t>893515605</t>
        </is>
      </c>
    </row>
    <row r="18">
      <c r="B18" t="inlineStr">
        <is>
          <t>CURAL</t>
        </is>
      </c>
      <c r="C18" t="inlineStr">
        <is>
          <t>SHELVES</t>
        </is>
      </c>
      <c r="D18" t="inlineStr">
        <is>
          <t>QP121 .R448 1990</t>
        </is>
      </c>
      <c r="E18" t="inlineStr">
        <is>
          <t>0                      QP 0121000R  448         1990</t>
        </is>
      </c>
      <c r="F18" t="inlineStr">
        <is>
          <t>Respiratory biomechanics : engineering analysis of structure and function / Mary A. Farrell Epstein, James R. Ligas, editors.</t>
        </is>
      </c>
      <c r="H18" t="inlineStr">
        <is>
          <t>No</t>
        </is>
      </c>
      <c r="I18" t="inlineStr">
        <is>
          <t>1</t>
        </is>
      </c>
      <c r="J18" t="inlineStr">
        <is>
          <t>No</t>
        </is>
      </c>
      <c r="K18" t="inlineStr">
        <is>
          <t>No</t>
        </is>
      </c>
      <c r="L18" t="inlineStr">
        <is>
          <t>0</t>
        </is>
      </c>
      <c r="N18" t="inlineStr">
        <is>
          <t>New York : Springer-Verlag, c1990.</t>
        </is>
      </c>
      <c r="O18" t="inlineStr">
        <is>
          <t>1990</t>
        </is>
      </c>
      <c r="Q18" t="inlineStr">
        <is>
          <t>eng</t>
        </is>
      </c>
      <c r="R18" t="inlineStr">
        <is>
          <t>nyu</t>
        </is>
      </c>
      <c r="T18" t="inlineStr">
        <is>
          <t xml:space="preserve">QP </t>
        </is>
      </c>
      <c r="U18" t="n">
        <v>4</v>
      </c>
      <c r="V18" t="n">
        <v>4</v>
      </c>
      <c r="W18" t="inlineStr">
        <is>
          <t>2003-02-06</t>
        </is>
      </c>
      <c r="X18" t="inlineStr">
        <is>
          <t>2003-02-06</t>
        </is>
      </c>
      <c r="Y18" t="inlineStr">
        <is>
          <t>1992-05-05</t>
        </is>
      </c>
      <c r="Z18" t="inlineStr">
        <is>
          <t>1992-05-05</t>
        </is>
      </c>
      <c r="AA18" t="n">
        <v>113</v>
      </c>
      <c r="AB18" t="n">
        <v>83</v>
      </c>
      <c r="AC18" t="n">
        <v>103</v>
      </c>
      <c r="AD18" t="n">
        <v>1</v>
      </c>
      <c r="AE18" t="n">
        <v>1</v>
      </c>
      <c r="AF18" t="n">
        <v>2</v>
      </c>
      <c r="AG18" t="n">
        <v>2</v>
      </c>
      <c r="AH18" t="n">
        <v>0</v>
      </c>
      <c r="AI18" t="n">
        <v>0</v>
      </c>
      <c r="AJ18" t="n">
        <v>2</v>
      </c>
      <c r="AK18" t="n">
        <v>2</v>
      </c>
      <c r="AL18" t="n">
        <v>1</v>
      </c>
      <c r="AM18" t="n">
        <v>1</v>
      </c>
      <c r="AN18" t="n">
        <v>0</v>
      </c>
      <c r="AO18" t="n">
        <v>0</v>
      </c>
      <c r="AP18" t="n">
        <v>0</v>
      </c>
      <c r="AQ18" t="n">
        <v>0</v>
      </c>
      <c r="AR18" t="inlineStr">
        <is>
          <t>No</t>
        </is>
      </c>
      <c r="AS18" t="inlineStr">
        <is>
          <t>Yes</t>
        </is>
      </c>
      <c r="AT18">
        <f>HYPERLINK("http://catalog.hathitrust.org/Record/002226255","HathiTrust Record")</f>
        <v/>
      </c>
      <c r="AU18">
        <f>HYPERLINK("https://creighton-primo.hosted.exlibrisgroup.com/primo-explore/search?tab=default_tab&amp;search_scope=EVERYTHING&amp;vid=01CRU&amp;lang=en_US&amp;offset=0&amp;query=any,contains,991002016539702656","Catalog Record")</f>
        <v/>
      </c>
      <c r="AV18">
        <f>HYPERLINK("http://www.worldcat.org/oclc/25632581","WorldCat Record")</f>
        <v/>
      </c>
      <c r="AW18" t="inlineStr">
        <is>
          <t>908303880:eng</t>
        </is>
      </c>
      <c r="AX18" t="inlineStr">
        <is>
          <t>25632581</t>
        </is>
      </c>
      <c r="AY18" t="inlineStr">
        <is>
          <t>991002016539702656</t>
        </is>
      </c>
      <c r="AZ18" t="inlineStr">
        <is>
          <t>991002016539702656</t>
        </is>
      </c>
      <c r="BA18" t="inlineStr">
        <is>
          <t>2268181290002656</t>
        </is>
      </c>
      <c r="BB18" t="inlineStr">
        <is>
          <t>BOOK</t>
        </is>
      </c>
      <c r="BD18" t="inlineStr">
        <is>
          <t>9780387974040</t>
        </is>
      </c>
      <c r="BE18" t="inlineStr">
        <is>
          <t>32285001037885</t>
        </is>
      </c>
      <c r="BF18" t="inlineStr">
        <is>
          <t>893328589</t>
        </is>
      </c>
    </row>
    <row r="19">
      <c r="B19" t="inlineStr">
        <is>
          <t>CURAL</t>
        </is>
      </c>
      <c r="C19" t="inlineStr">
        <is>
          <t>SHELVES</t>
        </is>
      </c>
      <c r="D19" t="inlineStr">
        <is>
          <t>QP121 .W395 1984</t>
        </is>
      </c>
      <c r="E19" t="inlineStr">
        <is>
          <t>0                      QP 0121000W  395         1984</t>
        </is>
      </c>
      <c r="F19" t="inlineStr">
        <is>
          <t>The pathway for oxygen : structure and function in the mammalian respiratory system / Ewald R. Weibel.</t>
        </is>
      </c>
      <c r="H19" t="inlineStr">
        <is>
          <t>No</t>
        </is>
      </c>
      <c r="I19" t="inlineStr">
        <is>
          <t>1</t>
        </is>
      </c>
      <c r="J19" t="inlineStr">
        <is>
          <t>Yes</t>
        </is>
      </c>
      <c r="K19" t="inlineStr">
        <is>
          <t>No</t>
        </is>
      </c>
      <c r="L19" t="inlineStr">
        <is>
          <t>0</t>
        </is>
      </c>
      <c r="M19" t="inlineStr">
        <is>
          <t>Weibel, Ewald R.</t>
        </is>
      </c>
      <c r="N19" t="inlineStr">
        <is>
          <t>Cambridge, Mass. : Harvard University Press, 1984.</t>
        </is>
      </c>
      <c r="O19" t="inlineStr">
        <is>
          <t>1984</t>
        </is>
      </c>
      <c r="Q19" t="inlineStr">
        <is>
          <t>eng</t>
        </is>
      </c>
      <c r="R19" t="inlineStr">
        <is>
          <t>mau</t>
        </is>
      </c>
      <c r="T19" t="inlineStr">
        <is>
          <t xml:space="preserve">QP </t>
        </is>
      </c>
      <c r="U19" t="n">
        <v>13</v>
      </c>
      <c r="V19" t="n">
        <v>13</v>
      </c>
      <c r="W19" t="inlineStr">
        <is>
          <t>1998-04-26</t>
        </is>
      </c>
      <c r="X19" t="inlineStr">
        <is>
          <t>1998-04-26</t>
        </is>
      </c>
      <c r="Y19" t="inlineStr">
        <is>
          <t>1992-01-17</t>
        </is>
      </c>
      <c r="Z19" t="inlineStr">
        <is>
          <t>1992-01-17</t>
        </is>
      </c>
      <c r="AA19" t="n">
        <v>440</v>
      </c>
      <c r="AB19" t="n">
        <v>364</v>
      </c>
      <c r="AC19" t="n">
        <v>366</v>
      </c>
      <c r="AD19" t="n">
        <v>4</v>
      </c>
      <c r="AE19" t="n">
        <v>4</v>
      </c>
      <c r="AF19" t="n">
        <v>16</v>
      </c>
      <c r="AG19" t="n">
        <v>16</v>
      </c>
      <c r="AH19" t="n">
        <v>6</v>
      </c>
      <c r="AI19" t="n">
        <v>6</v>
      </c>
      <c r="AJ19" t="n">
        <v>5</v>
      </c>
      <c r="AK19" t="n">
        <v>5</v>
      </c>
      <c r="AL19" t="n">
        <v>8</v>
      </c>
      <c r="AM19" t="n">
        <v>8</v>
      </c>
      <c r="AN19" t="n">
        <v>2</v>
      </c>
      <c r="AO19" t="n">
        <v>2</v>
      </c>
      <c r="AP19" t="n">
        <v>0</v>
      </c>
      <c r="AQ19" t="n">
        <v>0</v>
      </c>
      <c r="AR19" t="inlineStr">
        <is>
          <t>No</t>
        </is>
      </c>
      <c r="AS19" t="inlineStr">
        <is>
          <t>Yes</t>
        </is>
      </c>
      <c r="AT19">
        <f>HYPERLINK("http://catalog.hathitrust.org/Record/000558887","HathiTrust Record")</f>
        <v/>
      </c>
      <c r="AU19">
        <f>HYPERLINK("https://creighton-primo.hosted.exlibrisgroup.com/primo-explore/search?tab=default_tab&amp;search_scope=EVERYTHING&amp;vid=01CRU&amp;lang=en_US&amp;offset=0&amp;query=any,contains,991000299209702656","Catalog Record")</f>
        <v/>
      </c>
      <c r="AV19">
        <f>HYPERLINK("http://www.worldcat.org/oclc/10020345","WorldCat Record")</f>
        <v/>
      </c>
      <c r="AW19" t="inlineStr">
        <is>
          <t>836633791:eng</t>
        </is>
      </c>
      <c r="AX19" t="inlineStr">
        <is>
          <t>10020345</t>
        </is>
      </c>
      <c r="AY19" t="inlineStr">
        <is>
          <t>991000299209702656</t>
        </is>
      </c>
      <c r="AZ19" t="inlineStr">
        <is>
          <t>991000299209702656</t>
        </is>
      </c>
      <c r="BA19" t="inlineStr">
        <is>
          <t>2265211030002656</t>
        </is>
      </c>
      <c r="BB19" t="inlineStr">
        <is>
          <t>BOOK</t>
        </is>
      </c>
      <c r="BD19" t="inlineStr">
        <is>
          <t>9780674657908</t>
        </is>
      </c>
      <c r="BE19" t="inlineStr">
        <is>
          <t>32285000915149</t>
        </is>
      </c>
      <c r="BF19" t="inlineStr">
        <is>
          <t>893407076</t>
        </is>
      </c>
    </row>
    <row r="20">
      <c r="B20" t="inlineStr">
        <is>
          <t>CURAL</t>
        </is>
      </c>
      <c r="C20" t="inlineStr">
        <is>
          <t>SHELVES</t>
        </is>
      </c>
      <c r="D20" t="inlineStr">
        <is>
          <t>QP135 .C5 1985</t>
        </is>
      </c>
      <c r="E20" t="inlineStr">
        <is>
          <t>0                      QP 0135000C  5           1985</t>
        </is>
      </c>
      <c r="F20" t="inlineStr">
        <is>
          <t>Man and his thermal environment / R.P. Clark, O.G. Edholm.</t>
        </is>
      </c>
      <c r="H20" t="inlineStr">
        <is>
          <t>No</t>
        </is>
      </c>
      <c r="I20" t="inlineStr">
        <is>
          <t>1</t>
        </is>
      </c>
      <c r="J20" t="inlineStr">
        <is>
          <t>Yes</t>
        </is>
      </c>
      <c r="K20" t="inlineStr">
        <is>
          <t>No</t>
        </is>
      </c>
      <c r="L20" t="inlineStr">
        <is>
          <t>0</t>
        </is>
      </c>
      <c r="M20" t="inlineStr">
        <is>
          <t>Clark, R. P.</t>
        </is>
      </c>
      <c r="N20" t="inlineStr">
        <is>
          <t>London : Edward Arnold, 1985.</t>
        </is>
      </c>
      <c r="O20" t="inlineStr">
        <is>
          <t>1985</t>
        </is>
      </c>
      <c r="Q20" t="inlineStr">
        <is>
          <t>eng</t>
        </is>
      </c>
      <c r="R20" t="inlineStr">
        <is>
          <t>enk</t>
        </is>
      </c>
      <c r="T20" t="inlineStr">
        <is>
          <t xml:space="preserve">QP </t>
        </is>
      </c>
      <c r="U20" t="n">
        <v>2</v>
      </c>
      <c r="V20" t="n">
        <v>16</v>
      </c>
      <c r="W20" t="inlineStr">
        <is>
          <t>2005-03-23</t>
        </is>
      </c>
      <c r="X20" t="inlineStr">
        <is>
          <t>2005-03-23</t>
        </is>
      </c>
      <c r="Y20" t="inlineStr">
        <is>
          <t>1993-03-24</t>
        </is>
      </c>
      <c r="Z20" t="inlineStr">
        <is>
          <t>1993-03-24</t>
        </is>
      </c>
      <c r="AA20" t="n">
        <v>271</v>
      </c>
      <c r="AB20" t="n">
        <v>171</v>
      </c>
      <c r="AC20" t="n">
        <v>176</v>
      </c>
      <c r="AD20" t="n">
        <v>3</v>
      </c>
      <c r="AE20" t="n">
        <v>3</v>
      </c>
      <c r="AF20" t="n">
        <v>7</v>
      </c>
      <c r="AG20" t="n">
        <v>7</v>
      </c>
      <c r="AH20" t="n">
        <v>2</v>
      </c>
      <c r="AI20" t="n">
        <v>2</v>
      </c>
      <c r="AJ20" t="n">
        <v>4</v>
      </c>
      <c r="AK20" t="n">
        <v>4</v>
      </c>
      <c r="AL20" t="n">
        <v>2</v>
      </c>
      <c r="AM20" t="n">
        <v>2</v>
      </c>
      <c r="AN20" t="n">
        <v>1</v>
      </c>
      <c r="AO20" t="n">
        <v>1</v>
      </c>
      <c r="AP20" t="n">
        <v>0</v>
      </c>
      <c r="AQ20" t="n">
        <v>0</v>
      </c>
      <c r="AR20" t="inlineStr">
        <is>
          <t>No</t>
        </is>
      </c>
      <c r="AS20" t="inlineStr">
        <is>
          <t>No</t>
        </is>
      </c>
      <c r="AU20">
        <f>HYPERLINK("https://creighton-primo.hosted.exlibrisgroup.com/primo-explore/search?tab=default_tab&amp;search_scope=EVERYTHING&amp;vid=01CRU&amp;lang=en_US&amp;offset=0&amp;query=any,contains,991001778329702656","Catalog Record")</f>
        <v/>
      </c>
      <c r="AV20">
        <f>HYPERLINK("http://www.worldcat.org/oclc/12664798","WorldCat Record")</f>
        <v/>
      </c>
      <c r="AW20" t="inlineStr">
        <is>
          <t>5399814:eng</t>
        </is>
      </c>
      <c r="AX20" t="inlineStr">
        <is>
          <t>12664798</t>
        </is>
      </c>
      <c r="AY20" t="inlineStr">
        <is>
          <t>991001778329702656</t>
        </is>
      </c>
      <c r="AZ20" t="inlineStr">
        <is>
          <t>991001778329702656</t>
        </is>
      </c>
      <c r="BA20" t="inlineStr">
        <is>
          <t>2258096090002656</t>
        </is>
      </c>
      <c r="BB20" t="inlineStr">
        <is>
          <t>BOOK</t>
        </is>
      </c>
      <c r="BD20" t="inlineStr">
        <is>
          <t>9780713144451</t>
        </is>
      </c>
      <c r="BE20" t="inlineStr">
        <is>
          <t>32285001579829</t>
        </is>
      </c>
      <c r="BF20" t="inlineStr">
        <is>
          <t>893772899</t>
        </is>
      </c>
    </row>
    <row r="21">
      <c r="B21" t="inlineStr">
        <is>
          <t>CURAL</t>
        </is>
      </c>
      <c r="C21" t="inlineStr">
        <is>
          <t>SHELVES</t>
        </is>
      </c>
      <c r="D21" t="inlineStr">
        <is>
          <t>QP135 .G57 1993</t>
        </is>
      </c>
      <c r="E21" t="inlineStr">
        <is>
          <t>0                      QP 0135000G  57          1993</t>
        </is>
      </c>
      <c r="F21" t="inlineStr">
        <is>
          <t>Temperature regulation in laboratory rodents / Christopher J. Gordon.</t>
        </is>
      </c>
      <c r="H21" t="inlineStr">
        <is>
          <t>No</t>
        </is>
      </c>
      <c r="I21" t="inlineStr">
        <is>
          <t>1</t>
        </is>
      </c>
      <c r="J21" t="inlineStr">
        <is>
          <t>No</t>
        </is>
      </c>
      <c r="K21" t="inlineStr">
        <is>
          <t>No</t>
        </is>
      </c>
      <c r="L21" t="inlineStr">
        <is>
          <t>0</t>
        </is>
      </c>
      <c r="M21" t="inlineStr">
        <is>
          <t>Gordon, Christopher J.</t>
        </is>
      </c>
      <c r="N21" t="inlineStr">
        <is>
          <t>Cambridge [England] ; New York, NY, USA : Cambridge University Press, 1993.</t>
        </is>
      </c>
      <c r="O21" t="inlineStr">
        <is>
          <t>1993</t>
        </is>
      </c>
      <c r="Q21" t="inlineStr">
        <is>
          <t>eng</t>
        </is>
      </c>
      <c r="R21" t="inlineStr">
        <is>
          <t>enk</t>
        </is>
      </c>
      <c r="T21" t="inlineStr">
        <is>
          <t xml:space="preserve">QP </t>
        </is>
      </c>
      <c r="U21" t="n">
        <v>9</v>
      </c>
      <c r="V21" t="n">
        <v>9</v>
      </c>
      <c r="W21" t="inlineStr">
        <is>
          <t>2006-10-03</t>
        </is>
      </c>
      <c r="X21" t="inlineStr">
        <is>
          <t>2006-10-03</t>
        </is>
      </c>
      <c r="Y21" t="inlineStr">
        <is>
          <t>1994-01-26</t>
        </is>
      </c>
      <c r="Z21" t="inlineStr">
        <is>
          <t>1994-01-26</t>
        </is>
      </c>
      <c r="AA21" t="n">
        <v>215</v>
      </c>
      <c r="AB21" t="n">
        <v>161</v>
      </c>
      <c r="AC21" t="n">
        <v>174</v>
      </c>
      <c r="AD21" t="n">
        <v>1</v>
      </c>
      <c r="AE21" t="n">
        <v>1</v>
      </c>
      <c r="AF21" t="n">
        <v>5</v>
      </c>
      <c r="AG21" t="n">
        <v>5</v>
      </c>
      <c r="AH21" t="n">
        <v>3</v>
      </c>
      <c r="AI21" t="n">
        <v>3</v>
      </c>
      <c r="AJ21" t="n">
        <v>1</v>
      </c>
      <c r="AK21" t="n">
        <v>1</v>
      </c>
      <c r="AL21" t="n">
        <v>3</v>
      </c>
      <c r="AM21" t="n">
        <v>3</v>
      </c>
      <c r="AN21" t="n">
        <v>0</v>
      </c>
      <c r="AO21" t="n">
        <v>0</v>
      </c>
      <c r="AP21" t="n">
        <v>0</v>
      </c>
      <c r="AQ21" t="n">
        <v>0</v>
      </c>
      <c r="AR21" t="inlineStr">
        <is>
          <t>No</t>
        </is>
      </c>
      <c r="AS21" t="inlineStr">
        <is>
          <t>No</t>
        </is>
      </c>
      <c r="AU21">
        <f>HYPERLINK("https://creighton-primo.hosted.exlibrisgroup.com/primo-explore/search?tab=default_tab&amp;search_scope=EVERYTHING&amp;vid=01CRU&amp;lang=en_US&amp;offset=0&amp;query=any,contains,991002078429702656","Catalog Record")</f>
        <v/>
      </c>
      <c r="AV21">
        <f>HYPERLINK("http://www.worldcat.org/oclc/26636322","WorldCat Record")</f>
        <v/>
      </c>
      <c r="AW21" t="inlineStr">
        <is>
          <t>29178255:eng</t>
        </is>
      </c>
      <c r="AX21" t="inlineStr">
        <is>
          <t>26636322</t>
        </is>
      </c>
      <c r="AY21" t="inlineStr">
        <is>
          <t>991002078429702656</t>
        </is>
      </c>
      <c r="AZ21" t="inlineStr">
        <is>
          <t>991002078429702656</t>
        </is>
      </c>
      <c r="BA21" t="inlineStr">
        <is>
          <t>2263157000002656</t>
        </is>
      </c>
      <c r="BB21" t="inlineStr">
        <is>
          <t>BOOK</t>
        </is>
      </c>
      <c r="BD21" t="inlineStr">
        <is>
          <t>9780521414265</t>
        </is>
      </c>
      <c r="BE21" t="inlineStr">
        <is>
          <t>32285001833614</t>
        </is>
      </c>
      <c r="BF21" t="inlineStr">
        <is>
          <t>893497697</t>
        </is>
      </c>
    </row>
    <row r="22">
      <c r="B22" t="inlineStr">
        <is>
          <t>CURAL</t>
        </is>
      </c>
      <c r="C22" t="inlineStr">
        <is>
          <t>SHELVES</t>
        </is>
      </c>
      <c r="D22" t="inlineStr">
        <is>
          <t>QP135 .H69 1982</t>
        </is>
      </c>
      <c r="E22" t="inlineStr">
        <is>
          <t>0                      QP 0135000H  69          1982</t>
        </is>
      </c>
      <c r="F22" t="inlineStr">
        <is>
          <t>Human body temperature : its measurement and regulation / by Y. Houdas and E.F.J. Ring.</t>
        </is>
      </c>
      <c r="H22" t="inlineStr">
        <is>
          <t>No</t>
        </is>
      </c>
      <c r="I22" t="inlineStr">
        <is>
          <t>1</t>
        </is>
      </c>
      <c r="J22" t="inlineStr">
        <is>
          <t>No</t>
        </is>
      </c>
      <c r="K22" t="inlineStr">
        <is>
          <t>No</t>
        </is>
      </c>
      <c r="L22" t="inlineStr">
        <is>
          <t>0</t>
        </is>
      </c>
      <c r="M22" t="inlineStr">
        <is>
          <t>Houdas, Y. (Yvon), 1932-</t>
        </is>
      </c>
      <c r="N22" t="inlineStr">
        <is>
          <t>New York : Plenum Press, c1982.</t>
        </is>
      </c>
      <c r="O22" t="inlineStr">
        <is>
          <t>1982</t>
        </is>
      </c>
      <c r="Q22" t="inlineStr">
        <is>
          <t>eng</t>
        </is>
      </c>
      <c r="R22" t="inlineStr">
        <is>
          <t>nyu</t>
        </is>
      </c>
      <c r="T22" t="inlineStr">
        <is>
          <t xml:space="preserve">QP </t>
        </is>
      </c>
      <c r="U22" t="n">
        <v>7</v>
      </c>
      <c r="V22" t="n">
        <v>7</v>
      </c>
      <c r="W22" t="inlineStr">
        <is>
          <t>2005-03-23</t>
        </is>
      </c>
      <c r="X22" t="inlineStr">
        <is>
          <t>2005-03-23</t>
        </is>
      </c>
      <c r="Y22" t="inlineStr">
        <is>
          <t>1993-02-26</t>
        </is>
      </c>
      <c r="Z22" t="inlineStr">
        <is>
          <t>1993-02-26</t>
        </is>
      </c>
      <c r="AA22" t="n">
        <v>269</v>
      </c>
      <c r="AB22" t="n">
        <v>196</v>
      </c>
      <c r="AC22" t="n">
        <v>215</v>
      </c>
      <c r="AD22" t="n">
        <v>1</v>
      </c>
      <c r="AE22" t="n">
        <v>1</v>
      </c>
      <c r="AF22" t="n">
        <v>4</v>
      </c>
      <c r="AG22" t="n">
        <v>5</v>
      </c>
      <c r="AH22" t="n">
        <v>1</v>
      </c>
      <c r="AI22" t="n">
        <v>2</v>
      </c>
      <c r="AJ22" t="n">
        <v>3</v>
      </c>
      <c r="AK22" t="n">
        <v>4</v>
      </c>
      <c r="AL22" t="n">
        <v>2</v>
      </c>
      <c r="AM22" t="n">
        <v>2</v>
      </c>
      <c r="AN22" t="n">
        <v>0</v>
      </c>
      <c r="AO22" t="n">
        <v>0</v>
      </c>
      <c r="AP22" t="n">
        <v>0</v>
      </c>
      <c r="AQ22" t="n">
        <v>0</v>
      </c>
      <c r="AR22" t="inlineStr">
        <is>
          <t>No</t>
        </is>
      </c>
      <c r="AS22" t="inlineStr">
        <is>
          <t>Yes</t>
        </is>
      </c>
      <c r="AT22">
        <f>HYPERLINK("http://catalog.hathitrust.org/Record/000198272","HathiTrust Record")</f>
        <v/>
      </c>
      <c r="AU22">
        <f>HYPERLINK("https://creighton-primo.hosted.exlibrisgroup.com/primo-explore/search?tab=default_tab&amp;search_scope=EVERYTHING&amp;vid=01CRU&amp;lang=en_US&amp;offset=0&amp;query=any,contains,991005249869702656","Catalog Record")</f>
        <v/>
      </c>
      <c r="AV22">
        <f>HYPERLINK("http://www.worldcat.org/oclc/8476980","WorldCat Record")</f>
        <v/>
      </c>
      <c r="AW22" t="inlineStr">
        <is>
          <t>308961469:eng</t>
        </is>
      </c>
      <c r="AX22" t="inlineStr">
        <is>
          <t>8476980</t>
        </is>
      </c>
      <c r="AY22" t="inlineStr">
        <is>
          <t>991005249869702656</t>
        </is>
      </c>
      <c r="AZ22" t="inlineStr">
        <is>
          <t>991005249869702656</t>
        </is>
      </c>
      <c r="BA22" t="inlineStr">
        <is>
          <t>2257714200002656</t>
        </is>
      </c>
      <c r="BB22" t="inlineStr">
        <is>
          <t>BOOK</t>
        </is>
      </c>
      <c r="BD22" t="inlineStr">
        <is>
          <t>9780306408724</t>
        </is>
      </c>
      <c r="BE22" t="inlineStr">
        <is>
          <t>32285001549830</t>
        </is>
      </c>
      <c r="BF22" t="inlineStr">
        <is>
          <t>893808072</t>
        </is>
      </c>
    </row>
    <row r="23">
      <c r="B23" t="inlineStr">
        <is>
          <t>CURAL</t>
        </is>
      </c>
      <c r="C23" t="inlineStr">
        <is>
          <t>SHELVES</t>
        </is>
      </c>
      <c r="D23" t="inlineStr">
        <is>
          <t>QP135 .I48 1971a</t>
        </is>
      </c>
      <c r="E23" t="inlineStr">
        <is>
          <t>0                      QP 0135000I  48          1971a</t>
        </is>
      </c>
      <c r="F23" t="inlineStr">
        <is>
          <t>Essays on temperature regulation / editors: J. Bligh [and] R. E. Moore.</t>
        </is>
      </c>
      <c r="H23" t="inlineStr">
        <is>
          <t>No</t>
        </is>
      </c>
      <c r="I23" t="inlineStr">
        <is>
          <t>1</t>
        </is>
      </c>
      <c r="J23" t="inlineStr">
        <is>
          <t>No</t>
        </is>
      </c>
      <c r="K23" t="inlineStr">
        <is>
          <t>No</t>
        </is>
      </c>
      <c r="L23" t="inlineStr">
        <is>
          <t>0</t>
        </is>
      </c>
      <c r="M23" t="inlineStr">
        <is>
          <t>International Symposium on Bioenergetics and Temperature Regulation (1971 : Dublin, Ireland)</t>
        </is>
      </c>
      <c r="N23" t="inlineStr">
        <is>
          <t>Amsterdam : North-Holland Pub. Co. ; New York : American Elsevier Pub. Co., 1972.</t>
        </is>
      </c>
      <c r="O23" t="inlineStr">
        <is>
          <t>1972</t>
        </is>
      </c>
      <c r="Q23" t="inlineStr">
        <is>
          <t>eng</t>
        </is>
      </c>
      <c r="R23" t="inlineStr">
        <is>
          <t xml:space="preserve">xx </t>
        </is>
      </c>
      <c r="T23" t="inlineStr">
        <is>
          <t xml:space="preserve">QP </t>
        </is>
      </c>
      <c r="U23" t="n">
        <v>4</v>
      </c>
      <c r="V23" t="n">
        <v>4</v>
      </c>
      <c r="W23" t="inlineStr">
        <is>
          <t>1995-01-28</t>
        </is>
      </c>
      <c r="X23" t="inlineStr">
        <is>
          <t>1995-01-28</t>
        </is>
      </c>
      <c r="Y23" t="inlineStr">
        <is>
          <t>1993-03-24</t>
        </is>
      </c>
      <c r="Z23" t="inlineStr">
        <is>
          <t>1993-03-24</t>
        </is>
      </c>
      <c r="AA23" t="n">
        <v>152</v>
      </c>
      <c r="AB23" t="n">
        <v>136</v>
      </c>
      <c r="AC23" t="n">
        <v>230</v>
      </c>
      <c r="AD23" t="n">
        <v>3</v>
      </c>
      <c r="AE23" t="n">
        <v>3</v>
      </c>
      <c r="AF23" t="n">
        <v>7</v>
      </c>
      <c r="AG23" t="n">
        <v>7</v>
      </c>
      <c r="AH23" t="n">
        <v>2</v>
      </c>
      <c r="AI23" t="n">
        <v>2</v>
      </c>
      <c r="AJ23" t="n">
        <v>0</v>
      </c>
      <c r="AK23" t="n">
        <v>0</v>
      </c>
      <c r="AL23" t="n">
        <v>4</v>
      </c>
      <c r="AM23" t="n">
        <v>4</v>
      </c>
      <c r="AN23" t="n">
        <v>2</v>
      </c>
      <c r="AO23" t="n">
        <v>2</v>
      </c>
      <c r="AP23" t="n">
        <v>0</v>
      </c>
      <c r="AQ23" t="n">
        <v>0</v>
      </c>
      <c r="AR23" t="inlineStr">
        <is>
          <t>No</t>
        </is>
      </c>
      <c r="AS23" t="inlineStr">
        <is>
          <t>No</t>
        </is>
      </c>
      <c r="AU23">
        <f>HYPERLINK("https://creighton-primo.hosted.exlibrisgroup.com/primo-explore/search?tab=default_tab&amp;search_scope=EVERYTHING&amp;vid=01CRU&amp;lang=en_US&amp;offset=0&amp;query=any,contains,991002663089702656","Catalog Record")</f>
        <v/>
      </c>
      <c r="AV23">
        <f>HYPERLINK("http://www.worldcat.org/oclc/392116","WorldCat Record")</f>
        <v/>
      </c>
      <c r="AW23" t="inlineStr">
        <is>
          <t>2057774:eng</t>
        </is>
      </c>
      <c r="AX23" t="inlineStr">
        <is>
          <t>392116</t>
        </is>
      </c>
      <c r="AY23" t="inlineStr">
        <is>
          <t>991002663089702656</t>
        </is>
      </c>
      <c r="AZ23" t="inlineStr">
        <is>
          <t>991002663089702656</t>
        </is>
      </c>
      <c r="BA23" t="inlineStr">
        <is>
          <t>2263525010002656</t>
        </is>
      </c>
      <c r="BB23" t="inlineStr">
        <is>
          <t>BOOK</t>
        </is>
      </c>
      <c r="BE23" t="inlineStr">
        <is>
          <t>32285001579811</t>
        </is>
      </c>
      <c r="BF23" t="inlineStr">
        <is>
          <t>893685625</t>
        </is>
      </c>
    </row>
    <row r="24">
      <c r="B24" t="inlineStr">
        <is>
          <t>CURAL</t>
        </is>
      </c>
      <c r="C24" t="inlineStr">
        <is>
          <t>SHELVES</t>
        </is>
      </c>
      <c r="D24" t="inlineStr">
        <is>
          <t>QP135 .I58 1985</t>
        </is>
      </c>
      <c r="E24" t="inlineStr">
        <is>
          <t>0                      QP 0135000I  58          1985</t>
        </is>
      </c>
      <c r="F24" t="inlineStr">
        <is>
          <t>Homeostasis and thermal stress : experimental and therapeutic advances / 6th International Symposium on the Pharmacology of Thermoregulation, Jasper, Alta., August 26-31, 1985 ; editors, K. Cooper ... [et al.].</t>
        </is>
      </c>
      <c r="H24" t="inlineStr">
        <is>
          <t>No</t>
        </is>
      </c>
      <c r="I24" t="inlineStr">
        <is>
          <t>1</t>
        </is>
      </c>
      <c r="J24" t="inlineStr">
        <is>
          <t>No</t>
        </is>
      </c>
      <c r="K24" t="inlineStr">
        <is>
          <t>No</t>
        </is>
      </c>
      <c r="L24" t="inlineStr">
        <is>
          <t>0</t>
        </is>
      </c>
      <c r="M24" t="inlineStr">
        <is>
          <t>International Symposium on the Pharmacology of Thermoregulation (6th : 1985 : Jasper, Alta.)</t>
        </is>
      </c>
      <c r="N24" t="inlineStr">
        <is>
          <t>Basel ; New York : Karger, 1986.</t>
        </is>
      </c>
      <c r="O24" t="inlineStr">
        <is>
          <t>1986</t>
        </is>
      </c>
      <c r="Q24" t="inlineStr">
        <is>
          <t>eng</t>
        </is>
      </c>
      <c r="R24" t="inlineStr">
        <is>
          <t xml:space="preserve">sz </t>
        </is>
      </c>
      <c r="S24" t="inlineStr">
        <is>
          <t>Symposia on the pharmacology of thermoregulation</t>
        </is>
      </c>
      <c r="T24" t="inlineStr">
        <is>
          <t xml:space="preserve">QP </t>
        </is>
      </c>
      <c r="U24" t="n">
        <v>6</v>
      </c>
      <c r="V24" t="n">
        <v>6</v>
      </c>
      <c r="W24" t="inlineStr">
        <is>
          <t>1996-10-01</t>
        </is>
      </c>
      <c r="X24" t="inlineStr">
        <is>
          <t>1996-10-01</t>
        </is>
      </c>
      <c r="Y24" t="inlineStr">
        <is>
          <t>1993-02-26</t>
        </is>
      </c>
      <c r="Z24" t="inlineStr">
        <is>
          <t>1993-02-26</t>
        </is>
      </c>
      <c r="AA24" t="n">
        <v>97</v>
      </c>
      <c r="AB24" t="n">
        <v>67</v>
      </c>
      <c r="AC24" t="n">
        <v>69</v>
      </c>
      <c r="AD24" t="n">
        <v>1</v>
      </c>
      <c r="AE24" t="n">
        <v>1</v>
      </c>
      <c r="AF24" t="n">
        <v>1</v>
      </c>
      <c r="AG24" t="n">
        <v>1</v>
      </c>
      <c r="AH24" t="n">
        <v>0</v>
      </c>
      <c r="AI24" t="n">
        <v>0</v>
      </c>
      <c r="AJ24" t="n">
        <v>1</v>
      </c>
      <c r="AK24" t="n">
        <v>1</v>
      </c>
      <c r="AL24" t="n">
        <v>0</v>
      </c>
      <c r="AM24" t="n">
        <v>0</v>
      </c>
      <c r="AN24" t="n">
        <v>0</v>
      </c>
      <c r="AO24" t="n">
        <v>0</v>
      </c>
      <c r="AP24" t="n">
        <v>0</v>
      </c>
      <c r="AQ24" t="n">
        <v>0</v>
      </c>
      <c r="AR24" t="inlineStr">
        <is>
          <t>No</t>
        </is>
      </c>
      <c r="AS24" t="inlineStr">
        <is>
          <t>Yes</t>
        </is>
      </c>
      <c r="AT24">
        <f>HYPERLINK("http://catalog.hathitrust.org/Record/000436078","HathiTrust Record")</f>
        <v/>
      </c>
      <c r="AU24">
        <f>HYPERLINK("https://creighton-primo.hosted.exlibrisgroup.com/primo-explore/search?tab=default_tab&amp;search_scope=EVERYTHING&amp;vid=01CRU&amp;lang=en_US&amp;offset=0&amp;query=any,contains,991000732539702656","Catalog Record")</f>
        <v/>
      </c>
      <c r="AV24">
        <f>HYPERLINK("http://www.worldcat.org/oclc/12749372","WorldCat Record")</f>
        <v/>
      </c>
      <c r="AW24" t="inlineStr">
        <is>
          <t>5821820:eng</t>
        </is>
      </c>
      <c r="AX24" t="inlineStr">
        <is>
          <t>12749372</t>
        </is>
      </c>
      <c r="AY24" t="inlineStr">
        <is>
          <t>991000732539702656</t>
        </is>
      </c>
      <c r="AZ24" t="inlineStr">
        <is>
          <t>991000732539702656</t>
        </is>
      </c>
      <c r="BA24" t="inlineStr">
        <is>
          <t>2265535230002656</t>
        </is>
      </c>
      <c r="BB24" t="inlineStr">
        <is>
          <t>BOOK</t>
        </is>
      </c>
      <c r="BD24" t="inlineStr">
        <is>
          <t>9783805542289</t>
        </is>
      </c>
      <c r="BE24" t="inlineStr">
        <is>
          <t>32285001549848</t>
        </is>
      </c>
      <c r="BF24" t="inlineStr">
        <is>
          <t>893425986</t>
        </is>
      </c>
    </row>
    <row r="25">
      <c r="B25" t="inlineStr">
        <is>
          <t>CURAL</t>
        </is>
      </c>
      <c r="C25" t="inlineStr">
        <is>
          <t>SHELVES</t>
        </is>
      </c>
      <c r="D25" t="inlineStr">
        <is>
          <t>QP135 .I58 1988</t>
        </is>
      </c>
      <c r="E25" t="inlineStr">
        <is>
          <t>0                      QP 0135000I  58          1988</t>
        </is>
      </c>
      <c r="F25" t="inlineStr">
        <is>
          <t>Thermoregulation : research and clinical applications / 7th International Symposium on the Pharmacology of Thermoregulation, Odense, August 22-26, 1988 ; editors, P. Lomax, E. Schönbaum.</t>
        </is>
      </c>
      <c r="H25" t="inlineStr">
        <is>
          <t>No</t>
        </is>
      </c>
      <c r="I25" t="inlineStr">
        <is>
          <t>1</t>
        </is>
      </c>
      <c r="J25" t="inlineStr">
        <is>
          <t>No</t>
        </is>
      </c>
      <c r="K25" t="inlineStr">
        <is>
          <t>No</t>
        </is>
      </c>
      <c r="L25" t="inlineStr">
        <is>
          <t>0</t>
        </is>
      </c>
      <c r="M25" t="inlineStr">
        <is>
          <t>International Symposium on the Pharmacology of Thermoregulation (7th : 1988 : Odense, Denmark)</t>
        </is>
      </c>
      <c r="N25" t="inlineStr">
        <is>
          <t>Basel ; New York : Karger, c1989.</t>
        </is>
      </c>
      <c r="O25" t="inlineStr">
        <is>
          <t>1989</t>
        </is>
      </c>
      <c r="Q25" t="inlineStr">
        <is>
          <t>eng</t>
        </is>
      </c>
      <c r="R25" t="inlineStr">
        <is>
          <t xml:space="preserve">sz </t>
        </is>
      </c>
      <c r="T25" t="inlineStr">
        <is>
          <t xml:space="preserve">QP </t>
        </is>
      </c>
      <c r="U25" t="n">
        <v>3</v>
      </c>
      <c r="V25" t="n">
        <v>3</v>
      </c>
      <c r="W25" t="inlineStr">
        <is>
          <t>1995-04-15</t>
        </is>
      </c>
      <c r="X25" t="inlineStr">
        <is>
          <t>1995-04-15</t>
        </is>
      </c>
      <c r="Y25" t="inlineStr">
        <is>
          <t>1989-10-23</t>
        </is>
      </c>
      <c r="Z25" t="inlineStr">
        <is>
          <t>1989-10-23</t>
        </is>
      </c>
      <c r="AA25" t="n">
        <v>69</v>
      </c>
      <c r="AB25" t="n">
        <v>42</v>
      </c>
      <c r="AC25" t="n">
        <v>45</v>
      </c>
      <c r="AD25" t="n">
        <v>1</v>
      </c>
      <c r="AE25" t="n">
        <v>1</v>
      </c>
      <c r="AF25" t="n">
        <v>0</v>
      </c>
      <c r="AG25" t="n">
        <v>0</v>
      </c>
      <c r="AH25" t="n">
        <v>0</v>
      </c>
      <c r="AI25" t="n">
        <v>0</v>
      </c>
      <c r="AJ25" t="n">
        <v>0</v>
      </c>
      <c r="AK25" t="n">
        <v>0</v>
      </c>
      <c r="AL25" t="n">
        <v>0</v>
      </c>
      <c r="AM25" t="n">
        <v>0</v>
      </c>
      <c r="AN25" t="n">
        <v>0</v>
      </c>
      <c r="AO25" t="n">
        <v>0</v>
      </c>
      <c r="AP25" t="n">
        <v>0</v>
      </c>
      <c r="AQ25" t="n">
        <v>0</v>
      </c>
      <c r="AR25" t="inlineStr">
        <is>
          <t>No</t>
        </is>
      </c>
      <c r="AS25" t="inlineStr">
        <is>
          <t>Yes</t>
        </is>
      </c>
      <c r="AT25">
        <f>HYPERLINK("http://catalog.hathitrust.org/Record/001820387","HathiTrust Record")</f>
        <v/>
      </c>
      <c r="AU25">
        <f>HYPERLINK("https://creighton-primo.hosted.exlibrisgroup.com/primo-explore/search?tab=default_tab&amp;search_scope=EVERYTHING&amp;vid=01CRU&amp;lang=en_US&amp;offset=0&amp;query=any,contains,991001385729702656","Catalog Record")</f>
        <v/>
      </c>
      <c r="AV25">
        <f>HYPERLINK("http://www.worldcat.org/oclc/18715756","WorldCat Record")</f>
        <v/>
      </c>
      <c r="AW25" t="inlineStr">
        <is>
          <t>137426673:eng</t>
        </is>
      </c>
      <c r="AX25" t="inlineStr">
        <is>
          <t>18715756</t>
        </is>
      </c>
      <c r="AY25" t="inlineStr">
        <is>
          <t>991001385729702656</t>
        </is>
      </c>
      <c r="AZ25" t="inlineStr">
        <is>
          <t>991001385729702656</t>
        </is>
      </c>
      <c r="BA25" t="inlineStr">
        <is>
          <t>2262914130002656</t>
        </is>
      </c>
      <c r="BB25" t="inlineStr">
        <is>
          <t>BOOK</t>
        </is>
      </c>
      <c r="BD25" t="inlineStr">
        <is>
          <t>9783805549219</t>
        </is>
      </c>
      <c r="BE25" t="inlineStr">
        <is>
          <t>32285000001999</t>
        </is>
      </c>
      <c r="BF25" t="inlineStr">
        <is>
          <t>893891538</t>
        </is>
      </c>
    </row>
    <row r="26">
      <c r="B26" t="inlineStr">
        <is>
          <t>CURAL</t>
        </is>
      </c>
      <c r="C26" t="inlineStr">
        <is>
          <t>SHELVES</t>
        </is>
      </c>
      <c r="D26" t="inlineStr">
        <is>
          <t>QP135 .M35 1983</t>
        </is>
      </c>
      <c r="E26" t="inlineStr">
        <is>
          <t>0                      QP 0135000M  35          1983</t>
        </is>
      </c>
      <c r="F26" t="inlineStr">
        <is>
          <t>Mammalian thermogenesis / edited by Lucien Girardier and Michael J. Stock.</t>
        </is>
      </c>
      <c r="H26" t="inlineStr">
        <is>
          <t>No</t>
        </is>
      </c>
      <c r="I26" t="inlineStr">
        <is>
          <t>1</t>
        </is>
      </c>
      <c r="J26" t="inlineStr">
        <is>
          <t>No</t>
        </is>
      </c>
      <c r="K26" t="inlineStr">
        <is>
          <t>No</t>
        </is>
      </c>
      <c r="L26" t="inlineStr">
        <is>
          <t>0</t>
        </is>
      </c>
      <c r="N26" t="inlineStr">
        <is>
          <t>London ; New York : Chapman and Hall, 1983.</t>
        </is>
      </c>
      <c r="O26" t="inlineStr">
        <is>
          <t>1983</t>
        </is>
      </c>
      <c r="Q26" t="inlineStr">
        <is>
          <t>eng</t>
        </is>
      </c>
      <c r="R26" t="inlineStr">
        <is>
          <t>enk</t>
        </is>
      </c>
      <c r="T26" t="inlineStr">
        <is>
          <t xml:space="preserve">QP </t>
        </is>
      </c>
      <c r="U26" t="n">
        <v>3</v>
      </c>
      <c r="V26" t="n">
        <v>3</v>
      </c>
      <c r="W26" t="inlineStr">
        <is>
          <t>1992-05-07</t>
        </is>
      </c>
      <c r="X26" t="inlineStr">
        <is>
          <t>1992-05-07</t>
        </is>
      </c>
      <c r="Y26" t="inlineStr">
        <is>
          <t>1992-05-06</t>
        </is>
      </c>
      <c r="Z26" t="inlineStr">
        <is>
          <t>1992-05-06</t>
        </is>
      </c>
      <c r="AA26" t="n">
        <v>261</v>
      </c>
      <c r="AB26" t="n">
        <v>163</v>
      </c>
      <c r="AC26" t="n">
        <v>180</v>
      </c>
      <c r="AD26" t="n">
        <v>1</v>
      </c>
      <c r="AE26" t="n">
        <v>1</v>
      </c>
      <c r="AF26" t="n">
        <v>2</v>
      </c>
      <c r="AG26" t="n">
        <v>3</v>
      </c>
      <c r="AH26" t="n">
        <v>0</v>
      </c>
      <c r="AI26" t="n">
        <v>1</v>
      </c>
      <c r="AJ26" t="n">
        <v>0</v>
      </c>
      <c r="AK26" t="n">
        <v>0</v>
      </c>
      <c r="AL26" t="n">
        <v>2</v>
      </c>
      <c r="AM26" t="n">
        <v>3</v>
      </c>
      <c r="AN26" t="n">
        <v>0</v>
      </c>
      <c r="AO26" t="n">
        <v>0</v>
      </c>
      <c r="AP26" t="n">
        <v>0</v>
      </c>
      <c r="AQ26" t="n">
        <v>0</v>
      </c>
      <c r="AR26" t="inlineStr">
        <is>
          <t>No</t>
        </is>
      </c>
      <c r="AS26" t="inlineStr">
        <is>
          <t>Yes</t>
        </is>
      </c>
      <c r="AT26">
        <f>HYPERLINK("http://catalog.hathitrust.org/Record/000558453","HathiTrust Record")</f>
        <v/>
      </c>
      <c r="AU26">
        <f>HYPERLINK("https://creighton-primo.hosted.exlibrisgroup.com/primo-explore/search?tab=default_tab&amp;search_scope=EVERYTHING&amp;vid=01CRU&amp;lang=en_US&amp;offset=0&amp;query=any,contains,991000169859702656","Catalog Record")</f>
        <v/>
      </c>
      <c r="AV26">
        <f>HYPERLINK("http://www.worldcat.org/oclc/9323303","WorldCat Record")</f>
        <v/>
      </c>
      <c r="AW26" t="inlineStr">
        <is>
          <t>355677760:eng</t>
        </is>
      </c>
      <c r="AX26" t="inlineStr">
        <is>
          <t>9323303</t>
        </is>
      </c>
      <c r="AY26" t="inlineStr">
        <is>
          <t>991000169859702656</t>
        </is>
      </c>
      <c r="AZ26" t="inlineStr">
        <is>
          <t>991000169859702656</t>
        </is>
      </c>
      <c r="BA26" t="inlineStr">
        <is>
          <t>2257781680002656</t>
        </is>
      </c>
      <c r="BB26" t="inlineStr">
        <is>
          <t>BOOK</t>
        </is>
      </c>
      <c r="BD26" t="inlineStr">
        <is>
          <t>9780412235504</t>
        </is>
      </c>
      <c r="BE26" t="inlineStr">
        <is>
          <t>32285000987049</t>
        </is>
      </c>
      <c r="BF26" t="inlineStr">
        <is>
          <t>893890479</t>
        </is>
      </c>
    </row>
    <row r="27">
      <c r="B27" t="inlineStr">
        <is>
          <t>CURAL</t>
        </is>
      </c>
      <c r="C27" t="inlineStr">
        <is>
          <t>SHELVES</t>
        </is>
      </c>
      <c r="D27" t="inlineStr">
        <is>
          <t>QP135 .M465 1983</t>
        </is>
      </c>
      <c r="E27" t="inlineStr">
        <is>
          <t>0                      QP 0135000M  465         1983</t>
        </is>
      </c>
      <c r="F27" t="inlineStr">
        <is>
          <t>Microwaves and thermoregulation / edited by Eleanor R. Adair.</t>
        </is>
      </c>
      <c r="H27" t="inlineStr">
        <is>
          <t>No</t>
        </is>
      </c>
      <c r="I27" t="inlineStr">
        <is>
          <t>1</t>
        </is>
      </c>
      <c r="J27" t="inlineStr">
        <is>
          <t>No</t>
        </is>
      </c>
      <c r="K27" t="inlineStr">
        <is>
          <t>No</t>
        </is>
      </c>
      <c r="L27" t="inlineStr">
        <is>
          <t>0</t>
        </is>
      </c>
      <c r="N27" t="inlineStr">
        <is>
          <t>New York : Academic Press, 1983.</t>
        </is>
      </c>
      <c r="O27" t="inlineStr">
        <is>
          <t>1983</t>
        </is>
      </c>
      <c r="Q27" t="inlineStr">
        <is>
          <t>eng</t>
        </is>
      </c>
      <c r="R27" t="inlineStr">
        <is>
          <t>nyu</t>
        </is>
      </c>
      <c r="T27" t="inlineStr">
        <is>
          <t xml:space="preserve">QP </t>
        </is>
      </c>
      <c r="U27" t="n">
        <v>2</v>
      </c>
      <c r="V27" t="n">
        <v>2</v>
      </c>
      <c r="W27" t="inlineStr">
        <is>
          <t>1995-04-15</t>
        </is>
      </c>
      <c r="X27" t="inlineStr">
        <is>
          <t>1995-04-15</t>
        </is>
      </c>
      <c r="Y27" t="inlineStr">
        <is>
          <t>1993-02-26</t>
        </is>
      </c>
      <c r="Z27" t="inlineStr">
        <is>
          <t>1993-02-26</t>
        </is>
      </c>
      <c r="AA27" t="n">
        <v>164</v>
      </c>
      <c r="AB27" t="n">
        <v>127</v>
      </c>
      <c r="AC27" t="n">
        <v>177</v>
      </c>
      <c r="AD27" t="n">
        <v>2</v>
      </c>
      <c r="AE27" t="n">
        <v>3</v>
      </c>
      <c r="AF27" t="n">
        <v>5</v>
      </c>
      <c r="AG27" t="n">
        <v>9</v>
      </c>
      <c r="AH27" t="n">
        <v>1</v>
      </c>
      <c r="AI27" t="n">
        <v>3</v>
      </c>
      <c r="AJ27" t="n">
        <v>2</v>
      </c>
      <c r="AK27" t="n">
        <v>4</v>
      </c>
      <c r="AL27" t="n">
        <v>2</v>
      </c>
      <c r="AM27" t="n">
        <v>2</v>
      </c>
      <c r="AN27" t="n">
        <v>1</v>
      </c>
      <c r="AO27" t="n">
        <v>2</v>
      </c>
      <c r="AP27" t="n">
        <v>0</v>
      </c>
      <c r="AQ27" t="n">
        <v>0</v>
      </c>
      <c r="AR27" t="inlineStr">
        <is>
          <t>No</t>
        </is>
      </c>
      <c r="AS27" t="inlineStr">
        <is>
          <t>Yes</t>
        </is>
      </c>
      <c r="AT27">
        <f>HYPERLINK("http://catalog.hathitrust.org/Record/000156672","HathiTrust Record")</f>
        <v/>
      </c>
      <c r="AU27">
        <f>HYPERLINK("https://creighton-primo.hosted.exlibrisgroup.com/primo-explore/search?tab=default_tab&amp;search_scope=EVERYTHING&amp;vid=01CRU&amp;lang=en_US&amp;offset=0&amp;query=any,contains,991000195159702656","Catalog Record")</f>
        <v/>
      </c>
      <c r="AV27">
        <f>HYPERLINK("http://www.worldcat.org/oclc/9440937","WorldCat Record")</f>
        <v/>
      </c>
      <c r="AW27" t="inlineStr">
        <is>
          <t>42963971:eng</t>
        </is>
      </c>
      <c r="AX27" t="inlineStr">
        <is>
          <t>9440937</t>
        </is>
      </c>
      <c r="AY27" t="inlineStr">
        <is>
          <t>991000195159702656</t>
        </is>
      </c>
      <c r="AZ27" t="inlineStr">
        <is>
          <t>991000195159702656</t>
        </is>
      </c>
      <c r="BA27" t="inlineStr">
        <is>
          <t>2264575080002656</t>
        </is>
      </c>
      <c r="BB27" t="inlineStr">
        <is>
          <t>BOOK</t>
        </is>
      </c>
      <c r="BD27" t="inlineStr">
        <is>
          <t>9780120440207</t>
        </is>
      </c>
      <c r="BE27" t="inlineStr">
        <is>
          <t>32285001549855</t>
        </is>
      </c>
      <c r="BF27" t="inlineStr">
        <is>
          <t>893708198</t>
        </is>
      </c>
    </row>
    <row r="28">
      <c r="B28" t="inlineStr">
        <is>
          <t>CURAL</t>
        </is>
      </c>
      <c r="C28" t="inlineStr">
        <is>
          <t>SHELVES</t>
        </is>
      </c>
      <c r="D28" t="inlineStr">
        <is>
          <t>QP135 .R46</t>
        </is>
      </c>
      <c r="E28" t="inlineStr">
        <is>
          <t>0                      QP 0135000R  46</t>
        </is>
      </c>
      <c r="F28" t="inlineStr">
        <is>
          <t>Temperature regulation / [by] S. A. Richards.</t>
        </is>
      </c>
      <c r="H28" t="inlineStr">
        <is>
          <t>No</t>
        </is>
      </c>
      <c r="I28" t="inlineStr">
        <is>
          <t>1</t>
        </is>
      </c>
      <c r="J28" t="inlineStr">
        <is>
          <t>No</t>
        </is>
      </c>
      <c r="K28" t="inlineStr">
        <is>
          <t>No</t>
        </is>
      </c>
      <c r="L28" t="inlineStr">
        <is>
          <t>0</t>
        </is>
      </c>
      <c r="M28" t="inlineStr">
        <is>
          <t>Richards, Stewart.</t>
        </is>
      </c>
      <c r="N28" t="inlineStr">
        <is>
          <t>London : Wykeham Publications, 1973.</t>
        </is>
      </c>
      <c r="O28" t="inlineStr">
        <is>
          <t>1973</t>
        </is>
      </c>
      <c r="Q28" t="inlineStr">
        <is>
          <t>eng</t>
        </is>
      </c>
      <c r="R28" t="inlineStr">
        <is>
          <t>enk</t>
        </is>
      </c>
      <c r="S28" t="inlineStr">
        <is>
          <t>The Wykeham science series</t>
        </is>
      </c>
      <c r="T28" t="inlineStr">
        <is>
          <t xml:space="preserve">QP </t>
        </is>
      </c>
      <c r="U28" t="n">
        <v>8</v>
      </c>
      <c r="V28" t="n">
        <v>8</v>
      </c>
      <c r="W28" t="inlineStr">
        <is>
          <t>1996-11-21</t>
        </is>
      </c>
      <c r="X28" t="inlineStr">
        <is>
          <t>1996-11-21</t>
        </is>
      </c>
      <c r="Y28" t="inlineStr">
        <is>
          <t>1995-03-21</t>
        </is>
      </c>
      <c r="Z28" t="inlineStr">
        <is>
          <t>1995-03-21</t>
        </is>
      </c>
      <c r="AA28" t="n">
        <v>183</v>
      </c>
      <c r="AB28" t="n">
        <v>94</v>
      </c>
      <c r="AC28" t="n">
        <v>202</v>
      </c>
      <c r="AD28" t="n">
        <v>2</v>
      </c>
      <c r="AE28" t="n">
        <v>3</v>
      </c>
      <c r="AF28" t="n">
        <v>5</v>
      </c>
      <c r="AG28" t="n">
        <v>8</v>
      </c>
      <c r="AH28" t="n">
        <v>0</v>
      </c>
      <c r="AI28" t="n">
        <v>2</v>
      </c>
      <c r="AJ28" t="n">
        <v>1</v>
      </c>
      <c r="AK28" t="n">
        <v>1</v>
      </c>
      <c r="AL28" t="n">
        <v>4</v>
      </c>
      <c r="AM28" t="n">
        <v>5</v>
      </c>
      <c r="AN28" t="n">
        <v>1</v>
      </c>
      <c r="AO28" t="n">
        <v>2</v>
      </c>
      <c r="AP28" t="n">
        <v>0</v>
      </c>
      <c r="AQ28" t="n">
        <v>0</v>
      </c>
      <c r="AR28" t="inlineStr">
        <is>
          <t>No</t>
        </is>
      </c>
      <c r="AS28" t="inlineStr">
        <is>
          <t>Yes</t>
        </is>
      </c>
      <c r="AT28">
        <f>HYPERLINK("http://catalog.hathitrust.org/Record/001553878","HathiTrust Record")</f>
        <v/>
      </c>
      <c r="AU28">
        <f>HYPERLINK("https://creighton-primo.hosted.exlibrisgroup.com/primo-explore/search?tab=default_tab&amp;search_scope=EVERYTHING&amp;vid=01CRU&amp;lang=en_US&amp;offset=0&amp;query=any,contains,991003756699702656","Catalog Record")</f>
        <v/>
      </c>
      <c r="AV28">
        <f>HYPERLINK("http://www.worldcat.org/oclc/1438645","WorldCat Record")</f>
        <v/>
      </c>
      <c r="AW28" t="inlineStr">
        <is>
          <t>2019689:eng</t>
        </is>
      </c>
      <c r="AX28" t="inlineStr">
        <is>
          <t>1438645</t>
        </is>
      </c>
      <c r="AY28" t="inlineStr">
        <is>
          <t>991003756699702656</t>
        </is>
      </c>
      <c r="AZ28" t="inlineStr">
        <is>
          <t>991003756699702656</t>
        </is>
      </c>
      <c r="BA28" t="inlineStr">
        <is>
          <t>2271031590002656</t>
        </is>
      </c>
      <c r="BB28" t="inlineStr">
        <is>
          <t>BOOK</t>
        </is>
      </c>
      <c r="BD28" t="inlineStr">
        <is>
          <t>9780851093901</t>
        </is>
      </c>
      <c r="BE28" t="inlineStr">
        <is>
          <t>32285002012663</t>
        </is>
      </c>
      <c r="BF28" t="inlineStr">
        <is>
          <t>893429164</t>
        </is>
      </c>
    </row>
    <row r="29">
      <c r="B29" t="inlineStr">
        <is>
          <t>CURAL</t>
        </is>
      </c>
      <c r="C29" t="inlineStr">
        <is>
          <t>SHELVES</t>
        </is>
      </c>
      <c r="D29" t="inlineStr">
        <is>
          <t>QP135 .S77</t>
        </is>
      </c>
      <c r="E29" t="inlineStr">
        <is>
          <t>0                      QP 0135000S  77</t>
        </is>
      </c>
      <c r="F29" t="inlineStr">
        <is>
          <t>Strategies in cold : natural torpidity and thermogenesis / edited by Lawrence C. H. Wang, Jack W. Hudson.</t>
        </is>
      </c>
      <c r="H29" t="inlineStr">
        <is>
          <t>No</t>
        </is>
      </c>
      <c r="I29" t="inlineStr">
        <is>
          <t>1</t>
        </is>
      </c>
      <c r="J29" t="inlineStr">
        <is>
          <t>No</t>
        </is>
      </c>
      <c r="K29" t="inlineStr">
        <is>
          <t>No</t>
        </is>
      </c>
      <c r="L29" t="inlineStr">
        <is>
          <t>0</t>
        </is>
      </c>
      <c r="N29" t="inlineStr">
        <is>
          <t>New York : Academic Press, 1978.</t>
        </is>
      </c>
      <c r="O29" t="inlineStr">
        <is>
          <t>1978</t>
        </is>
      </c>
      <c r="Q29" t="inlineStr">
        <is>
          <t>eng</t>
        </is>
      </c>
      <c r="R29" t="inlineStr">
        <is>
          <t>nyu</t>
        </is>
      </c>
      <c r="T29" t="inlineStr">
        <is>
          <t xml:space="preserve">QP </t>
        </is>
      </c>
      <c r="U29" t="n">
        <v>5</v>
      </c>
      <c r="V29" t="n">
        <v>5</v>
      </c>
      <c r="W29" t="inlineStr">
        <is>
          <t>1994-07-17</t>
        </is>
      </c>
      <c r="X29" t="inlineStr">
        <is>
          <t>1994-07-17</t>
        </is>
      </c>
      <c r="Y29" t="inlineStr">
        <is>
          <t>1993-02-26</t>
        </is>
      </c>
      <c r="Z29" t="inlineStr">
        <is>
          <t>1993-02-26</t>
        </is>
      </c>
      <c r="AA29" t="n">
        <v>341</v>
      </c>
      <c r="AB29" t="n">
        <v>252</v>
      </c>
      <c r="AC29" t="n">
        <v>295</v>
      </c>
      <c r="AD29" t="n">
        <v>3</v>
      </c>
      <c r="AE29" t="n">
        <v>3</v>
      </c>
      <c r="AF29" t="n">
        <v>11</v>
      </c>
      <c r="AG29" t="n">
        <v>13</v>
      </c>
      <c r="AH29" t="n">
        <v>2</v>
      </c>
      <c r="AI29" t="n">
        <v>3</v>
      </c>
      <c r="AJ29" t="n">
        <v>5</v>
      </c>
      <c r="AK29" t="n">
        <v>6</v>
      </c>
      <c r="AL29" t="n">
        <v>7</v>
      </c>
      <c r="AM29" t="n">
        <v>7</v>
      </c>
      <c r="AN29" t="n">
        <v>2</v>
      </c>
      <c r="AO29" t="n">
        <v>2</v>
      </c>
      <c r="AP29" t="n">
        <v>0</v>
      </c>
      <c r="AQ29" t="n">
        <v>0</v>
      </c>
      <c r="AR29" t="inlineStr">
        <is>
          <t>No</t>
        </is>
      </c>
      <c r="AS29" t="inlineStr">
        <is>
          <t>Yes</t>
        </is>
      </c>
      <c r="AT29">
        <f>HYPERLINK("http://catalog.hathitrust.org/Record/000136500","HathiTrust Record")</f>
        <v/>
      </c>
      <c r="AU29">
        <f>HYPERLINK("https://creighton-primo.hosted.exlibrisgroup.com/primo-explore/search?tab=default_tab&amp;search_scope=EVERYTHING&amp;vid=01CRU&amp;lang=en_US&amp;offset=0&amp;query=any,contains,991004535139702656","Catalog Record")</f>
        <v/>
      </c>
      <c r="AV29">
        <f>HYPERLINK("http://www.worldcat.org/oclc/3869244","WorldCat Record")</f>
        <v/>
      </c>
      <c r="AW29" t="inlineStr">
        <is>
          <t>137241375:eng</t>
        </is>
      </c>
      <c r="AX29" t="inlineStr">
        <is>
          <t>3869244</t>
        </is>
      </c>
      <c r="AY29" t="inlineStr">
        <is>
          <t>991004535139702656</t>
        </is>
      </c>
      <c r="AZ29" t="inlineStr">
        <is>
          <t>991004535139702656</t>
        </is>
      </c>
      <c r="BA29" t="inlineStr">
        <is>
          <t>2263001820002656</t>
        </is>
      </c>
      <c r="BB29" t="inlineStr">
        <is>
          <t>BOOK</t>
        </is>
      </c>
      <c r="BD29" t="inlineStr">
        <is>
          <t>9780127345505</t>
        </is>
      </c>
      <c r="BE29" t="inlineStr">
        <is>
          <t>32285001549863</t>
        </is>
      </c>
      <c r="BF29" t="inlineStr">
        <is>
          <t>893430181</t>
        </is>
      </c>
    </row>
    <row r="30">
      <c r="B30" t="inlineStr">
        <is>
          <t>CURAL</t>
        </is>
      </c>
      <c r="C30" t="inlineStr">
        <is>
          <t>SHELVES</t>
        </is>
      </c>
      <c r="D30" t="inlineStr">
        <is>
          <t>QP135 .S92</t>
        </is>
      </c>
      <c r="E30" t="inlineStr">
        <is>
          <t>0                      QP 0135000S  92</t>
        </is>
      </c>
      <c r="F30" t="inlineStr">
        <is>
          <t>Thermoregulation and bioenergetics : patterns for vertebrate survival.</t>
        </is>
      </c>
      <c r="H30" t="inlineStr">
        <is>
          <t>No</t>
        </is>
      </c>
      <c r="I30" t="inlineStr">
        <is>
          <t>1</t>
        </is>
      </c>
      <c r="J30" t="inlineStr">
        <is>
          <t>No</t>
        </is>
      </c>
      <c r="K30" t="inlineStr">
        <is>
          <t>No</t>
        </is>
      </c>
      <c r="L30" t="inlineStr">
        <is>
          <t>0</t>
        </is>
      </c>
      <c r="M30" t="inlineStr">
        <is>
          <t>Swan, Henry, II, 1913-1996.</t>
        </is>
      </c>
      <c r="N30" t="inlineStr">
        <is>
          <t>New York : American Elsevier Pub. Co., [1974]</t>
        </is>
      </c>
      <c r="O30" t="inlineStr">
        <is>
          <t>1974</t>
        </is>
      </c>
      <c r="Q30" t="inlineStr">
        <is>
          <t>eng</t>
        </is>
      </c>
      <c r="R30" t="inlineStr">
        <is>
          <t>nyu</t>
        </is>
      </c>
      <c r="T30" t="inlineStr">
        <is>
          <t xml:space="preserve">QP </t>
        </is>
      </c>
      <c r="U30" t="n">
        <v>2</v>
      </c>
      <c r="V30" t="n">
        <v>2</v>
      </c>
      <c r="W30" t="inlineStr">
        <is>
          <t>1995-09-30</t>
        </is>
      </c>
      <c r="X30" t="inlineStr">
        <is>
          <t>1995-09-30</t>
        </is>
      </c>
      <c r="Y30" t="inlineStr">
        <is>
          <t>1995-02-24</t>
        </is>
      </c>
      <c r="Z30" t="inlineStr">
        <is>
          <t>1995-02-24</t>
        </is>
      </c>
      <c r="AA30" t="n">
        <v>280</v>
      </c>
      <c r="AB30" t="n">
        <v>198</v>
      </c>
      <c r="AC30" t="n">
        <v>205</v>
      </c>
      <c r="AD30" t="n">
        <v>4</v>
      </c>
      <c r="AE30" t="n">
        <v>4</v>
      </c>
      <c r="AF30" t="n">
        <v>9</v>
      </c>
      <c r="AG30" t="n">
        <v>9</v>
      </c>
      <c r="AH30" t="n">
        <v>1</v>
      </c>
      <c r="AI30" t="n">
        <v>1</v>
      </c>
      <c r="AJ30" t="n">
        <v>2</v>
      </c>
      <c r="AK30" t="n">
        <v>2</v>
      </c>
      <c r="AL30" t="n">
        <v>4</v>
      </c>
      <c r="AM30" t="n">
        <v>4</v>
      </c>
      <c r="AN30" t="n">
        <v>3</v>
      </c>
      <c r="AO30" t="n">
        <v>3</v>
      </c>
      <c r="AP30" t="n">
        <v>0</v>
      </c>
      <c r="AQ30" t="n">
        <v>0</v>
      </c>
      <c r="AR30" t="inlineStr">
        <is>
          <t>No</t>
        </is>
      </c>
      <c r="AS30" t="inlineStr">
        <is>
          <t>Yes</t>
        </is>
      </c>
      <c r="AT30">
        <f>HYPERLINK("http://catalog.hathitrust.org/Record/001553879","HathiTrust Record")</f>
        <v/>
      </c>
      <c r="AU30">
        <f>HYPERLINK("https://creighton-primo.hosted.exlibrisgroup.com/primo-explore/search?tab=default_tab&amp;search_scope=EVERYTHING&amp;vid=01CRU&amp;lang=en_US&amp;offset=0&amp;query=any,contains,991003379439702656","Catalog Record")</f>
        <v/>
      </c>
      <c r="AV30">
        <f>HYPERLINK("http://www.worldcat.org/oclc/915699","WorldCat Record")</f>
        <v/>
      </c>
      <c r="AW30" t="inlineStr">
        <is>
          <t>487954373:eng</t>
        </is>
      </c>
      <c r="AX30" t="inlineStr">
        <is>
          <t>915699</t>
        </is>
      </c>
      <c r="AY30" t="inlineStr">
        <is>
          <t>991003379439702656</t>
        </is>
      </c>
      <c r="AZ30" t="inlineStr">
        <is>
          <t>991003379439702656</t>
        </is>
      </c>
      <c r="BA30" t="inlineStr">
        <is>
          <t>2264681480002656</t>
        </is>
      </c>
      <c r="BB30" t="inlineStr">
        <is>
          <t>BOOK</t>
        </is>
      </c>
      <c r="BD30" t="inlineStr">
        <is>
          <t>9780444001443</t>
        </is>
      </c>
      <c r="BE30" t="inlineStr">
        <is>
          <t>32285002010204</t>
        </is>
      </c>
      <c r="BF30" t="inlineStr">
        <is>
          <t>893692678</t>
        </is>
      </c>
    </row>
    <row r="31">
      <c r="B31" t="inlineStr">
        <is>
          <t>CURAL</t>
        </is>
      </c>
      <c r="C31" t="inlineStr">
        <is>
          <t>SHELVES</t>
        </is>
      </c>
      <c r="D31" t="inlineStr">
        <is>
          <t>QP135 .T48</t>
        </is>
      </c>
      <c r="E31" t="inlineStr">
        <is>
          <t>0                      QP 0135000T  48</t>
        </is>
      </c>
      <c r="F31" t="inlineStr">
        <is>
          <t>Thermoregulation / edited by Evelyn Satinoff.</t>
        </is>
      </c>
      <c r="H31" t="inlineStr">
        <is>
          <t>No</t>
        </is>
      </c>
      <c r="I31" t="inlineStr">
        <is>
          <t>1</t>
        </is>
      </c>
      <c r="J31" t="inlineStr">
        <is>
          <t>No</t>
        </is>
      </c>
      <c r="K31" t="inlineStr">
        <is>
          <t>No</t>
        </is>
      </c>
      <c r="L31" t="inlineStr">
        <is>
          <t>0</t>
        </is>
      </c>
      <c r="N31" t="inlineStr">
        <is>
          <t>Stroudsburg, Pa. : Dowden, Hutchinson &amp; Ross ; New York : distributed by Academic Press, c1980.</t>
        </is>
      </c>
      <c r="O31" t="inlineStr">
        <is>
          <t>1979</t>
        </is>
      </c>
      <c r="Q31" t="inlineStr">
        <is>
          <t>eng</t>
        </is>
      </c>
      <c r="R31" t="inlineStr">
        <is>
          <t>pau</t>
        </is>
      </c>
      <c r="S31" t="inlineStr">
        <is>
          <t>Benchmark papers in behavior ; 13</t>
        </is>
      </c>
      <c r="T31" t="inlineStr">
        <is>
          <t xml:space="preserve">QP </t>
        </is>
      </c>
      <c r="U31" t="n">
        <v>4</v>
      </c>
      <c r="V31" t="n">
        <v>4</v>
      </c>
      <c r="W31" t="inlineStr">
        <is>
          <t>1995-07-20</t>
        </is>
      </c>
      <c r="X31" t="inlineStr">
        <is>
          <t>1995-07-20</t>
        </is>
      </c>
      <c r="Y31" t="inlineStr">
        <is>
          <t>1993-03-24</t>
        </is>
      </c>
      <c r="Z31" t="inlineStr">
        <is>
          <t>1993-03-24</t>
        </is>
      </c>
      <c r="AA31" t="n">
        <v>280</v>
      </c>
      <c r="AB31" t="n">
        <v>219</v>
      </c>
      <c r="AC31" t="n">
        <v>228</v>
      </c>
      <c r="AD31" t="n">
        <v>2</v>
      </c>
      <c r="AE31" t="n">
        <v>2</v>
      </c>
      <c r="AF31" t="n">
        <v>10</v>
      </c>
      <c r="AG31" t="n">
        <v>10</v>
      </c>
      <c r="AH31" t="n">
        <v>2</v>
      </c>
      <c r="AI31" t="n">
        <v>2</v>
      </c>
      <c r="AJ31" t="n">
        <v>5</v>
      </c>
      <c r="AK31" t="n">
        <v>5</v>
      </c>
      <c r="AL31" t="n">
        <v>7</v>
      </c>
      <c r="AM31" t="n">
        <v>7</v>
      </c>
      <c r="AN31" t="n">
        <v>1</v>
      </c>
      <c r="AO31" t="n">
        <v>1</v>
      </c>
      <c r="AP31" t="n">
        <v>0</v>
      </c>
      <c r="AQ31" t="n">
        <v>0</v>
      </c>
      <c r="AR31" t="inlineStr">
        <is>
          <t>No</t>
        </is>
      </c>
      <c r="AS31" t="inlineStr">
        <is>
          <t>Yes</t>
        </is>
      </c>
      <c r="AT31">
        <f>HYPERLINK("http://catalog.hathitrust.org/Record/000722491","HathiTrust Record")</f>
        <v/>
      </c>
      <c r="AU31">
        <f>HYPERLINK("https://creighton-primo.hosted.exlibrisgroup.com/primo-explore/search?tab=default_tab&amp;search_scope=EVERYTHING&amp;vid=01CRU&amp;lang=en_US&amp;offset=0&amp;query=any,contains,991004713799702656","Catalog Record")</f>
        <v/>
      </c>
      <c r="AV31">
        <f>HYPERLINK("http://www.worldcat.org/oclc/4775322","WorldCat Record")</f>
        <v/>
      </c>
      <c r="AW31" t="inlineStr">
        <is>
          <t>54281542:eng</t>
        </is>
      </c>
      <c r="AX31" t="inlineStr">
        <is>
          <t>4775322</t>
        </is>
      </c>
      <c r="AY31" t="inlineStr">
        <is>
          <t>991004713799702656</t>
        </is>
      </c>
      <c r="AZ31" t="inlineStr">
        <is>
          <t>991004713799702656</t>
        </is>
      </c>
      <c r="BA31" t="inlineStr">
        <is>
          <t>2255378570002656</t>
        </is>
      </c>
      <c r="BB31" t="inlineStr">
        <is>
          <t>BOOK</t>
        </is>
      </c>
      <c r="BD31" t="inlineStr">
        <is>
          <t>9780879333492</t>
        </is>
      </c>
      <c r="BE31" t="inlineStr">
        <is>
          <t>32285001579803</t>
        </is>
      </c>
      <c r="BF31" t="inlineStr">
        <is>
          <t>893331955</t>
        </is>
      </c>
    </row>
    <row r="32">
      <c r="B32" t="inlineStr">
        <is>
          <t>CURAL</t>
        </is>
      </c>
      <c r="C32" t="inlineStr">
        <is>
          <t>SHELVES</t>
        </is>
      </c>
      <c r="D32" t="inlineStr">
        <is>
          <t>QP135 .W48</t>
        </is>
      </c>
      <c r="E32" t="inlineStr">
        <is>
          <t>0                      QP 0135000W  48</t>
        </is>
      </c>
      <c r="F32" t="inlineStr">
        <is>
          <t>Comparative physiology of thermoregulation. Edited by G. Causey Whittow.</t>
        </is>
      </c>
      <c r="G32" t="inlineStr">
        <is>
          <t>V. 1</t>
        </is>
      </c>
      <c r="H32" t="inlineStr">
        <is>
          <t>Yes</t>
        </is>
      </c>
      <c r="I32" t="inlineStr">
        <is>
          <t>1</t>
        </is>
      </c>
      <c r="J32" t="inlineStr">
        <is>
          <t>Yes</t>
        </is>
      </c>
      <c r="K32" t="inlineStr">
        <is>
          <t>No</t>
        </is>
      </c>
      <c r="L32" t="inlineStr">
        <is>
          <t>0</t>
        </is>
      </c>
      <c r="M32" t="inlineStr">
        <is>
          <t>Whittow, G. Causey, 1930-</t>
        </is>
      </c>
      <c r="N32" t="inlineStr">
        <is>
          <t>New York, Academic Press, 1970-73.</t>
        </is>
      </c>
      <c r="O32" t="inlineStr">
        <is>
          <t>1970</t>
        </is>
      </c>
      <c r="Q32" t="inlineStr">
        <is>
          <t>eng</t>
        </is>
      </c>
      <c r="R32" t="inlineStr">
        <is>
          <t>nyu</t>
        </is>
      </c>
      <c r="T32" t="inlineStr">
        <is>
          <t xml:space="preserve">QP </t>
        </is>
      </c>
      <c r="U32" t="n">
        <v>0</v>
      </c>
      <c r="V32" t="n">
        <v>5</v>
      </c>
      <c r="X32" t="inlineStr">
        <is>
          <t>1993-02-09</t>
        </is>
      </c>
      <c r="Y32" t="inlineStr">
        <is>
          <t>1997-08-06</t>
        </is>
      </c>
      <c r="Z32" t="inlineStr">
        <is>
          <t>1997-08-06</t>
        </is>
      </c>
      <c r="AA32" t="n">
        <v>588</v>
      </c>
      <c r="AB32" t="n">
        <v>469</v>
      </c>
      <c r="AC32" t="n">
        <v>474</v>
      </c>
      <c r="AD32" t="n">
        <v>4</v>
      </c>
      <c r="AE32" t="n">
        <v>4</v>
      </c>
      <c r="AF32" t="n">
        <v>20</v>
      </c>
      <c r="AG32" t="n">
        <v>20</v>
      </c>
      <c r="AH32" t="n">
        <v>7</v>
      </c>
      <c r="AI32" t="n">
        <v>7</v>
      </c>
      <c r="AJ32" t="n">
        <v>5</v>
      </c>
      <c r="AK32" t="n">
        <v>5</v>
      </c>
      <c r="AL32" t="n">
        <v>11</v>
      </c>
      <c r="AM32" t="n">
        <v>11</v>
      </c>
      <c r="AN32" t="n">
        <v>2</v>
      </c>
      <c r="AO32" t="n">
        <v>2</v>
      </c>
      <c r="AP32" t="n">
        <v>0</v>
      </c>
      <c r="AQ32" t="n">
        <v>0</v>
      </c>
      <c r="AR32" t="inlineStr">
        <is>
          <t>No</t>
        </is>
      </c>
      <c r="AS32" t="inlineStr">
        <is>
          <t>Yes</t>
        </is>
      </c>
      <c r="AT32">
        <f>HYPERLINK("http://catalog.hathitrust.org/Record/001553880","HathiTrust Record")</f>
        <v/>
      </c>
      <c r="AU32">
        <f>HYPERLINK("https://creighton-primo.hosted.exlibrisgroup.com/primo-explore/search?tab=default_tab&amp;search_scope=EVERYTHING&amp;vid=01CRU&amp;lang=en_US&amp;offset=0&amp;query=any,contains,991001764259702656","Catalog Record")</f>
        <v/>
      </c>
      <c r="AV32">
        <f>HYPERLINK("http://www.worldcat.org/oclc/92873","WorldCat Record")</f>
        <v/>
      </c>
      <c r="AW32" t="inlineStr">
        <is>
          <t>9422633685:eng</t>
        </is>
      </c>
      <c r="AX32" t="inlineStr">
        <is>
          <t>92873</t>
        </is>
      </c>
      <c r="AY32" t="inlineStr">
        <is>
          <t>991001764259702656</t>
        </is>
      </c>
      <c r="AZ32" t="inlineStr">
        <is>
          <t>991001764259702656</t>
        </is>
      </c>
      <c r="BA32" t="inlineStr">
        <is>
          <t>2262527990002656</t>
        </is>
      </c>
      <c r="BB32" t="inlineStr">
        <is>
          <t>BOOK</t>
        </is>
      </c>
      <c r="BD32" t="inlineStr">
        <is>
          <t>9780127476025</t>
        </is>
      </c>
      <c r="BE32" t="inlineStr">
        <is>
          <t>32285003012647</t>
        </is>
      </c>
      <c r="BF32" t="inlineStr">
        <is>
          <t>893684623</t>
        </is>
      </c>
    </row>
    <row r="33">
      <c r="B33" t="inlineStr">
        <is>
          <t>CURAL</t>
        </is>
      </c>
      <c r="C33" t="inlineStr">
        <is>
          <t>SHELVES</t>
        </is>
      </c>
      <c r="D33" t="inlineStr">
        <is>
          <t>QP135 .W48</t>
        </is>
      </c>
      <c r="E33" t="inlineStr">
        <is>
          <t>0                      QP 0135000W  48</t>
        </is>
      </c>
      <c r="F33" t="inlineStr">
        <is>
          <t>Comparative physiology of thermoregulation. Edited by G. Causey Whittow.</t>
        </is>
      </c>
      <c r="G33" t="inlineStr">
        <is>
          <t>V. 3</t>
        </is>
      </c>
      <c r="H33" t="inlineStr">
        <is>
          <t>Yes</t>
        </is>
      </c>
      <c r="I33" t="inlineStr">
        <is>
          <t>1</t>
        </is>
      </c>
      <c r="J33" t="inlineStr">
        <is>
          <t>No</t>
        </is>
      </c>
      <c r="K33" t="inlineStr">
        <is>
          <t>No</t>
        </is>
      </c>
      <c r="L33" t="inlineStr">
        <is>
          <t>0</t>
        </is>
      </c>
      <c r="M33" t="inlineStr">
        <is>
          <t>Whittow, G. Causey, 1930-</t>
        </is>
      </c>
      <c r="N33" t="inlineStr">
        <is>
          <t>New York, Academic Press, 1970-73.</t>
        </is>
      </c>
      <c r="O33" t="inlineStr">
        <is>
          <t>1970</t>
        </is>
      </c>
      <c r="Q33" t="inlineStr">
        <is>
          <t>eng</t>
        </is>
      </c>
      <c r="R33" t="inlineStr">
        <is>
          <t>nyu</t>
        </is>
      </c>
      <c r="T33" t="inlineStr">
        <is>
          <t xml:space="preserve">QP </t>
        </is>
      </c>
      <c r="U33" t="n">
        <v>0</v>
      </c>
      <c r="V33" t="n">
        <v>5</v>
      </c>
      <c r="X33" t="inlineStr">
        <is>
          <t>1993-02-09</t>
        </is>
      </c>
      <c r="Y33" t="inlineStr">
        <is>
          <t>1997-08-06</t>
        </is>
      </c>
      <c r="Z33" t="inlineStr">
        <is>
          <t>1997-08-06</t>
        </is>
      </c>
      <c r="AA33" t="n">
        <v>588</v>
      </c>
      <c r="AB33" t="n">
        <v>469</v>
      </c>
      <c r="AC33" t="n">
        <v>474</v>
      </c>
      <c r="AD33" t="n">
        <v>4</v>
      </c>
      <c r="AE33" t="n">
        <v>4</v>
      </c>
      <c r="AF33" t="n">
        <v>20</v>
      </c>
      <c r="AG33" t="n">
        <v>20</v>
      </c>
      <c r="AH33" t="n">
        <v>7</v>
      </c>
      <c r="AI33" t="n">
        <v>7</v>
      </c>
      <c r="AJ33" t="n">
        <v>5</v>
      </c>
      <c r="AK33" t="n">
        <v>5</v>
      </c>
      <c r="AL33" t="n">
        <v>11</v>
      </c>
      <c r="AM33" t="n">
        <v>11</v>
      </c>
      <c r="AN33" t="n">
        <v>2</v>
      </c>
      <c r="AO33" t="n">
        <v>2</v>
      </c>
      <c r="AP33" t="n">
        <v>0</v>
      </c>
      <c r="AQ33" t="n">
        <v>0</v>
      </c>
      <c r="AR33" t="inlineStr">
        <is>
          <t>No</t>
        </is>
      </c>
      <c r="AS33" t="inlineStr">
        <is>
          <t>Yes</t>
        </is>
      </c>
      <c r="AT33">
        <f>HYPERLINK("http://catalog.hathitrust.org/Record/001553880","HathiTrust Record")</f>
        <v/>
      </c>
      <c r="AU33">
        <f>HYPERLINK("https://creighton-primo.hosted.exlibrisgroup.com/primo-explore/search?tab=default_tab&amp;search_scope=EVERYTHING&amp;vid=01CRU&amp;lang=en_US&amp;offset=0&amp;query=any,contains,991001764259702656","Catalog Record")</f>
        <v/>
      </c>
      <c r="AV33">
        <f>HYPERLINK("http://www.worldcat.org/oclc/92873","WorldCat Record")</f>
        <v/>
      </c>
      <c r="AW33" t="inlineStr">
        <is>
          <t>9422633685:eng</t>
        </is>
      </c>
      <c r="AX33" t="inlineStr">
        <is>
          <t>92873</t>
        </is>
      </c>
      <c r="AY33" t="inlineStr">
        <is>
          <t>991001764259702656</t>
        </is>
      </c>
      <c r="AZ33" t="inlineStr">
        <is>
          <t>991001764259702656</t>
        </is>
      </c>
      <c r="BA33" t="inlineStr">
        <is>
          <t>2262527990002656</t>
        </is>
      </c>
      <c r="BB33" t="inlineStr">
        <is>
          <t>BOOK</t>
        </is>
      </c>
      <c r="BD33" t="inlineStr">
        <is>
          <t>9780127476025</t>
        </is>
      </c>
      <c r="BE33" t="inlineStr">
        <is>
          <t>32285003012662</t>
        </is>
      </c>
      <c r="BF33" t="inlineStr">
        <is>
          <t>893709515</t>
        </is>
      </c>
    </row>
    <row r="34">
      <c r="B34" t="inlineStr">
        <is>
          <t>CURAL</t>
        </is>
      </c>
      <c r="C34" t="inlineStr">
        <is>
          <t>SHELVES</t>
        </is>
      </c>
      <c r="D34" t="inlineStr">
        <is>
          <t>QP135 .W48</t>
        </is>
      </c>
      <c r="E34" t="inlineStr">
        <is>
          <t>0                      QP 0135000W  48</t>
        </is>
      </c>
      <c r="F34" t="inlineStr">
        <is>
          <t>Comparative physiology of thermoregulation. Edited by G. Causey Whittow.</t>
        </is>
      </c>
      <c r="G34" t="inlineStr">
        <is>
          <t>V. 2</t>
        </is>
      </c>
      <c r="H34" t="inlineStr">
        <is>
          <t>Yes</t>
        </is>
      </c>
      <c r="I34" t="inlineStr">
        <is>
          <t>1</t>
        </is>
      </c>
      <c r="J34" t="inlineStr">
        <is>
          <t>Yes</t>
        </is>
      </c>
      <c r="K34" t="inlineStr">
        <is>
          <t>No</t>
        </is>
      </c>
      <c r="L34" t="inlineStr">
        <is>
          <t>0</t>
        </is>
      </c>
      <c r="M34" t="inlineStr">
        <is>
          <t>Whittow, G. Causey, 1930-</t>
        </is>
      </c>
      <c r="N34" t="inlineStr">
        <is>
          <t>New York, Academic Press, 1970-73.</t>
        </is>
      </c>
      <c r="O34" t="inlineStr">
        <is>
          <t>1970</t>
        </is>
      </c>
      <c r="Q34" t="inlineStr">
        <is>
          <t>eng</t>
        </is>
      </c>
      <c r="R34" t="inlineStr">
        <is>
          <t>nyu</t>
        </is>
      </c>
      <c r="T34" t="inlineStr">
        <is>
          <t xml:space="preserve">QP </t>
        </is>
      </c>
      <c r="U34" t="n">
        <v>0</v>
      </c>
      <c r="V34" t="n">
        <v>5</v>
      </c>
      <c r="X34" t="inlineStr">
        <is>
          <t>1993-02-09</t>
        </is>
      </c>
      <c r="Y34" t="inlineStr">
        <is>
          <t>1997-08-06</t>
        </is>
      </c>
      <c r="Z34" t="inlineStr">
        <is>
          <t>1997-08-06</t>
        </is>
      </c>
      <c r="AA34" t="n">
        <v>588</v>
      </c>
      <c r="AB34" t="n">
        <v>469</v>
      </c>
      <c r="AC34" t="n">
        <v>474</v>
      </c>
      <c r="AD34" t="n">
        <v>4</v>
      </c>
      <c r="AE34" t="n">
        <v>4</v>
      </c>
      <c r="AF34" t="n">
        <v>20</v>
      </c>
      <c r="AG34" t="n">
        <v>20</v>
      </c>
      <c r="AH34" t="n">
        <v>7</v>
      </c>
      <c r="AI34" t="n">
        <v>7</v>
      </c>
      <c r="AJ34" t="n">
        <v>5</v>
      </c>
      <c r="AK34" t="n">
        <v>5</v>
      </c>
      <c r="AL34" t="n">
        <v>11</v>
      </c>
      <c r="AM34" t="n">
        <v>11</v>
      </c>
      <c r="AN34" t="n">
        <v>2</v>
      </c>
      <c r="AO34" t="n">
        <v>2</v>
      </c>
      <c r="AP34" t="n">
        <v>0</v>
      </c>
      <c r="AQ34" t="n">
        <v>0</v>
      </c>
      <c r="AR34" t="inlineStr">
        <is>
          <t>No</t>
        </is>
      </c>
      <c r="AS34" t="inlineStr">
        <is>
          <t>Yes</t>
        </is>
      </c>
      <c r="AT34">
        <f>HYPERLINK("http://catalog.hathitrust.org/Record/001553880","HathiTrust Record")</f>
        <v/>
      </c>
      <c r="AU34">
        <f>HYPERLINK("https://creighton-primo.hosted.exlibrisgroup.com/primo-explore/search?tab=default_tab&amp;search_scope=EVERYTHING&amp;vid=01CRU&amp;lang=en_US&amp;offset=0&amp;query=any,contains,991001764259702656","Catalog Record")</f>
        <v/>
      </c>
      <c r="AV34">
        <f>HYPERLINK("http://www.worldcat.org/oclc/92873","WorldCat Record")</f>
        <v/>
      </c>
      <c r="AW34" t="inlineStr">
        <is>
          <t>9422633685:eng</t>
        </is>
      </c>
      <c r="AX34" t="inlineStr">
        <is>
          <t>92873</t>
        </is>
      </c>
      <c r="AY34" t="inlineStr">
        <is>
          <t>991001764259702656</t>
        </is>
      </c>
      <c r="AZ34" t="inlineStr">
        <is>
          <t>991001764259702656</t>
        </is>
      </c>
      <c r="BA34" t="inlineStr">
        <is>
          <t>2262527990002656</t>
        </is>
      </c>
      <c r="BB34" t="inlineStr">
        <is>
          <t>BOOK</t>
        </is>
      </c>
      <c r="BD34" t="inlineStr">
        <is>
          <t>9780127476025</t>
        </is>
      </c>
      <c r="BE34" t="inlineStr">
        <is>
          <t>32285003012654</t>
        </is>
      </c>
      <c r="BF34" t="inlineStr">
        <is>
          <t>893709516</t>
        </is>
      </c>
    </row>
    <row r="35">
      <c r="B35" t="inlineStr">
        <is>
          <t>CURAL</t>
        </is>
      </c>
      <c r="C35" t="inlineStr">
        <is>
          <t>SHELVES</t>
        </is>
      </c>
      <c r="D35" t="inlineStr">
        <is>
          <t>QP136 .A678 1994</t>
        </is>
      </c>
      <c r="E35" t="inlineStr">
        <is>
          <t>0                      QP 0136000A  678         1994</t>
        </is>
      </c>
      <c r="F35" t="inlineStr">
        <is>
          <t>Appetite : neural and behavioural bases / edited by Charles R. Legg and David Booth.</t>
        </is>
      </c>
      <c r="H35" t="inlineStr">
        <is>
          <t>No</t>
        </is>
      </c>
      <c r="I35" t="inlineStr">
        <is>
          <t>1</t>
        </is>
      </c>
      <c r="J35" t="inlineStr">
        <is>
          <t>No</t>
        </is>
      </c>
      <c r="K35" t="inlineStr">
        <is>
          <t>No</t>
        </is>
      </c>
      <c r="L35" t="inlineStr">
        <is>
          <t>0</t>
        </is>
      </c>
      <c r="N35" t="inlineStr">
        <is>
          <t>Oxford ; New York : Oxford University Press, 1994.</t>
        </is>
      </c>
      <c r="O35" t="inlineStr">
        <is>
          <t>1994</t>
        </is>
      </c>
      <c r="Q35" t="inlineStr">
        <is>
          <t>eng</t>
        </is>
      </c>
      <c r="R35" t="inlineStr">
        <is>
          <t>enk</t>
        </is>
      </c>
      <c r="S35" t="inlineStr">
        <is>
          <t>EBBS publications series ; 1</t>
        </is>
      </c>
      <c r="T35" t="inlineStr">
        <is>
          <t xml:space="preserve">QP </t>
        </is>
      </c>
      <c r="U35" t="n">
        <v>20</v>
      </c>
      <c r="V35" t="n">
        <v>20</v>
      </c>
      <c r="W35" t="inlineStr">
        <is>
          <t>2007-02-24</t>
        </is>
      </c>
      <c r="X35" t="inlineStr">
        <is>
          <t>2007-02-24</t>
        </is>
      </c>
      <c r="Y35" t="inlineStr">
        <is>
          <t>1996-03-14</t>
        </is>
      </c>
      <c r="Z35" t="inlineStr">
        <is>
          <t>1996-03-14</t>
        </is>
      </c>
      <c r="AA35" t="n">
        <v>237</v>
      </c>
      <c r="AB35" t="n">
        <v>159</v>
      </c>
      <c r="AC35" t="n">
        <v>205</v>
      </c>
      <c r="AD35" t="n">
        <v>3</v>
      </c>
      <c r="AE35" t="n">
        <v>3</v>
      </c>
      <c r="AF35" t="n">
        <v>10</v>
      </c>
      <c r="AG35" t="n">
        <v>12</v>
      </c>
      <c r="AH35" t="n">
        <v>4</v>
      </c>
      <c r="AI35" t="n">
        <v>4</v>
      </c>
      <c r="AJ35" t="n">
        <v>2</v>
      </c>
      <c r="AK35" t="n">
        <v>4</v>
      </c>
      <c r="AL35" t="n">
        <v>6</v>
      </c>
      <c r="AM35" t="n">
        <v>6</v>
      </c>
      <c r="AN35" t="n">
        <v>2</v>
      </c>
      <c r="AO35" t="n">
        <v>2</v>
      </c>
      <c r="AP35" t="n">
        <v>0</v>
      </c>
      <c r="AQ35" t="n">
        <v>0</v>
      </c>
      <c r="AR35" t="inlineStr">
        <is>
          <t>No</t>
        </is>
      </c>
      <c r="AS35" t="inlineStr">
        <is>
          <t>No</t>
        </is>
      </c>
      <c r="AU35">
        <f>HYPERLINK("https://creighton-primo.hosted.exlibrisgroup.com/primo-explore/search?tab=default_tab&amp;search_scope=EVERYTHING&amp;vid=01CRU&amp;lang=en_US&amp;offset=0&amp;query=any,contains,991002318429702656","Catalog Record")</f>
        <v/>
      </c>
      <c r="AV35">
        <f>HYPERLINK("http://www.worldcat.org/oclc/30075383","WorldCat Record")</f>
        <v/>
      </c>
      <c r="AW35" t="inlineStr">
        <is>
          <t>836820366:eng</t>
        </is>
      </c>
      <c r="AX35" t="inlineStr">
        <is>
          <t>30075383</t>
        </is>
      </c>
      <c r="AY35" t="inlineStr">
        <is>
          <t>991002318429702656</t>
        </is>
      </c>
      <c r="AZ35" t="inlineStr">
        <is>
          <t>991002318429702656</t>
        </is>
      </c>
      <c r="BA35" t="inlineStr">
        <is>
          <t>2261709810002656</t>
        </is>
      </c>
      <c r="BB35" t="inlineStr">
        <is>
          <t>BOOK</t>
        </is>
      </c>
      <c r="BD35" t="inlineStr">
        <is>
          <t>9780198547877</t>
        </is>
      </c>
      <c r="BE35" t="inlineStr">
        <is>
          <t>32285002142288</t>
        </is>
      </c>
      <c r="BF35" t="inlineStr">
        <is>
          <t>893497974</t>
        </is>
      </c>
    </row>
    <row r="36">
      <c r="B36" t="inlineStr">
        <is>
          <t>CURAL</t>
        </is>
      </c>
      <c r="C36" t="inlineStr">
        <is>
          <t>SHELVES</t>
        </is>
      </c>
      <c r="D36" t="inlineStr">
        <is>
          <t>QP141 .C5 1966</t>
        </is>
      </c>
      <c r="E36" t="inlineStr">
        <is>
          <t>0                      QP 0141000C  5           1966</t>
        </is>
      </c>
      <c r="F36" t="inlineStr">
        <is>
          <t>Nutrition [by] Margaret S. Chaney [and] Margaret L. Ross.</t>
        </is>
      </c>
      <c r="H36" t="inlineStr">
        <is>
          <t>No</t>
        </is>
      </c>
      <c r="I36" t="inlineStr">
        <is>
          <t>1</t>
        </is>
      </c>
      <c r="J36" t="inlineStr">
        <is>
          <t>No</t>
        </is>
      </c>
      <c r="K36" t="inlineStr">
        <is>
          <t>No</t>
        </is>
      </c>
      <c r="L36" t="inlineStr">
        <is>
          <t>0</t>
        </is>
      </c>
      <c r="M36" t="inlineStr">
        <is>
          <t>Chaney, Margaret Stella, 1892-</t>
        </is>
      </c>
      <c r="N36" t="inlineStr">
        <is>
          <t>Boston, Houghton Mifflin [1966]</t>
        </is>
      </c>
      <c r="O36" t="inlineStr">
        <is>
          <t>1966</t>
        </is>
      </c>
      <c r="P36" t="inlineStr">
        <is>
          <t>7th ed.</t>
        </is>
      </c>
      <c r="Q36" t="inlineStr">
        <is>
          <t>eng</t>
        </is>
      </c>
      <c r="R36" t="inlineStr">
        <is>
          <t>mau</t>
        </is>
      </c>
      <c r="T36" t="inlineStr">
        <is>
          <t xml:space="preserve">QP </t>
        </is>
      </c>
      <c r="U36" t="n">
        <v>2</v>
      </c>
      <c r="V36" t="n">
        <v>2</v>
      </c>
      <c r="W36" t="inlineStr">
        <is>
          <t>1996-10-08</t>
        </is>
      </c>
      <c r="X36" t="inlineStr">
        <is>
          <t>1996-10-08</t>
        </is>
      </c>
      <c r="Y36" t="inlineStr">
        <is>
          <t>1993-02-26</t>
        </is>
      </c>
      <c r="Z36" t="inlineStr">
        <is>
          <t>1993-02-26</t>
        </is>
      </c>
      <c r="AA36" t="n">
        <v>218</v>
      </c>
      <c r="AB36" t="n">
        <v>176</v>
      </c>
      <c r="AC36" t="n">
        <v>587</v>
      </c>
      <c r="AD36" t="n">
        <v>2</v>
      </c>
      <c r="AE36" t="n">
        <v>4</v>
      </c>
      <c r="AF36" t="n">
        <v>4</v>
      </c>
      <c r="AG36" t="n">
        <v>14</v>
      </c>
      <c r="AH36" t="n">
        <v>2</v>
      </c>
      <c r="AI36" t="n">
        <v>6</v>
      </c>
      <c r="AJ36" t="n">
        <v>0</v>
      </c>
      <c r="AK36" t="n">
        <v>3</v>
      </c>
      <c r="AL36" t="n">
        <v>1</v>
      </c>
      <c r="AM36" t="n">
        <v>6</v>
      </c>
      <c r="AN36" t="n">
        <v>1</v>
      </c>
      <c r="AO36" t="n">
        <v>3</v>
      </c>
      <c r="AP36" t="n">
        <v>0</v>
      </c>
      <c r="AQ36" t="n">
        <v>0</v>
      </c>
      <c r="AR36" t="inlineStr">
        <is>
          <t>No</t>
        </is>
      </c>
      <c r="AS36" t="inlineStr">
        <is>
          <t>Yes</t>
        </is>
      </c>
      <c r="AT36">
        <f>HYPERLINK("http://catalog.hathitrust.org/Record/001553893","HathiTrust Record")</f>
        <v/>
      </c>
      <c r="AU36">
        <f>HYPERLINK("https://creighton-primo.hosted.exlibrisgroup.com/primo-explore/search?tab=default_tab&amp;search_scope=EVERYTHING&amp;vid=01CRU&amp;lang=en_US&amp;offset=0&amp;query=any,contains,991003180649702656","Catalog Record")</f>
        <v/>
      </c>
      <c r="AV36">
        <f>HYPERLINK("http://www.worldcat.org/oclc/711691","WorldCat Record")</f>
        <v/>
      </c>
      <c r="AW36" t="inlineStr">
        <is>
          <t>1262221:eng</t>
        </is>
      </c>
      <c r="AX36" t="inlineStr">
        <is>
          <t>711691</t>
        </is>
      </c>
      <c r="AY36" t="inlineStr">
        <is>
          <t>991003180649702656</t>
        </is>
      </c>
      <c r="AZ36" t="inlineStr">
        <is>
          <t>991003180649702656</t>
        </is>
      </c>
      <c r="BA36" t="inlineStr">
        <is>
          <t>2261895030002656</t>
        </is>
      </c>
      <c r="BB36" t="inlineStr">
        <is>
          <t>BOOK</t>
        </is>
      </c>
      <c r="BE36" t="inlineStr">
        <is>
          <t>32285001549897</t>
        </is>
      </c>
      <c r="BF36" t="inlineStr">
        <is>
          <t>893258133</t>
        </is>
      </c>
    </row>
    <row r="37">
      <c r="B37" t="inlineStr">
        <is>
          <t>CURAL</t>
        </is>
      </c>
      <c r="C37" t="inlineStr">
        <is>
          <t>SHELVES</t>
        </is>
      </c>
      <c r="D37" t="inlineStr">
        <is>
          <t>QP141 .D47</t>
        </is>
      </c>
      <c r="E37" t="inlineStr">
        <is>
          <t>0                      QP 0141000D  47</t>
        </is>
      </c>
      <c r="F37" t="inlineStr">
        <is>
          <t>Realities of nutrition / Ronald M. Deutsch ; [cover and ill. Diana Dennington].</t>
        </is>
      </c>
      <c r="H37" t="inlineStr">
        <is>
          <t>No</t>
        </is>
      </c>
      <c r="I37" t="inlineStr">
        <is>
          <t>1</t>
        </is>
      </c>
      <c r="J37" t="inlineStr">
        <is>
          <t>No</t>
        </is>
      </c>
      <c r="K37" t="inlineStr">
        <is>
          <t>No</t>
        </is>
      </c>
      <c r="L37" t="inlineStr">
        <is>
          <t>0</t>
        </is>
      </c>
      <c r="M37" t="inlineStr">
        <is>
          <t>Deutsch, Ronald M.</t>
        </is>
      </c>
      <c r="N37" t="inlineStr">
        <is>
          <t>Palo Alto, CA : Bull Pub. Co., c1976.</t>
        </is>
      </c>
      <c r="O37" t="inlineStr">
        <is>
          <t>1976</t>
        </is>
      </c>
      <c r="Q37" t="inlineStr">
        <is>
          <t>eng</t>
        </is>
      </c>
      <c r="R37" t="inlineStr">
        <is>
          <t>cau</t>
        </is>
      </c>
      <c r="S37" t="inlineStr">
        <is>
          <t>Berkeley series in nutrition</t>
        </is>
      </c>
      <c r="T37" t="inlineStr">
        <is>
          <t xml:space="preserve">QP </t>
        </is>
      </c>
      <c r="U37" t="n">
        <v>3</v>
      </c>
      <c r="V37" t="n">
        <v>3</v>
      </c>
      <c r="W37" t="inlineStr">
        <is>
          <t>1997-04-05</t>
        </is>
      </c>
      <c r="X37" t="inlineStr">
        <is>
          <t>1997-04-05</t>
        </is>
      </c>
      <c r="Y37" t="inlineStr">
        <is>
          <t>1990-04-04</t>
        </is>
      </c>
      <c r="Z37" t="inlineStr">
        <is>
          <t>1990-04-04</t>
        </is>
      </c>
      <c r="AA37" t="n">
        <v>467</v>
      </c>
      <c r="AB37" t="n">
        <v>418</v>
      </c>
      <c r="AC37" t="n">
        <v>524</v>
      </c>
      <c r="AD37" t="n">
        <v>7</v>
      </c>
      <c r="AE37" t="n">
        <v>7</v>
      </c>
      <c r="AF37" t="n">
        <v>13</v>
      </c>
      <c r="AG37" t="n">
        <v>17</v>
      </c>
      <c r="AH37" t="n">
        <v>4</v>
      </c>
      <c r="AI37" t="n">
        <v>6</v>
      </c>
      <c r="AJ37" t="n">
        <v>3</v>
      </c>
      <c r="AK37" t="n">
        <v>4</v>
      </c>
      <c r="AL37" t="n">
        <v>4</v>
      </c>
      <c r="AM37" t="n">
        <v>5</v>
      </c>
      <c r="AN37" t="n">
        <v>4</v>
      </c>
      <c r="AO37" t="n">
        <v>4</v>
      </c>
      <c r="AP37" t="n">
        <v>0</v>
      </c>
      <c r="AQ37" t="n">
        <v>0</v>
      </c>
      <c r="AR37" t="inlineStr">
        <is>
          <t>No</t>
        </is>
      </c>
      <c r="AS37" t="inlineStr">
        <is>
          <t>Yes</t>
        </is>
      </c>
      <c r="AT37">
        <f>HYPERLINK("http://catalog.hathitrust.org/Record/000743724","HathiTrust Record")</f>
        <v/>
      </c>
      <c r="AU37">
        <f>HYPERLINK("https://creighton-primo.hosted.exlibrisgroup.com/primo-explore/search?tab=default_tab&amp;search_scope=EVERYTHING&amp;vid=01CRU&amp;lang=en_US&amp;offset=0&amp;query=any,contains,991004115189702656","Catalog Record")</f>
        <v/>
      </c>
      <c r="AV37">
        <f>HYPERLINK("http://www.worldcat.org/oclc/2409636","WorldCat Record")</f>
        <v/>
      </c>
      <c r="AW37" t="inlineStr">
        <is>
          <t>381786:eng</t>
        </is>
      </c>
      <c r="AX37" t="inlineStr">
        <is>
          <t>2409636</t>
        </is>
      </c>
      <c r="AY37" t="inlineStr">
        <is>
          <t>991004115189702656</t>
        </is>
      </c>
      <c r="AZ37" t="inlineStr">
        <is>
          <t>991004115189702656</t>
        </is>
      </c>
      <c r="BA37" t="inlineStr">
        <is>
          <t>2269223440002656</t>
        </is>
      </c>
      <c r="BB37" t="inlineStr">
        <is>
          <t>BOOK</t>
        </is>
      </c>
      <c r="BD37" t="inlineStr">
        <is>
          <t>9780915950072</t>
        </is>
      </c>
      <c r="BE37" t="inlineStr">
        <is>
          <t>32285000110006</t>
        </is>
      </c>
      <c r="BF37" t="inlineStr">
        <is>
          <t>893228946</t>
        </is>
      </c>
    </row>
    <row r="38">
      <c r="B38" t="inlineStr">
        <is>
          <t>CURAL</t>
        </is>
      </c>
      <c r="C38" t="inlineStr">
        <is>
          <t>SHELVES</t>
        </is>
      </c>
      <c r="D38" t="inlineStr">
        <is>
          <t>QP141 .H79</t>
        </is>
      </c>
      <c r="E38" t="inlineStr">
        <is>
          <t>0                      QP 0141000H  79</t>
        </is>
      </c>
      <c r="F38" t="inlineStr">
        <is>
          <t>Human nutrition : readings from Scientific American / with introductions by Norman Kretchmer and William van B. Robertson.</t>
        </is>
      </c>
      <c r="H38" t="inlineStr">
        <is>
          <t>No</t>
        </is>
      </c>
      <c r="I38" t="inlineStr">
        <is>
          <t>1</t>
        </is>
      </c>
      <c r="J38" t="inlineStr">
        <is>
          <t>No</t>
        </is>
      </c>
      <c r="K38" t="inlineStr">
        <is>
          <t>No</t>
        </is>
      </c>
      <c r="L38" t="inlineStr">
        <is>
          <t>0</t>
        </is>
      </c>
      <c r="N38" t="inlineStr">
        <is>
          <t>San Francisco : W. H. Freeman, c1978.</t>
        </is>
      </c>
      <c r="O38" t="inlineStr">
        <is>
          <t>1978</t>
        </is>
      </c>
      <c r="Q38" t="inlineStr">
        <is>
          <t>eng</t>
        </is>
      </c>
      <c r="R38" t="inlineStr">
        <is>
          <t>cau</t>
        </is>
      </c>
      <c r="T38" t="inlineStr">
        <is>
          <t xml:space="preserve">QP </t>
        </is>
      </c>
      <c r="U38" t="n">
        <v>7</v>
      </c>
      <c r="V38" t="n">
        <v>7</v>
      </c>
      <c r="W38" t="inlineStr">
        <is>
          <t>1997-04-05</t>
        </is>
      </c>
      <c r="X38" t="inlineStr">
        <is>
          <t>1997-04-05</t>
        </is>
      </c>
      <c r="Y38" t="inlineStr">
        <is>
          <t>1993-02-26</t>
        </is>
      </c>
      <c r="Z38" t="inlineStr">
        <is>
          <t>1993-02-26</t>
        </is>
      </c>
      <c r="AA38" t="n">
        <v>459</v>
      </c>
      <c r="AB38" t="n">
        <v>352</v>
      </c>
      <c r="AC38" t="n">
        <v>357</v>
      </c>
      <c r="AD38" t="n">
        <v>3</v>
      </c>
      <c r="AE38" t="n">
        <v>3</v>
      </c>
      <c r="AF38" t="n">
        <v>8</v>
      </c>
      <c r="AG38" t="n">
        <v>8</v>
      </c>
      <c r="AH38" t="n">
        <v>3</v>
      </c>
      <c r="AI38" t="n">
        <v>3</v>
      </c>
      <c r="AJ38" t="n">
        <v>0</v>
      </c>
      <c r="AK38" t="n">
        <v>0</v>
      </c>
      <c r="AL38" t="n">
        <v>4</v>
      </c>
      <c r="AM38" t="n">
        <v>4</v>
      </c>
      <c r="AN38" t="n">
        <v>2</v>
      </c>
      <c r="AO38" t="n">
        <v>2</v>
      </c>
      <c r="AP38" t="n">
        <v>0</v>
      </c>
      <c r="AQ38" t="n">
        <v>0</v>
      </c>
      <c r="AR38" t="inlineStr">
        <is>
          <t>No</t>
        </is>
      </c>
      <c r="AS38" t="inlineStr">
        <is>
          <t>No</t>
        </is>
      </c>
      <c r="AU38">
        <f>HYPERLINK("https://creighton-primo.hosted.exlibrisgroup.com/primo-explore/search?tab=default_tab&amp;search_scope=EVERYTHING&amp;vid=01CRU&amp;lang=en_US&amp;offset=0&amp;query=any,contains,991004555889702656","Catalog Record")</f>
        <v/>
      </c>
      <c r="AV38">
        <f>HYPERLINK("http://www.worldcat.org/oclc/3966254","WorldCat Record")</f>
        <v/>
      </c>
      <c r="AW38" t="inlineStr">
        <is>
          <t>447016:eng</t>
        </is>
      </c>
      <c r="AX38" t="inlineStr">
        <is>
          <t>3966254</t>
        </is>
      </c>
      <c r="AY38" t="inlineStr">
        <is>
          <t>991004555889702656</t>
        </is>
      </c>
      <c r="AZ38" t="inlineStr">
        <is>
          <t>991004555889702656</t>
        </is>
      </c>
      <c r="BA38" t="inlineStr">
        <is>
          <t>2263801080002656</t>
        </is>
      </c>
      <c r="BB38" t="inlineStr">
        <is>
          <t>BOOK</t>
        </is>
      </c>
      <c r="BD38" t="inlineStr">
        <is>
          <t>9780716701835</t>
        </is>
      </c>
      <c r="BE38" t="inlineStr">
        <is>
          <t>32285001549913</t>
        </is>
      </c>
      <c r="BF38" t="inlineStr">
        <is>
          <t>893319389</t>
        </is>
      </c>
    </row>
    <row r="39">
      <c r="B39" t="inlineStr">
        <is>
          <t>CURAL</t>
        </is>
      </c>
      <c r="C39" t="inlineStr">
        <is>
          <t>SHELVES</t>
        </is>
      </c>
      <c r="D39" t="inlineStr">
        <is>
          <t>QP141 .L64 1986</t>
        </is>
      </c>
      <c r="E39" t="inlineStr">
        <is>
          <t>0                      QP 0141000L  64          1986</t>
        </is>
      </c>
      <c r="F39" t="inlineStr">
        <is>
          <t>The psychology of eating and drinking / A.W. Logue.</t>
        </is>
      </c>
      <c r="H39" t="inlineStr">
        <is>
          <t>No</t>
        </is>
      </c>
      <c r="I39" t="inlineStr">
        <is>
          <t>1</t>
        </is>
      </c>
      <c r="J39" t="inlineStr">
        <is>
          <t>Yes</t>
        </is>
      </c>
      <c r="K39" t="inlineStr">
        <is>
          <t>No</t>
        </is>
      </c>
      <c r="L39" t="inlineStr">
        <is>
          <t>0</t>
        </is>
      </c>
      <c r="M39" t="inlineStr">
        <is>
          <t>Logue, A. W. (Alexandra W.)</t>
        </is>
      </c>
      <c r="N39" t="inlineStr">
        <is>
          <t>New York : W.H. Freeman, c1986.</t>
        </is>
      </c>
      <c r="O39" t="inlineStr">
        <is>
          <t>1986</t>
        </is>
      </c>
      <c r="Q39" t="inlineStr">
        <is>
          <t>eng</t>
        </is>
      </c>
      <c r="R39" t="inlineStr">
        <is>
          <t>nyu</t>
        </is>
      </c>
      <c r="S39" t="inlineStr">
        <is>
          <t>A Series of books in psychology</t>
        </is>
      </c>
      <c r="T39" t="inlineStr">
        <is>
          <t xml:space="preserve">QP </t>
        </is>
      </c>
      <c r="U39" t="n">
        <v>16</v>
      </c>
      <c r="V39" t="n">
        <v>16</v>
      </c>
      <c r="W39" t="inlineStr">
        <is>
          <t>2009-12-16</t>
        </is>
      </c>
      <c r="X39" t="inlineStr">
        <is>
          <t>2009-12-16</t>
        </is>
      </c>
      <c r="Y39" t="inlineStr">
        <is>
          <t>1992-07-27</t>
        </is>
      </c>
      <c r="Z39" t="inlineStr">
        <is>
          <t>1992-07-27</t>
        </is>
      </c>
      <c r="AA39" t="n">
        <v>904</v>
      </c>
      <c r="AB39" t="n">
        <v>768</v>
      </c>
      <c r="AC39" t="n">
        <v>1499</v>
      </c>
      <c r="AD39" t="n">
        <v>7</v>
      </c>
      <c r="AE39" t="n">
        <v>35</v>
      </c>
      <c r="AF39" t="n">
        <v>25</v>
      </c>
      <c r="AG39" t="n">
        <v>49</v>
      </c>
      <c r="AH39" t="n">
        <v>7</v>
      </c>
      <c r="AI39" t="n">
        <v>19</v>
      </c>
      <c r="AJ39" t="n">
        <v>7</v>
      </c>
      <c r="AK39" t="n">
        <v>8</v>
      </c>
      <c r="AL39" t="n">
        <v>12</v>
      </c>
      <c r="AM39" t="n">
        <v>16</v>
      </c>
      <c r="AN39" t="n">
        <v>4</v>
      </c>
      <c r="AO39" t="n">
        <v>14</v>
      </c>
      <c r="AP39" t="n">
        <v>0</v>
      </c>
      <c r="AQ39" t="n">
        <v>0</v>
      </c>
      <c r="AR39" t="inlineStr">
        <is>
          <t>No</t>
        </is>
      </c>
      <c r="AS39" t="inlineStr">
        <is>
          <t>No</t>
        </is>
      </c>
      <c r="AU39">
        <f>HYPERLINK("https://creighton-primo.hosted.exlibrisgroup.com/primo-explore/search?tab=default_tab&amp;search_scope=EVERYTHING&amp;vid=01CRU&amp;lang=en_US&amp;offset=0&amp;query=any,contains,991000675379702656","Catalog Record")</f>
        <v/>
      </c>
      <c r="AV39">
        <f>HYPERLINK("http://www.worldcat.org/oclc/12344667","WorldCat Record")</f>
        <v/>
      </c>
      <c r="AW39" t="inlineStr">
        <is>
          <t>1016310:eng</t>
        </is>
      </c>
      <c r="AX39" t="inlineStr">
        <is>
          <t>12344667</t>
        </is>
      </c>
      <c r="AY39" t="inlineStr">
        <is>
          <t>991000675379702656</t>
        </is>
      </c>
      <c r="AZ39" t="inlineStr">
        <is>
          <t>991000675379702656</t>
        </is>
      </c>
      <c r="BA39" t="inlineStr">
        <is>
          <t>2265347810002656</t>
        </is>
      </c>
      <c r="BB39" t="inlineStr">
        <is>
          <t>BOOK</t>
        </is>
      </c>
      <c r="BD39" t="inlineStr">
        <is>
          <t>9780716717386</t>
        </is>
      </c>
      <c r="BE39" t="inlineStr">
        <is>
          <t>32285001206456</t>
        </is>
      </c>
      <c r="BF39" t="inlineStr">
        <is>
          <t>893790752</t>
        </is>
      </c>
    </row>
    <row r="40">
      <c r="B40" t="inlineStr">
        <is>
          <t>CURAL</t>
        </is>
      </c>
      <c r="C40" t="inlineStr">
        <is>
          <t>SHELVES</t>
        </is>
      </c>
      <c r="D40" t="inlineStr">
        <is>
          <t>QP141 .M64 1988</t>
        </is>
      </c>
      <c r="E40" t="inlineStr">
        <is>
          <t>0                      QP 0141000M  64          1988</t>
        </is>
      </c>
      <c r="F40" t="inlineStr">
        <is>
          <t>Modern nutrition in health and disease / edited by Maurice E. Shils, Vernon R. Young.</t>
        </is>
      </c>
      <c r="H40" t="inlineStr">
        <is>
          <t>No</t>
        </is>
      </c>
      <c r="I40" t="inlineStr">
        <is>
          <t>1</t>
        </is>
      </c>
      <c r="J40" t="inlineStr">
        <is>
          <t>No</t>
        </is>
      </c>
      <c r="K40" t="inlineStr">
        <is>
          <t>Yes</t>
        </is>
      </c>
      <c r="L40" t="inlineStr">
        <is>
          <t>0</t>
        </is>
      </c>
      <c r="N40" t="inlineStr">
        <is>
          <t>Philadelphia : Lea &amp; Febiger, 1988.</t>
        </is>
      </c>
      <c r="O40" t="inlineStr">
        <is>
          <t>1988</t>
        </is>
      </c>
      <c r="P40" t="inlineStr">
        <is>
          <t>7th ed.</t>
        </is>
      </c>
      <c r="Q40" t="inlineStr">
        <is>
          <t>eng</t>
        </is>
      </c>
      <c r="R40" t="inlineStr">
        <is>
          <t>pau</t>
        </is>
      </c>
      <c r="T40" t="inlineStr">
        <is>
          <t xml:space="preserve">QP </t>
        </is>
      </c>
      <c r="U40" t="n">
        <v>10</v>
      </c>
      <c r="V40" t="n">
        <v>10</v>
      </c>
      <c r="W40" t="inlineStr">
        <is>
          <t>2002-04-19</t>
        </is>
      </c>
      <c r="X40" t="inlineStr">
        <is>
          <t>2002-04-19</t>
        </is>
      </c>
      <c r="Y40" t="inlineStr">
        <is>
          <t>1990-06-18</t>
        </is>
      </c>
      <c r="Z40" t="inlineStr">
        <is>
          <t>1990-06-18</t>
        </is>
      </c>
      <c r="AA40" t="n">
        <v>597</v>
      </c>
      <c r="AB40" t="n">
        <v>493</v>
      </c>
      <c r="AC40" t="n">
        <v>1480</v>
      </c>
      <c r="AD40" t="n">
        <v>3</v>
      </c>
      <c r="AE40" t="n">
        <v>10</v>
      </c>
      <c r="AF40" t="n">
        <v>11</v>
      </c>
      <c r="AG40" t="n">
        <v>40</v>
      </c>
      <c r="AH40" t="n">
        <v>3</v>
      </c>
      <c r="AI40" t="n">
        <v>17</v>
      </c>
      <c r="AJ40" t="n">
        <v>3</v>
      </c>
      <c r="AK40" t="n">
        <v>10</v>
      </c>
      <c r="AL40" t="n">
        <v>7</v>
      </c>
      <c r="AM40" t="n">
        <v>17</v>
      </c>
      <c r="AN40" t="n">
        <v>2</v>
      </c>
      <c r="AO40" t="n">
        <v>6</v>
      </c>
      <c r="AP40" t="n">
        <v>0</v>
      </c>
      <c r="AQ40" t="n">
        <v>0</v>
      </c>
      <c r="AR40" t="inlineStr">
        <is>
          <t>No</t>
        </is>
      </c>
      <c r="AS40" t="inlineStr">
        <is>
          <t>Yes</t>
        </is>
      </c>
      <c r="AT40">
        <f>HYPERLINK("http://catalog.hathitrust.org/Record/000842188","HathiTrust Record")</f>
        <v/>
      </c>
      <c r="AU40">
        <f>HYPERLINK("https://creighton-primo.hosted.exlibrisgroup.com/primo-explore/search?tab=default_tab&amp;search_scope=EVERYTHING&amp;vid=01CRU&amp;lang=en_US&amp;offset=0&amp;query=any,contains,991000889199702656","Catalog Record")</f>
        <v/>
      </c>
      <c r="AV40">
        <f>HYPERLINK("http://www.worldcat.org/oclc/13903179","WorldCat Record")</f>
        <v/>
      </c>
      <c r="AW40" t="inlineStr">
        <is>
          <t>2207715766:eng</t>
        </is>
      </c>
      <c r="AX40" t="inlineStr">
        <is>
          <t>13903179</t>
        </is>
      </c>
      <c r="AY40" t="inlineStr">
        <is>
          <t>991000889199702656</t>
        </is>
      </c>
      <c r="AZ40" t="inlineStr">
        <is>
          <t>991000889199702656</t>
        </is>
      </c>
      <c r="BA40" t="inlineStr">
        <is>
          <t>2270033480002656</t>
        </is>
      </c>
      <c r="BB40" t="inlineStr">
        <is>
          <t>BOOK</t>
        </is>
      </c>
      <c r="BD40" t="inlineStr">
        <is>
          <t>9780812109849</t>
        </is>
      </c>
      <c r="BE40" t="inlineStr">
        <is>
          <t>32285000177880</t>
        </is>
      </c>
      <c r="BF40" t="inlineStr">
        <is>
          <t>893696260</t>
        </is>
      </c>
    </row>
    <row r="41">
      <c r="B41" t="inlineStr">
        <is>
          <t>CURAL</t>
        </is>
      </c>
      <c r="C41" t="inlineStr">
        <is>
          <t>SHELVES</t>
        </is>
      </c>
      <c r="D41" t="inlineStr">
        <is>
          <t>QP141 .N7765 1995</t>
        </is>
      </c>
      <c r="E41" t="inlineStr">
        <is>
          <t>0                      QP 0141000N  7765        1995</t>
        </is>
      </c>
      <c r="F41" t="inlineStr">
        <is>
          <t>Nutrition and health : topics and controversies / edited by Felix Bronner.</t>
        </is>
      </c>
      <c r="H41" t="inlineStr">
        <is>
          <t>No</t>
        </is>
      </c>
      <c r="I41" t="inlineStr">
        <is>
          <t>1</t>
        </is>
      </c>
      <c r="J41" t="inlineStr">
        <is>
          <t>No</t>
        </is>
      </c>
      <c r="K41" t="inlineStr">
        <is>
          <t>No</t>
        </is>
      </c>
      <c r="L41" t="inlineStr">
        <is>
          <t>0</t>
        </is>
      </c>
      <c r="N41" t="inlineStr">
        <is>
          <t>Boca Raton, FL : CRC Press, c1995.</t>
        </is>
      </c>
      <c r="O41" t="inlineStr">
        <is>
          <t>1995</t>
        </is>
      </c>
      <c r="Q41" t="inlineStr">
        <is>
          <t>eng</t>
        </is>
      </c>
      <c r="R41" t="inlineStr">
        <is>
          <t>flu</t>
        </is>
      </c>
      <c r="S41" t="inlineStr">
        <is>
          <t>CRC series on modern nutrition</t>
        </is>
      </c>
      <c r="T41" t="inlineStr">
        <is>
          <t xml:space="preserve">QP </t>
        </is>
      </c>
      <c r="U41" t="n">
        <v>11</v>
      </c>
      <c r="V41" t="n">
        <v>11</v>
      </c>
      <c r="W41" t="inlineStr">
        <is>
          <t>2005-12-05</t>
        </is>
      </c>
      <c r="X41" t="inlineStr">
        <is>
          <t>2005-12-05</t>
        </is>
      </c>
      <c r="Y41" t="inlineStr">
        <is>
          <t>1999-04-13</t>
        </is>
      </c>
      <c r="Z41" t="inlineStr">
        <is>
          <t>1999-04-13</t>
        </is>
      </c>
      <c r="AA41" t="n">
        <v>311</v>
      </c>
      <c r="AB41" t="n">
        <v>244</v>
      </c>
      <c r="AC41" t="n">
        <v>265</v>
      </c>
      <c r="AD41" t="n">
        <v>1</v>
      </c>
      <c r="AE41" t="n">
        <v>1</v>
      </c>
      <c r="AF41" t="n">
        <v>10</v>
      </c>
      <c r="AG41" t="n">
        <v>10</v>
      </c>
      <c r="AH41" t="n">
        <v>7</v>
      </c>
      <c r="AI41" t="n">
        <v>7</v>
      </c>
      <c r="AJ41" t="n">
        <v>2</v>
      </c>
      <c r="AK41" t="n">
        <v>2</v>
      </c>
      <c r="AL41" t="n">
        <v>3</v>
      </c>
      <c r="AM41" t="n">
        <v>3</v>
      </c>
      <c r="AN41" t="n">
        <v>0</v>
      </c>
      <c r="AO41" t="n">
        <v>0</v>
      </c>
      <c r="AP41" t="n">
        <v>0</v>
      </c>
      <c r="AQ41" t="n">
        <v>0</v>
      </c>
      <c r="AR41" t="inlineStr">
        <is>
          <t>No</t>
        </is>
      </c>
      <c r="AS41" t="inlineStr">
        <is>
          <t>No</t>
        </is>
      </c>
      <c r="AU41">
        <f>HYPERLINK("https://creighton-primo.hosted.exlibrisgroup.com/primo-explore/search?tab=default_tab&amp;search_scope=EVERYTHING&amp;vid=01CRU&amp;lang=en_US&amp;offset=0&amp;query=any,contains,991002489139702656","Catalog Record")</f>
        <v/>
      </c>
      <c r="AV41">
        <f>HYPERLINK("http://www.worldcat.org/oclc/32392879","WorldCat Record")</f>
        <v/>
      </c>
      <c r="AW41" t="inlineStr">
        <is>
          <t>836912272:eng</t>
        </is>
      </c>
      <c r="AX41" t="inlineStr">
        <is>
          <t>32392879</t>
        </is>
      </c>
      <c r="AY41" t="inlineStr">
        <is>
          <t>991002489139702656</t>
        </is>
      </c>
      <c r="AZ41" t="inlineStr">
        <is>
          <t>991002489139702656</t>
        </is>
      </c>
      <c r="BA41" t="inlineStr">
        <is>
          <t>2256374350002656</t>
        </is>
      </c>
      <c r="BB41" t="inlineStr">
        <is>
          <t>BOOK</t>
        </is>
      </c>
      <c r="BD41" t="inlineStr">
        <is>
          <t>9780849378492</t>
        </is>
      </c>
      <c r="BE41" t="inlineStr">
        <is>
          <t>32285003551859</t>
        </is>
      </c>
      <c r="BF41" t="inlineStr">
        <is>
          <t>893440205</t>
        </is>
      </c>
    </row>
    <row r="42">
      <c r="B42" t="inlineStr">
        <is>
          <t>CURAL</t>
        </is>
      </c>
      <c r="C42" t="inlineStr">
        <is>
          <t>SHELVES</t>
        </is>
      </c>
      <c r="D42" t="inlineStr">
        <is>
          <t>QP141 .S348 1979</t>
        </is>
      </c>
      <c r="E42" t="inlineStr">
        <is>
          <t>0                      QP 0141000S  348         1979</t>
        </is>
      </c>
      <c r="F42" t="inlineStr">
        <is>
          <t>Food power : how foods can change your mind, your personality, and your life / by George Schwartz.</t>
        </is>
      </c>
      <c r="H42" t="inlineStr">
        <is>
          <t>No</t>
        </is>
      </c>
      <c r="I42" t="inlineStr">
        <is>
          <t>1</t>
        </is>
      </c>
      <c r="J42" t="inlineStr">
        <is>
          <t>No</t>
        </is>
      </c>
      <c r="K42" t="inlineStr">
        <is>
          <t>No</t>
        </is>
      </c>
      <c r="L42" t="inlineStr">
        <is>
          <t>0</t>
        </is>
      </c>
      <c r="M42" t="inlineStr">
        <is>
          <t>Schwartz, George R.</t>
        </is>
      </c>
      <c r="N42" t="inlineStr">
        <is>
          <t>New York : McGraw-Hill, c1979.</t>
        </is>
      </c>
      <c r="O42" t="inlineStr">
        <is>
          <t>1979</t>
        </is>
      </c>
      <c r="Q42" t="inlineStr">
        <is>
          <t>eng</t>
        </is>
      </c>
      <c r="R42" t="inlineStr">
        <is>
          <t>nyu</t>
        </is>
      </c>
      <c r="T42" t="inlineStr">
        <is>
          <t xml:space="preserve">QP </t>
        </is>
      </c>
      <c r="U42" t="n">
        <v>10</v>
      </c>
      <c r="V42" t="n">
        <v>10</v>
      </c>
      <c r="W42" t="inlineStr">
        <is>
          <t>2008-02-11</t>
        </is>
      </c>
      <c r="X42" t="inlineStr">
        <is>
          <t>2008-02-11</t>
        </is>
      </c>
      <c r="Y42" t="inlineStr">
        <is>
          <t>1992-04-16</t>
        </is>
      </c>
      <c r="Z42" t="inlineStr">
        <is>
          <t>1992-04-16</t>
        </is>
      </c>
      <c r="AA42" t="n">
        <v>294</v>
      </c>
      <c r="AB42" t="n">
        <v>279</v>
      </c>
      <c r="AC42" t="n">
        <v>288</v>
      </c>
      <c r="AD42" t="n">
        <v>5</v>
      </c>
      <c r="AE42" t="n">
        <v>5</v>
      </c>
      <c r="AF42" t="n">
        <v>6</v>
      </c>
      <c r="AG42" t="n">
        <v>6</v>
      </c>
      <c r="AH42" t="n">
        <v>1</v>
      </c>
      <c r="AI42" t="n">
        <v>1</v>
      </c>
      <c r="AJ42" t="n">
        <v>0</v>
      </c>
      <c r="AK42" t="n">
        <v>0</v>
      </c>
      <c r="AL42" t="n">
        <v>1</v>
      </c>
      <c r="AM42" t="n">
        <v>1</v>
      </c>
      <c r="AN42" t="n">
        <v>4</v>
      </c>
      <c r="AO42" t="n">
        <v>4</v>
      </c>
      <c r="AP42" t="n">
        <v>0</v>
      </c>
      <c r="AQ42" t="n">
        <v>0</v>
      </c>
      <c r="AR42" t="inlineStr">
        <is>
          <t>No</t>
        </is>
      </c>
      <c r="AS42" t="inlineStr">
        <is>
          <t>No</t>
        </is>
      </c>
      <c r="AU42">
        <f>HYPERLINK("https://creighton-primo.hosted.exlibrisgroup.com/primo-explore/search?tab=default_tab&amp;search_scope=EVERYTHING&amp;vid=01CRU&amp;lang=en_US&amp;offset=0&amp;query=any,contains,991004687479702656","Catalog Record")</f>
        <v/>
      </c>
      <c r="AV42">
        <f>HYPERLINK("http://www.worldcat.org/oclc/4593377","WorldCat Record")</f>
        <v/>
      </c>
      <c r="AW42" t="inlineStr">
        <is>
          <t>278904015:eng</t>
        </is>
      </c>
      <c r="AX42" t="inlineStr">
        <is>
          <t>4593377</t>
        </is>
      </c>
      <c r="AY42" t="inlineStr">
        <is>
          <t>991004687479702656</t>
        </is>
      </c>
      <c r="AZ42" t="inlineStr">
        <is>
          <t>991004687479702656</t>
        </is>
      </c>
      <c r="BA42" t="inlineStr">
        <is>
          <t>2271213080002656</t>
        </is>
      </c>
      <c r="BB42" t="inlineStr">
        <is>
          <t>BOOK</t>
        </is>
      </c>
      <c r="BD42" t="inlineStr">
        <is>
          <t>9780070556737</t>
        </is>
      </c>
      <c r="BE42" t="inlineStr">
        <is>
          <t>32285001070019</t>
        </is>
      </c>
      <c r="BF42" t="inlineStr">
        <is>
          <t>893782535</t>
        </is>
      </c>
    </row>
    <row r="43">
      <c r="B43" t="inlineStr">
        <is>
          <t>CURAL</t>
        </is>
      </c>
      <c r="C43" t="inlineStr">
        <is>
          <t>SHELVES</t>
        </is>
      </c>
      <c r="D43" t="inlineStr">
        <is>
          <t>QP141 .S626 1987</t>
        </is>
      </c>
      <c r="E43" t="inlineStr">
        <is>
          <t>0                      QP 0141000S  626         1987</t>
        </is>
      </c>
      <c r="F43" t="inlineStr">
        <is>
          <t>Basic nutrition : self-instructional modules / Peggy Stanfield ; with the special assistance of Y.H. Hui.</t>
        </is>
      </c>
      <c r="H43" t="inlineStr">
        <is>
          <t>No</t>
        </is>
      </c>
      <c r="I43" t="inlineStr">
        <is>
          <t>1</t>
        </is>
      </c>
      <c r="J43" t="inlineStr">
        <is>
          <t>No</t>
        </is>
      </c>
      <c r="K43" t="inlineStr">
        <is>
          <t>No</t>
        </is>
      </c>
      <c r="L43" t="inlineStr">
        <is>
          <t>0</t>
        </is>
      </c>
      <c r="M43" t="inlineStr">
        <is>
          <t>Stanfield, Peggy.</t>
        </is>
      </c>
      <c r="N43" t="inlineStr">
        <is>
          <t>Boston : Jones and Bartlett, c1987.</t>
        </is>
      </c>
      <c r="O43" t="inlineStr">
        <is>
          <t>1987</t>
        </is>
      </c>
      <c r="Q43" t="inlineStr">
        <is>
          <t>eng</t>
        </is>
      </c>
      <c r="R43" t="inlineStr">
        <is>
          <t>mau</t>
        </is>
      </c>
      <c r="T43" t="inlineStr">
        <is>
          <t xml:space="preserve">QP </t>
        </is>
      </c>
      <c r="U43" t="n">
        <v>16</v>
      </c>
      <c r="V43" t="n">
        <v>16</v>
      </c>
      <c r="W43" t="inlineStr">
        <is>
          <t>2005-12-05</t>
        </is>
      </c>
      <c r="X43" t="inlineStr">
        <is>
          <t>2005-12-05</t>
        </is>
      </c>
      <c r="Y43" t="inlineStr">
        <is>
          <t>1990-01-23</t>
        </is>
      </c>
      <c r="Z43" t="inlineStr">
        <is>
          <t>1990-01-23</t>
        </is>
      </c>
      <c r="AA43" t="n">
        <v>78</v>
      </c>
      <c r="AB43" t="n">
        <v>61</v>
      </c>
      <c r="AC43" t="n">
        <v>62</v>
      </c>
      <c r="AD43" t="n">
        <v>2</v>
      </c>
      <c r="AE43" t="n">
        <v>2</v>
      </c>
      <c r="AF43" t="n">
        <v>1</v>
      </c>
      <c r="AG43" t="n">
        <v>1</v>
      </c>
      <c r="AH43" t="n">
        <v>0</v>
      </c>
      <c r="AI43" t="n">
        <v>0</v>
      </c>
      <c r="AJ43" t="n">
        <v>0</v>
      </c>
      <c r="AK43" t="n">
        <v>0</v>
      </c>
      <c r="AL43" t="n">
        <v>0</v>
      </c>
      <c r="AM43" t="n">
        <v>0</v>
      </c>
      <c r="AN43" t="n">
        <v>1</v>
      </c>
      <c r="AO43" t="n">
        <v>1</v>
      </c>
      <c r="AP43" t="n">
        <v>0</v>
      </c>
      <c r="AQ43" t="n">
        <v>0</v>
      </c>
      <c r="AR43" t="inlineStr">
        <is>
          <t>No</t>
        </is>
      </c>
      <c r="AS43" t="inlineStr">
        <is>
          <t>Yes</t>
        </is>
      </c>
      <c r="AT43">
        <f>HYPERLINK("http://catalog.hathitrust.org/Record/009148534","HathiTrust Record")</f>
        <v/>
      </c>
      <c r="AU43">
        <f>HYPERLINK("https://creighton-primo.hosted.exlibrisgroup.com/primo-explore/search?tab=default_tab&amp;search_scope=EVERYTHING&amp;vid=01CRU&amp;lang=en_US&amp;offset=0&amp;query=any,contains,991000978339702656","Catalog Record")</f>
        <v/>
      </c>
      <c r="AV43">
        <f>HYPERLINK("http://www.worldcat.org/oclc/15017389","WorldCat Record")</f>
        <v/>
      </c>
      <c r="AW43" t="inlineStr">
        <is>
          <t>866199965:eng</t>
        </is>
      </c>
      <c r="AX43" t="inlineStr">
        <is>
          <t>15017389</t>
        </is>
      </c>
      <c r="AY43" t="inlineStr">
        <is>
          <t>991000978339702656</t>
        </is>
      </c>
      <c r="AZ43" t="inlineStr">
        <is>
          <t>991000978339702656</t>
        </is>
      </c>
      <c r="BA43" t="inlineStr">
        <is>
          <t>2265051190002656</t>
        </is>
      </c>
      <c r="BB43" t="inlineStr">
        <is>
          <t>BOOK</t>
        </is>
      </c>
      <c r="BD43" t="inlineStr">
        <is>
          <t>9780867203875</t>
        </is>
      </c>
      <c r="BE43" t="inlineStr">
        <is>
          <t>32285000035179</t>
        </is>
      </c>
      <c r="BF43" t="inlineStr">
        <is>
          <t>893346142</t>
        </is>
      </c>
    </row>
    <row r="44">
      <c r="B44" t="inlineStr">
        <is>
          <t>CURAL</t>
        </is>
      </c>
      <c r="C44" t="inlineStr">
        <is>
          <t>SHELVES</t>
        </is>
      </c>
      <c r="D44" t="inlineStr">
        <is>
          <t>QP141 .T32 1966</t>
        </is>
      </c>
      <c r="E44" t="inlineStr">
        <is>
          <t>0                      QP 0141000T  32          1966</t>
        </is>
      </c>
      <c r="F44" t="inlineStr">
        <is>
          <t>Foundations of nutrition / [by] Clara Mae Taylor and Orrea Florence Pye.</t>
        </is>
      </c>
      <c r="H44" t="inlineStr">
        <is>
          <t>No</t>
        </is>
      </c>
      <c r="I44" t="inlineStr">
        <is>
          <t>1</t>
        </is>
      </c>
      <c r="J44" t="inlineStr">
        <is>
          <t>No</t>
        </is>
      </c>
      <c r="K44" t="inlineStr">
        <is>
          <t>No</t>
        </is>
      </c>
      <c r="L44" t="inlineStr">
        <is>
          <t>0</t>
        </is>
      </c>
      <c r="M44" t="inlineStr">
        <is>
          <t>Taylor, Clara Mae, 1898-</t>
        </is>
      </c>
      <c r="N44" t="inlineStr">
        <is>
          <t>New York : Macmillan, [1966]</t>
        </is>
      </c>
      <c r="O44" t="inlineStr">
        <is>
          <t>1966</t>
        </is>
      </c>
      <c r="P44" t="inlineStr">
        <is>
          <t>6th ed.</t>
        </is>
      </c>
      <c r="Q44" t="inlineStr">
        <is>
          <t>eng</t>
        </is>
      </c>
      <c r="R44" t="inlineStr">
        <is>
          <t>nyu</t>
        </is>
      </c>
      <c r="T44" t="inlineStr">
        <is>
          <t xml:space="preserve">QP </t>
        </is>
      </c>
      <c r="U44" t="n">
        <v>3</v>
      </c>
      <c r="V44" t="n">
        <v>3</v>
      </c>
      <c r="W44" t="inlineStr">
        <is>
          <t>1995-11-28</t>
        </is>
      </c>
      <c r="X44" t="inlineStr">
        <is>
          <t>1995-11-28</t>
        </is>
      </c>
      <c r="Y44" t="inlineStr">
        <is>
          <t>1990-02-21</t>
        </is>
      </c>
      <c r="Z44" t="inlineStr">
        <is>
          <t>1990-02-21</t>
        </is>
      </c>
      <c r="AA44" t="n">
        <v>301</v>
      </c>
      <c r="AB44" t="n">
        <v>258</v>
      </c>
      <c r="AC44" t="n">
        <v>482</v>
      </c>
      <c r="AD44" t="n">
        <v>3</v>
      </c>
      <c r="AE44" t="n">
        <v>5</v>
      </c>
      <c r="AF44" t="n">
        <v>11</v>
      </c>
      <c r="AG44" t="n">
        <v>22</v>
      </c>
      <c r="AH44" t="n">
        <v>4</v>
      </c>
      <c r="AI44" t="n">
        <v>7</v>
      </c>
      <c r="AJ44" t="n">
        <v>1</v>
      </c>
      <c r="AK44" t="n">
        <v>3</v>
      </c>
      <c r="AL44" t="n">
        <v>6</v>
      </c>
      <c r="AM44" t="n">
        <v>11</v>
      </c>
      <c r="AN44" t="n">
        <v>2</v>
      </c>
      <c r="AO44" t="n">
        <v>4</v>
      </c>
      <c r="AP44" t="n">
        <v>0</v>
      </c>
      <c r="AQ44" t="n">
        <v>0</v>
      </c>
      <c r="AR44" t="inlineStr">
        <is>
          <t>No</t>
        </is>
      </c>
      <c r="AS44" t="inlineStr">
        <is>
          <t>Yes</t>
        </is>
      </c>
      <c r="AT44">
        <f>HYPERLINK("http://catalog.hathitrust.org/Record/000662724","HathiTrust Record")</f>
        <v/>
      </c>
      <c r="AU44">
        <f>HYPERLINK("https://creighton-primo.hosted.exlibrisgroup.com/primo-explore/search?tab=default_tab&amp;search_scope=EVERYTHING&amp;vid=01CRU&amp;lang=en_US&amp;offset=0&amp;query=any,contains,991002870449702656","Catalog Record")</f>
        <v/>
      </c>
      <c r="AV44">
        <f>HYPERLINK("http://www.worldcat.org/oclc/498783","WorldCat Record")</f>
        <v/>
      </c>
      <c r="AW44" t="inlineStr">
        <is>
          <t>1619991:eng</t>
        </is>
      </c>
      <c r="AX44" t="inlineStr">
        <is>
          <t>498783</t>
        </is>
      </c>
      <c r="AY44" t="inlineStr">
        <is>
          <t>991002870449702656</t>
        </is>
      </c>
      <c r="AZ44" t="inlineStr">
        <is>
          <t>991002870449702656</t>
        </is>
      </c>
      <c r="BA44" t="inlineStr">
        <is>
          <t>2272418470002656</t>
        </is>
      </c>
      <c r="BB44" t="inlineStr">
        <is>
          <t>BOOK</t>
        </is>
      </c>
      <c r="BE44" t="inlineStr">
        <is>
          <t>32285000044395</t>
        </is>
      </c>
      <c r="BF44" t="inlineStr">
        <is>
          <t>893524141</t>
        </is>
      </c>
    </row>
    <row r="45">
      <c r="B45" t="inlineStr">
        <is>
          <t>CURAL</t>
        </is>
      </c>
      <c r="C45" t="inlineStr">
        <is>
          <t>SHELVES</t>
        </is>
      </c>
      <c r="D45" t="inlineStr">
        <is>
          <t>QP141 .W514 1988</t>
        </is>
      </c>
      <c r="E45" t="inlineStr">
        <is>
          <t>0                      QP 0141000W  514         1988</t>
        </is>
      </c>
      <c r="F45" t="inlineStr">
        <is>
          <t>Nutrition for fitness and sport / Melvin H. Williams.</t>
        </is>
      </c>
      <c r="H45" t="inlineStr">
        <is>
          <t>No</t>
        </is>
      </c>
      <c r="I45" t="inlineStr">
        <is>
          <t>1</t>
        </is>
      </c>
      <c r="J45" t="inlineStr">
        <is>
          <t>No</t>
        </is>
      </c>
      <c r="K45" t="inlineStr">
        <is>
          <t>No</t>
        </is>
      </c>
      <c r="L45" t="inlineStr">
        <is>
          <t>0</t>
        </is>
      </c>
      <c r="M45" t="inlineStr">
        <is>
          <t>Williams, Melvin H.</t>
        </is>
      </c>
      <c r="N45" t="inlineStr">
        <is>
          <t>Dubuque, Iowa : W.C. Brown, c1988.</t>
        </is>
      </c>
      <c r="O45" t="inlineStr">
        <is>
          <t>1988</t>
        </is>
      </c>
      <c r="P45" t="inlineStr">
        <is>
          <t>2nd ed.</t>
        </is>
      </c>
      <c r="Q45" t="inlineStr">
        <is>
          <t>eng</t>
        </is>
      </c>
      <c r="R45" t="inlineStr">
        <is>
          <t>iau</t>
        </is>
      </c>
      <c r="T45" t="inlineStr">
        <is>
          <t xml:space="preserve">QP </t>
        </is>
      </c>
      <c r="U45" t="n">
        <v>19</v>
      </c>
      <c r="V45" t="n">
        <v>19</v>
      </c>
      <c r="W45" t="inlineStr">
        <is>
          <t>2005-12-05</t>
        </is>
      </c>
      <c r="X45" t="inlineStr">
        <is>
          <t>2005-12-05</t>
        </is>
      </c>
      <c r="Y45" t="inlineStr">
        <is>
          <t>1991-05-09</t>
        </is>
      </c>
      <c r="Z45" t="inlineStr">
        <is>
          <t>1991-05-09</t>
        </is>
      </c>
      <c r="AA45" t="n">
        <v>179</v>
      </c>
      <c r="AB45" t="n">
        <v>153</v>
      </c>
      <c r="AC45" t="n">
        <v>454</v>
      </c>
      <c r="AD45" t="n">
        <v>3</v>
      </c>
      <c r="AE45" t="n">
        <v>5</v>
      </c>
      <c r="AF45" t="n">
        <v>6</v>
      </c>
      <c r="AG45" t="n">
        <v>15</v>
      </c>
      <c r="AH45" t="n">
        <v>3</v>
      </c>
      <c r="AI45" t="n">
        <v>8</v>
      </c>
      <c r="AJ45" t="n">
        <v>0</v>
      </c>
      <c r="AK45" t="n">
        <v>2</v>
      </c>
      <c r="AL45" t="n">
        <v>1</v>
      </c>
      <c r="AM45" t="n">
        <v>4</v>
      </c>
      <c r="AN45" t="n">
        <v>2</v>
      </c>
      <c r="AO45" t="n">
        <v>4</v>
      </c>
      <c r="AP45" t="n">
        <v>0</v>
      </c>
      <c r="AQ45" t="n">
        <v>0</v>
      </c>
      <c r="AR45" t="inlineStr">
        <is>
          <t>No</t>
        </is>
      </c>
      <c r="AS45" t="inlineStr">
        <is>
          <t>No</t>
        </is>
      </c>
      <c r="AU45">
        <f>HYPERLINK("https://creighton-primo.hosted.exlibrisgroup.com/primo-explore/search?tab=default_tab&amp;search_scope=EVERYTHING&amp;vid=01CRU&amp;lang=en_US&amp;offset=0&amp;query=any,contains,991001278949702656","Catalog Record")</f>
        <v/>
      </c>
      <c r="AV45">
        <f>HYPERLINK("http://www.worldcat.org/oclc/17893920","WorldCat Record")</f>
        <v/>
      </c>
      <c r="AW45" t="inlineStr">
        <is>
          <t>3856074223:eng</t>
        </is>
      </c>
      <c r="AX45" t="inlineStr">
        <is>
          <t>17893920</t>
        </is>
      </c>
      <c r="AY45" t="inlineStr">
        <is>
          <t>991001278949702656</t>
        </is>
      </c>
      <c r="AZ45" t="inlineStr">
        <is>
          <t>991001278949702656</t>
        </is>
      </c>
      <c r="BA45" t="inlineStr">
        <is>
          <t>2257191170002656</t>
        </is>
      </c>
      <c r="BB45" t="inlineStr">
        <is>
          <t>BOOK</t>
        </is>
      </c>
      <c r="BD45" t="inlineStr">
        <is>
          <t>9780697072801</t>
        </is>
      </c>
      <c r="BE45" t="inlineStr">
        <is>
          <t>32285000572015</t>
        </is>
      </c>
      <c r="BF45" t="inlineStr">
        <is>
          <t>893315668</t>
        </is>
      </c>
    </row>
    <row r="46">
      <c r="B46" t="inlineStr">
        <is>
          <t>CURAL</t>
        </is>
      </c>
      <c r="C46" t="inlineStr">
        <is>
          <t>SHELVES</t>
        </is>
      </c>
      <c r="D46" t="inlineStr">
        <is>
          <t>QP141 .W515</t>
        </is>
      </c>
      <c r="E46" t="inlineStr">
        <is>
          <t>0                      QP 0141000W  515</t>
        </is>
      </c>
      <c r="F46" t="inlineStr">
        <is>
          <t>Nutritional aspects of human physical and athletic performance / by Melvin H. Williams.</t>
        </is>
      </c>
      <c r="H46" t="inlineStr">
        <is>
          <t>No</t>
        </is>
      </c>
      <c r="I46" t="inlineStr">
        <is>
          <t>1</t>
        </is>
      </c>
      <c r="J46" t="inlineStr">
        <is>
          <t>No</t>
        </is>
      </c>
      <c r="K46" t="inlineStr">
        <is>
          <t>No</t>
        </is>
      </c>
      <c r="L46" t="inlineStr">
        <is>
          <t>0</t>
        </is>
      </c>
      <c r="M46" t="inlineStr">
        <is>
          <t>Williams, Melvin H.</t>
        </is>
      </c>
      <c r="N46" t="inlineStr">
        <is>
          <t>Springfield, Ill. : Thomas, c1976.</t>
        </is>
      </c>
      <c r="O46" t="inlineStr">
        <is>
          <t>1976</t>
        </is>
      </c>
      <c r="Q46" t="inlineStr">
        <is>
          <t>eng</t>
        </is>
      </c>
      <c r="R46" t="inlineStr">
        <is>
          <t>ilu</t>
        </is>
      </c>
      <c r="T46" t="inlineStr">
        <is>
          <t xml:space="preserve">QP </t>
        </is>
      </c>
      <c r="U46" t="n">
        <v>9</v>
      </c>
      <c r="V46" t="n">
        <v>9</v>
      </c>
      <c r="W46" t="inlineStr">
        <is>
          <t>2001-03-07</t>
        </is>
      </c>
      <c r="X46" t="inlineStr">
        <is>
          <t>2001-03-07</t>
        </is>
      </c>
      <c r="Y46" t="inlineStr">
        <is>
          <t>1993-02-26</t>
        </is>
      </c>
      <c r="Z46" t="inlineStr">
        <is>
          <t>1993-02-26</t>
        </is>
      </c>
      <c r="AA46" t="n">
        <v>462</v>
      </c>
      <c r="AB46" t="n">
        <v>401</v>
      </c>
      <c r="AC46" t="n">
        <v>544</v>
      </c>
      <c r="AD46" t="n">
        <v>3</v>
      </c>
      <c r="AE46" t="n">
        <v>5</v>
      </c>
      <c r="AF46" t="n">
        <v>18</v>
      </c>
      <c r="AG46" t="n">
        <v>21</v>
      </c>
      <c r="AH46" t="n">
        <v>11</v>
      </c>
      <c r="AI46" t="n">
        <v>12</v>
      </c>
      <c r="AJ46" t="n">
        <v>3</v>
      </c>
      <c r="AK46" t="n">
        <v>3</v>
      </c>
      <c r="AL46" t="n">
        <v>6</v>
      </c>
      <c r="AM46" t="n">
        <v>7</v>
      </c>
      <c r="AN46" t="n">
        <v>2</v>
      </c>
      <c r="AO46" t="n">
        <v>4</v>
      </c>
      <c r="AP46" t="n">
        <v>0</v>
      </c>
      <c r="AQ46" t="n">
        <v>0</v>
      </c>
      <c r="AR46" t="inlineStr">
        <is>
          <t>No</t>
        </is>
      </c>
      <c r="AS46" t="inlineStr">
        <is>
          <t>No</t>
        </is>
      </c>
      <c r="AU46">
        <f>HYPERLINK("https://creighton-primo.hosted.exlibrisgroup.com/primo-explore/search?tab=default_tab&amp;search_scope=EVERYTHING&amp;vid=01CRU&amp;lang=en_US&amp;offset=0&amp;query=any,contains,991003962649702656","Catalog Record")</f>
        <v/>
      </c>
      <c r="AV46">
        <f>HYPERLINK("http://www.worldcat.org/oclc/1976090","WorldCat Record")</f>
        <v/>
      </c>
      <c r="AW46" t="inlineStr">
        <is>
          <t>2744193:eng</t>
        </is>
      </c>
      <c r="AX46" t="inlineStr">
        <is>
          <t>1976090</t>
        </is>
      </c>
      <c r="AY46" t="inlineStr">
        <is>
          <t>991003962649702656</t>
        </is>
      </c>
      <c r="AZ46" t="inlineStr">
        <is>
          <t>991003962649702656</t>
        </is>
      </c>
      <c r="BA46" t="inlineStr">
        <is>
          <t>2266596750002656</t>
        </is>
      </c>
      <c r="BB46" t="inlineStr">
        <is>
          <t>BOOK</t>
        </is>
      </c>
      <c r="BD46" t="inlineStr">
        <is>
          <t>9780398035488</t>
        </is>
      </c>
      <c r="BE46" t="inlineStr">
        <is>
          <t>32285001549921</t>
        </is>
      </c>
      <c r="BF46" t="inlineStr">
        <is>
          <t>893228732</t>
        </is>
      </c>
    </row>
    <row r="47">
      <c r="B47" t="inlineStr">
        <is>
          <t>CURAL</t>
        </is>
      </c>
      <c r="C47" t="inlineStr">
        <is>
          <t>SHELVES</t>
        </is>
      </c>
      <c r="D47" t="inlineStr">
        <is>
          <t>QP141.A1 H84 1979, v.1</t>
        </is>
      </c>
      <c r="E47" t="inlineStr">
        <is>
          <t>0                      QP 0141000A  1                  H  84          1979                  v.1</t>
        </is>
      </c>
      <c r="F47" t="inlineStr">
        <is>
          <t>Nutrition : pre- and postnatal development / edited by Myron Winick.</t>
        </is>
      </c>
      <c r="G47" t="inlineStr">
        <is>
          <t>V. 1</t>
        </is>
      </c>
      <c r="H47" t="inlineStr">
        <is>
          <t>No</t>
        </is>
      </c>
      <c r="I47" t="inlineStr">
        <is>
          <t>1</t>
        </is>
      </c>
      <c r="J47" t="inlineStr">
        <is>
          <t>Yes</t>
        </is>
      </c>
      <c r="K47" t="inlineStr">
        <is>
          <t>No</t>
        </is>
      </c>
      <c r="L47" t="inlineStr">
        <is>
          <t>0</t>
        </is>
      </c>
      <c r="N47" t="inlineStr">
        <is>
          <t>New York : Plenum Press, c1979.</t>
        </is>
      </c>
      <c r="O47" t="inlineStr">
        <is>
          <t>1979</t>
        </is>
      </c>
      <c r="Q47" t="inlineStr">
        <is>
          <t>eng</t>
        </is>
      </c>
      <c r="R47" t="inlineStr">
        <is>
          <t>nyu</t>
        </is>
      </c>
      <c r="S47" t="inlineStr">
        <is>
          <t>Human nutrition ; v. 1</t>
        </is>
      </c>
      <c r="T47" t="inlineStr">
        <is>
          <t xml:space="preserve">QP </t>
        </is>
      </c>
      <c r="U47" t="n">
        <v>10</v>
      </c>
      <c r="V47" t="n">
        <v>10</v>
      </c>
      <c r="W47" t="inlineStr">
        <is>
          <t>2007-02-24</t>
        </is>
      </c>
      <c r="X47" t="inlineStr">
        <is>
          <t>2007-02-24</t>
        </is>
      </c>
      <c r="Y47" t="inlineStr">
        <is>
          <t>1990-09-24</t>
        </is>
      </c>
      <c r="Z47" t="inlineStr">
        <is>
          <t>1990-09-24</t>
        </is>
      </c>
      <c r="AA47" t="n">
        <v>403</v>
      </c>
      <c r="AB47" t="n">
        <v>319</v>
      </c>
      <c r="AC47" t="n">
        <v>342</v>
      </c>
      <c r="AD47" t="n">
        <v>2</v>
      </c>
      <c r="AE47" t="n">
        <v>2</v>
      </c>
      <c r="AF47" t="n">
        <v>12</v>
      </c>
      <c r="AG47" t="n">
        <v>12</v>
      </c>
      <c r="AH47" t="n">
        <v>4</v>
      </c>
      <c r="AI47" t="n">
        <v>4</v>
      </c>
      <c r="AJ47" t="n">
        <v>3</v>
      </c>
      <c r="AK47" t="n">
        <v>3</v>
      </c>
      <c r="AL47" t="n">
        <v>9</v>
      </c>
      <c r="AM47" t="n">
        <v>9</v>
      </c>
      <c r="AN47" t="n">
        <v>0</v>
      </c>
      <c r="AO47" t="n">
        <v>0</v>
      </c>
      <c r="AP47" t="n">
        <v>0</v>
      </c>
      <c r="AQ47" t="n">
        <v>0</v>
      </c>
      <c r="AR47" t="inlineStr">
        <is>
          <t>No</t>
        </is>
      </c>
      <c r="AS47" t="inlineStr">
        <is>
          <t>Yes</t>
        </is>
      </c>
      <c r="AT47">
        <f>HYPERLINK("http://catalog.hathitrust.org/Record/000715809","HathiTrust Record")</f>
        <v/>
      </c>
      <c r="AU47">
        <f>HYPERLINK("https://creighton-primo.hosted.exlibrisgroup.com/primo-explore/search?tab=default_tab&amp;search_scope=EVERYTHING&amp;vid=01CRU&amp;lang=en_US&amp;offset=0&amp;query=any,contains,991001775229702656","Catalog Record")</f>
        <v/>
      </c>
      <c r="AV47">
        <f>HYPERLINK("http://www.worldcat.org/oclc/4515950","WorldCat Record")</f>
        <v/>
      </c>
      <c r="AW47" t="inlineStr">
        <is>
          <t>3855787881:eng</t>
        </is>
      </c>
      <c r="AX47" t="inlineStr">
        <is>
          <t>4515950</t>
        </is>
      </c>
      <c r="AY47" t="inlineStr">
        <is>
          <t>991001775229702656</t>
        </is>
      </c>
      <c r="AZ47" t="inlineStr">
        <is>
          <t>991001775229702656</t>
        </is>
      </c>
      <c r="BA47" t="inlineStr">
        <is>
          <t>2262867620002656</t>
        </is>
      </c>
      <c r="BB47" t="inlineStr">
        <is>
          <t>BOOK</t>
        </is>
      </c>
      <c r="BD47" t="inlineStr">
        <is>
          <t>9780306401329</t>
        </is>
      </c>
      <c r="BE47" t="inlineStr">
        <is>
          <t>32285000278266</t>
        </is>
      </c>
      <c r="BF47" t="inlineStr">
        <is>
          <t>893709530</t>
        </is>
      </c>
    </row>
    <row r="48">
      <c r="B48" t="inlineStr">
        <is>
          <t>CURAL</t>
        </is>
      </c>
      <c r="C48" t="inlineStr">
        <is>
          <t>SHELVES</t>
        </is>
      </c>
      <c r="D48" t="inlineStr">
        <is>
          <t>QP145 .S78 1995</t>
        </is>
      </c>
      <c r="E48" t="inlineStr">
        <is>
          <t>0                      QP 0145000S  78          1995</t>
        </is>
      </c>
      <c r="F48" t="inlineStr">
        <is>
          <t>Comparative physiology of the vertebrate digestive system / C. Edward Stevens, Ian D. Hume.</t>
        </is>
      </c>
      <c r="H48" t="inlineStr">
        <is>
          <t>No</t>
        </is>
      </c>
      <c r="I48" t="inlineStr">
        <is>
          <t>1</t>
        </is>
      </c>
      <c r="J48" t="inlineStr">
        <is>
          <t>No</t>
        </is>
      </c>
      <c r="K48" t="inlineStr">
        <is>
          <t>No</t>
        </is>
      </c>
      <c r="L48" t="inlineStr">
        <is>
          <t>0</t>
        </is>
      </c>
      <c r="M48" t="inlineStr">
        <is>
          <t>Stevens, C. E. (Charles E.)</t>
        </is>
      </c>
      <c r="N48" t="inlineStr">
        <is>
          <t>Cambridge, UK ; New York : Cambridge University Press, c1995.</t>
        </is>
      </c>
      <c r="O48" t="inlineStr">
        <is>
          <t>1995</t>
        </is>
      </c>
      <c r="P48" t="inlineStr">
        <is>
          <t>2nd ed.</t>
        </is>
      </c>
      <c r="Q48" t="inlineStr">
        <is>
          <t>eng</t>
        </is>
      </c>
      <c r="R48" t="inlineStr">
        <is>
          <t>enk</t>
        </is>
      </c>
      <c r="T48" t="inlineStr">
        <is>
          <t xml:space="preserve">QP </t>
        </is>
      </c>
      <c r="U48" t="n">
        <v>5</v>
      </c>
      <c r="V48" t="n">
        <v>5</v>
      </c>
      <c r="W48" t="inlineStr">
        <is>
          <t>1997-11-04</t>
        </is>
      </c>
      <c r="X48" t="inlineStr">
        <is>
          <t>1997-11-04</t>
        </is>
      </c>
      <c r="Y48" t="inlineStr">
        <is>
          <t>1996-05-15</t>
        </is>
      </c>
      <c r="Z48" t="inlineStr">
        <is>
          <t>1996-05-15</t>
        </is>
      </c>
      <c r="AA48" t="n">
        <v>289</v>
      </c>
      <c r="AB48" t="n">
        <v>194</v>
      </c>
      <c r="AC48" t="n">
        <v>448</v>
      </c>
      <c r="AD48" t="n">
        <v>1</v>
      </c>
      <c r="AE48" t="n">
        <v>5</v>
      </c>
      <c r="AF48" t="n">
        <v>6</v>
      </c>
      <c r="AG48" t="n">
        <v>25</v>
      </c>
      <c r="AH48" t="n">
        <v>3</v>
      </c>
      <c r="AI48" t="n">
        <v>9</v>
      </c>
      <c r="AJ48" t="n">
        <v>2</v>
      </c>
      <c r="AK48" t="n">
        <v>6</v>
      </c>
      <c r="AL48" t="n">
        <v>2</v>
      </c>
      <c r="AM48" t="n">
        <v>12</v>
      </c>
      <c r="AN48" t="n">
        <v>0</v>
      </c>
      <c r="AO48" t="n">
        <v>4</v>
      </c>
      <c r="AP48" t="n">
        <v>0</v>
      </c>
      <c r="AQ48" t="n">
        <v>0</v>
      </c>
      <c r="AR48" t="inlineStr">
        <is>
          <t>No</t>
        </is>
      </c>
      <c r="AS48" t="inlineStr">
        <is>
          <t>No</t>
        </is>
      </c>
      <c r="AU48">
        <f>HYPERLINK("https://creighton-primo.hosted.exlibrisgroup.com/primo-explore/search?tab=default_tab&amp;search_scope=EVERYTHING&amp;vid=01CRU&amp;lang=en_US&amp;offset=0&amp;query=any,contains,991002478629702656","Catalog Record")</f>
        <v/>
      </c>
      <c r="AV48">
        <f>HYPERLINK("http://www.worldcat.org/oclc/32273338","WorldCat Record")</f>
        <v/>
      </c>
      <c r="AW48" t="inlineStr">
        <is>
          <t>31362:eng</t>
        </is>
      </c>
      <c r="AX48" t="inlineStr">
        <is>
          <t>32273338</t>
        </is>
      </c>
      <c r="AY48" t="inlineStr">
        <is>
          <t>991002478629702656</t>
        </is>
      </c>
      <c r="AZ48" t="inlineStr">
        <is>
          <t>991002478629702656</t>
        </is>
      </c>
      <c r="BA48" t="inlineStr">
        <is>
          <t>2258389550002656</t>
        </is>
      </c>
      <c r="BB48" t="inlineStr">
        <is>
          <t>BOOK</t>
        </is>
      </c>
      <c r="BD48" t="inlineStr">
        <is>
          <t>9780521444187</t>
        </is>
      </c>
      <c r="BE48" t="inlineStr">
        <is>
          <t>32285002168036</t>
        </is>
      </c>
      <c r="BF48" t="inlineStr">
        <is>
          <t>893427638</t>
        </is>
      </c>
    </row>
    <row r="49">
      <c r="B49" t="inlineStr">
        <is>
          <t>CURAL</t>
        </is>
      </c>
      <c r="C49" t="inlineStr">
        <is>
          <t>SHELVES</t>
        </is>
      </c>
      <c r="D49" t="inlineStr">
        <is>
          <t>QP171 .A67 1987</t>
        </is>
      </c>
      <c r="E49" t="inlineStr">
        <is>
          <t>0                      QP 0171000A  67          1987</t>
        </is>
      </c>
      <c r="F49" t="inlineStr">
        <is>
          <t>Animal energetics / edited by T.J. Pandian, F. John Vernberg.</t>
        </is>
      </c>
      <c r="G49" t="inlineStr">
        <is>
          <t>V.2</t>
        </is>
      </c>
      <c r="H49" t="inlineStr">
        <is>
          <t>Yes</t>
        </is>
      </c>
      <c r="I49" t="inlineStr">
        <is>
          <t>1</t>
        </is>
      </c>
      <c r="J49" t="inlineStr">
        <is>
          <t>No</t>
        </is>
      </c>
      <c r="K49" t="inlineStr">
        <is>
          <t>No</t>
        </is>
      </c>
      <c r="L49" t="inlineStr">
        <is>
          <t>0</t>
        </is>
      </c>
      <c r="N49" t="inlineStr">
        <is>
          <t>San Diego : Academic Press, c1987.</t>
        </is>
      </c>
      <c r="O49" t="inlineStr">
        <is>
          <t>1987</t>
        </is>
      </c>
      <c r="Q49" t="inlineStr">
        <is>
          <t>eng</t>
        </is>
      </c>
      <c r="R49" t="inlineStr">
        <is>
          <t>cau</t>
        </is>
      </c>
      <c r="T49" t="inlineStr">
        <is>
          <t xml:space="preserve">QP </t>
        </is>
      </c>
      <c r="U49" t="n">
        <v>2</v>
      </c>
      <c r="V49" t="n">
        <v>2</v>
      </c>
      <c r="W49" t="inlineStr">
        <is>
          <t>1995-09-21</t>
        </is>
      </c>
      <c r="X49" t="inlineStr">
        <is>
          <t>1995-09-21</t>
        </is>
      </c>
      <c r="Y49" t="inlineStr">
        <is>
          <t>1993-02-26</t>
        </is>
      </c>
      <c r="Z49" t="inlineStr">
        <is>
          <t>1993-02-26</t>
        </is>
      </c>
      <c r="AA49" t="n">
        <v>235</v>
      </c>
      <c r="AB49" t="n">
        <v>184</v>
      </c>
      <c r="AC49" t="n">
        <v>227</v>
      </c>
      <c r="AD49" t="n">
        <v>3</v>
      </c>
      <c r="AE49" t="n">
        <v>3</v>
      </c>
      <c r="AF49" t="n">
        <v>6</v>
      </c>
      <c r="AG49" t="n">
        <v>9</v>
      </c>
      <c r="AH49" t="n">
        <v>3</v>
      </c>
      <c r="AI49" t="n">
        <v>5</v>
      </c>
      <c r="AJ49" t="n">
        <v>1</v>
      </c>
      <c r="AK49" t="n">
        <v>3</v>
      </c>
      <c r="AL49" t="n">
        <v>2</v>
      </c>
      <c r="AM49" t="n">
        <v>2</v>
      </c>
      <c r="AN49" t="n">
        <v>2</v>
      </c>
      <c r="AO49" t="n">
        <v>2</v>
      </c>
      <c r="AP49" t="n">
        <v>0</v>
      </c>
      <c r="AQ49" t="n">
        <v>0</v>
      </c>
      <c r="AR49" t="inlineStr">
        <is>
          <t>No</t>
        </is>
      </c>
      <c r="AS49" t="inlineStr">
        <is>
          <t>Yes</t>
        </is>
      </c>
      <c r="AT49">
        <f>HYPERLINK("http://catalog.hathitrust.org/Record/000843745","HathiTrust Record")</f>
        <v/>
      </c>
      <c r="AU49">
        <f>HYPERLINK("https://creighton-primo.hosted.exlibrisgroup.com/primo-explore/search?tab=default_tab&amp;search_scope=EVERYTHING&amp;vid=01CRU&amp;lang=en_US&amp;offset=0&amp;query=any,contains,991001028829702656","Catalog Record")</f>
        <v/>
      </c>
      <c r="AV49">
        <f>HYPERLINK("http://www.worldcat.org/oclc/15489385","WorldCat Record")</f>
        <v/>
      </c>
      <c r="AW49" t="inlineStr">
        <is>
          <t>792962375:eng</t>
        </is>
      </c>
      <c r="AX49" t="inlineStr">
        <is>
          <t>15489385</t>
        </is>
      </c>
      <c r="AY49" t="inlineStr">
        <is>
          <t>991001028829702656</t>
        </is>
      </c>
      <c r="AZ49" t="inlineStr">
        <is>
          <t>991001028829702656</t>
        </is>
      </c>
      <c r="BA49" t="inlineStr">
        <is>
          <t>2272522840002656</t>
        </is>
      </c>
      <c r="BB49" t="inlineStr">
        <is>
          <t>BOOK</t>
        </is>
      </c>
      <c r="BD49" t="inlineStr">
        <is>
          <t>9780125447928</t>
        </is>
      </c>
      <c r="BE49" t="inlineStr">
        <is>
          <t>32285001549947</t>
        </is>
      </c>
      <c r="BF49" t="inlineStr">
        <is>
          <t>893413892</t>
        </is>
      </c>
    </row>
    <row r="50">
      <c r="B50" t="inlineStr">
        <is>
          <t>CURAL</t>
        </is>
      </c>
      <c r="C50" t="inlineStr">
        <is>
          <t>SHELVES</t>
        </is>
      </c>
      <c r="D50" t="inlineStr">
        <is>
          <t>QP171 .A67 1987</t>
        </is>
      </c>
      <c r="E50" t="inlineStr">
        <is>
          <t>0                      QP 0171000A  67          1987</t>
        </is>
      </c>
      <c r="F50" t="inlineStr">
        <is>
          <t>Animal energetics / edited by T.J. Pandian, F. John Vernberg.</t>
        </is>
      </c>
      <c r="G50" t="inlineStr">
        <is>
          <t>V.1</t>
        </is>
      </c>
      <c r="H50" t="inlineStr">
        <is>
          <t>Yes</t>
        </is>
      </c>
      <c r="I50" t="inlineStr">
        <is>
          <t>1</t>
        </is>
      </c>
      <c r="J50" t="inlineStr">
        <is>
          <t>No</t>
        </is>
      </c>
      <c r="K50" t="inlineStr">
        <is>
          <t>No</t>
        </is>
      </c>
      <c r="L50" t="inlineStr">
        <is>
          <t>0</t>
        </is>
      </c>
      <c r="N50" t="inlineStr">
        <is>
          <t>San Diego : Academic Press, c1987.</t>
        </is>
      </c>
      <c r="O50" t="inlineStr">
        <is>
          <t>1987</t>
        </is>
      </c>
      <c r="Q50" t="inlineStr">
        <is>
          <t>eng</t>
        </is>
      </c>
      <c r="R50" t="inlineStr">
        <is>
          <t>cau</t>
        </is>
      </c>
      <c r="T50" t="inlineStr">
        <is>
          <t xml:space="preserve">QP </t>
        </is>
      </c>
      <c r="U50" t="n">
        <v>0</v>
      </c>
      <c r="V50" t="n">
        <v>2</v>
      </c>
      <c r="X50" t="inlineStr">
        <is>
          <t>1995-09-21</t>
        </is>
      </c>
      <c r="Y50" t="inlineStr">
        <is>
          <t>1993-02-26</t>
        </is>
      </c>
      <c r="Z50" t="inlineStr">
        <is>
          <t>1993-02-26</t>
        </is>
      </c>
      <c r="AA50" t="n">
        <v>235</v>
      </c>
      <c r="AB50" t="n">
        <v>184</v>
      </c>
      <c r="AC50" t="n">
        <v>227</v>
      </c>
      <c r="AD50" t="n">
        <v>3</v>
      </c>
      <c r="AE50" t="n">
        <v>3</v>
      </c>
      <c r="AF50" t="n">
        <v>6</v>
      </c>
      <c r="AG50" t="n">
        <v>9</v>
      </c>
      <c r="AH50" t="n">
        <v>3</v>
      </c>
      <c r="AI50" t="n">
        <v>5</v>
      </c>
      <c r="AJ50" t="n">
        <v>1</v>
      </c>
      <c r="AK50" t="n">
        <v>3</v>
      </c>
      <c r="AL50" t="n">
        <v>2</v>
      </c>
      <c r="AM50" t="n">
        <v>2</v>
      </c>
      <c r="AN50" t="n">
        <v>2</v>
      </c>
      <c r="AO50" t="n">
        <v>2</v>
      </c>
      <c r="AP50" t="n">
        <v>0</v>
      </c>
      <c r="AQ50" t="n">
        <v>0</v>
      </c>
      <c r="AR50" t="inlineStr">
        <is>
          <t>No</t>
        </is>
      </c>
      <c r="AS50" t="inlineStr">
        <is>
          <t>Yes</t>
        </is>
      </c>
      <c r="AT50">
        <f>HYPERLINK("http://catalog.hathitrust.org/Record/000843745","HathiTrust Record")</f>
        <v/>
      </c>
      <c r="AU50">
        <f>HYPERLINK("https://creighton-primo.hosted.exlibrisgroup.com/primo-explore/search?tab=default_tab&amp;search_scope=EVERYTHING&amp;vid=01CRU&amp;lang=en_US&amp;offset=0&amp;query=any,contains,991001028829702656","Catalog Record")</f>
        <v/>
      </c>
      <c r="AV50">
        <f>HYPERLINK("http://www.worldcat.org/oclc/15489385","WorldCat Record")</f>
        <v/>
      </c>
      <c r="AW50" t="inlineStr">
        <is>
          <t>792962375:eng</t>
        </is>
      </c>
      <c r="AX50" t="inlineStr">
        <is>
          <t>15489385</t>
        </is>
      </c>
      <c r="AY50" t="inlineStr">
        <is>
          <t>991001028829702656</t>
        </is>
      </c>
      <c r="AZ50" t="inlineStr">
        <is>
          <t>991001028829702656</t>
        </is>
      </c>
      <c r="BA50" t="inlineStr">
        <is>
          <t>2272522840002656</t>
        </is>
      </c>
      <c r="BB50" t="inlineStr">
        <is>
          <t>BOOK</t>
        </is>
      </c>
      <c r="BD50" t="inlineStr">
        <is>
          <t>9780125447928</t>
        </is>
      </c>
      <c r="BE50" t="inlineStr">
        <is>
          <t>32285001549939</t>
        </is>
      </c>
      <c r="BF50" t="inlineStr">
        <is>
          <t>893413893</t>
        </is>
      </c>
    </row>
    <row r="51">
      <c r="B51" t="inlineStr">
        <is>
          <t>CURAL</t>
        </is>
      </c>
      <c r="C51" t="inlineStr">
        <is>
          <t>SHELVES</t>
        </is>
      </c>
      <c r="D51" t="inlineStr">
        <is>
          <t>QP171 .F45 1997</t>
        </is>
      </c>
      <c r="E51" t="inlineStr">
        <is>
          <t>0                      QP 0171000F  45          1997</t>
        </is>
      </c>
      <c r="F51" t="inlineStr">
        <is>
          <t>Understanding the control of metabolism / by David Fell.</t>
        </is>
      </c>
      <c r="H51" t="inlineStr">
        <is>
          <t>No</t>
        </is>
      </c>
      <c r="I51" t="inlineStr">
        <is>
          <t>1</t>
        </is>
      </c>
      <c r="J51" t="inlineStr">
        <is>
          <t>No</t>
        </is>
      </c>
      <c r="K51" t="inlineStr">
        <is>
          <t>No</t>
        </is>
      </c>
      <c r="L51" t="inlineStr">
        <is>
          <t>0</t>
        </is>
      </c>
      <c r="M51" t="inlineStr">
        <is>
          <t>Fell, David (David A.)</t>
        </is>
      </c>
      <c r="N51" t="inlineStr">
        <is>
          <t>London ; Miami : Portland Press ; Brookfield, VT : Distributed by Ashgate Pub. Co. in North America, 1997.</t>
        </is>
      </c>
      <c r="O51" t="inlineStr">
        <is>
          <t>1997</t>
        </is>
      </c>
      <c r="P51" t="inlineStr">
        <is>
          <t>1st ed.</t>
        </is>
      </c>
      <c r="Q51" t="inlineStr">
        <is>
          <t>eng</t>
        </is>
      </c>
      <c r="R51" t="inlineStr">
        <is>
          <t>enk</t>
        </is>
      </c>
      <c r="S51" t="inlineStr">
        <is>
          <t>Frontiers in metabolism, 1353-6516 ; 2</t>
        </is>
      </c>
      <c r="T51" t="inlineStr">
        <is>
          <t xml:space="preserve">QP </t>
        </is>
      </c>
      <c r="U51" t="n">
        <v>1</v>
      </c>
      <c r="V51" t="n">
        <v>1</v>
      </c>
      <c r="W51" t="inlineStr">
        <is>
          <t>2001-11-08</t>
        </is>
      </c>
      <c r="X51" t="inlineStr">
        <is>
          <t>2001-11-08</t>
        </is>
      </c>
      <c r="Y51" t="inlineStr">
        <is>
          <t>2000-07-24</t>
        </is>
      </c>
      <c r="Z51" t="inlineStr">
        <is>
          <t>2000-07-24</t>
        </is>
      </c>
      <c r="AA51" t="n">
        <v>375</v>
      </c>
      <c r="AB51" t="n">
        <v>216</v>
      </c>
      <c r="AC51" t="n">
        <v>230</v>
      </c>
      <c r="AD51" t="n">
        <v>2</v>
      </c>
      <c r="AE51" t="n">
        <v>2</v>
      </c>
      <c r="AF51" t="n">
        <v>11</v>
      </c>
      <c r="AG51" t="n">
        <v>12</v>
      </c>
      <c r="AH51" t="n">
        <v>4</v>
      </c>
      <c r="AI51" t="n">
        <v>5</v>
      </c>
      <c r="AJ51" t="n">
        <v>4</v>
      </c>
      <c r="AK51" t="n">
        <v>4</v>
      </c>
      <c r="AL51" t="n">
        <v>5</v>
      </c>
      <c r="AM51" t="n">
        <v>6</v>
      </c>
      <c r="AN51" t="n">
        <v>1</v>
      </c>
      <c r="AO51" t="n">
        <v>1</v>
      </c>
      <c r="AP51" t="n">
        <v>0</v>
      </c>
      <c r="AQ51" t="n">
        <v>0</v>
      </c>
      <c r="AR51" t="inlineStr">
        <is>
          <t>No</t>
        </is>
      </c>
      <c r="AS51" t="inlineStr">
        <is>
          <t>No</t>
        </is>
      </c>
      <c r="AU51">
        <f>HYPERLINK("https://creighton-primo.hosted.exlibrisgroup.com/primo-explore/search?tab=default_tab&amp;search_scope=EVERYTHING&amp;vid=01CRU&amp;lang=en_US&amp;offset=0&amp;query=any,contains,991003215449702656","Catalog Record")</f>
        <v/>
      </c>
      <c r="AV51">
        <f>HYPERLINK("http://www.worldcat.org/oclc/36267572","WorldCat Record")</f>
        <v/>
      </c>
      <c r="AW51" t="inlineStr">
        <is>
          <t>6140711:eng</t>
        </is>
      </c>
      <c r="AX51" t="inlineStr">
        <is>
          <t>36267572</t>
        </is>
      </c>
      <c r="AY51" t="inlineStr">
        <is>
          <t>991003215449702656</t>
        </is>
      </c>
      <c r="AZ51" t="inlineStr">
        <is>
          <t>991003215449702656</t>
        </is>
      </c>
      <c r="BA51" t="inlineStr">
        <is>
          <t>2259891930002656</t>
        </is>
      </c>
      <c r="BB51" t="inlineStr">
        <is>
          <t>BOOK</t>
        </is>
      </c>
      <c r="BD51" t="inlineStr">
        <is>
          <t>9781855780477</t>
        </is>
      </c>
      <c r="BE51" t="inlineStr">
        <is>
          <t>32285003741880</t>
        </is>
      </c>
      <c r="BF51" t="inlineStr">
        <is>
          <t>893410024</t>
        </is>
      </c>
    </row>
    <row r="52">
      <c r="B52" t="inlineStr">
        <is>
          <t>CURAL</t>
        </is>
      </c>
      <c r="C52" t="inlineStr">
        <is>
          <t>SHELVES</t>
        </is>
      </c>
      <c r="D52" t="inlineStr">
        <is>
          <t>QP171 .G46 1999</t>
        </is>
      </c>
      <c r="E52" t="inlineStr">
        <is>
          <t>0                      QP 0171000G  46          1999</t>
        </is>
      </c>
      <c r="F52" t="inlineStr">
        <is>
          <t>Gender differences in metabolism : practical and nutritional implications / edited by Mark Tarnopolsky.</t>
        </is>
      </c>
      <c r="H52" t="inlineStr">
        <is>
          <t>No</t>
        </is>
      </c>
      <c r="I52" t="inlineStr">
        <is>
          <t>1</t>
        </is>
      </c>
      <c r="J52" t="inlineStr">
        <is>
          <t>No</t>
        </is>
      </c>
      <c r="K52" t="inlineStr">
        <is>
          <t>No</t>
        </is>
      </c>
      <c r="L52" t="inlineStr">
        <is>
          <t>0</t>
        </is>
      </c>
      <c r="N52" t="inlineStr">
        <is>
          <t>Boca Raton : CRC Press, c1999.</t>
        </is>
      </c>
      <c r="O52" t="inlineStr">
        <is>
          <t>1999</t>
        </is>
      </c>
      <c r="Q52" t="inlineStr">
        <is>
          <t>eng</t>
        </is>
      </c>
      <c r="R52" t="inlineStr">
        <is>
          <t>flu</t>
        </is>
      </c>
      <c r="S52" t="inlineStr">
        <is>
          <t>Modern nutrition</t>
        </is>
      </c>
      <c r="T52" t="inlineStr">
        <is>
          <t xml:space="preserve">QP </t>
        </is>
      </c>
      <c r="U52" t="n">
        <v>6</v>
      </c>
      <c r="V52" t="n">
        <v>6</v>
      </c>
      <c r="W52" t="inlineStr">
        <is>
          <t>2008-03-30</t>
        </is>
      </c>
      <c r="X52" t="inlineStr">
        <is>
          <t>2008-03-30</t>
        </is>
      </c>
      <c r="Y52" t="inlineStr">
        <is>
          <t>1999-03-30</t>
        </is>
      </c>
      <c r="Z52" t="inlineStr">
        <is>
          <t>1999-03-30</t>
        </is>
      </c>
      <c r="AA52" t="n">
        <v>321</v>
      </c>
      <c r="AB52" t="n">
        <v>250</v>
      </c>
      <c r="AC52" t="n">
        <v>272</v>
      </c>
      <c r="AD52" t="n">
        <v>3</v>
      </c>
      <c r="AE52" t="n">
        <v>3</v>
      </c>
      <c r="AF52" t="n">
        <v>13</v>
      </c>
      <c r="AG52" t="n">
        <v>13</v>
      </c>
      <c r="AH52" t="n">
        <v>5</v>
      </c>
      <c r="AI52" t="n">
        <v>5</v>
      </c>
      <c r="AJ52" t="n">
        <v>4</v>
      </c>
      <c r="AK52" t="n">
        <v>4</v>
      </c>
      <c r="AL52" t="n">
        <v>4</v>
      </c>
      <c r="AM52" t="n">
        <v>4</v>
      </c>
      <c r="AN52" t="n">
        <v>2</v>
      </c>
      <c r="AO52" t="n">
        <v>2</v>
      </c>
      <c r="AP52" t="n">
        <v>0</v>
      </c>
      <c r="AQ52" t="n">
        <v>0</v>
      </c>
      <c r="AR52" t="inlineStr">
        <is>
          <t>No</t>
        </is>
      </c>
      <c r="AS52" t="inlineStr">
        <is>
          <t>No</t>
        </is>
      </c>
      <c r="AU52">
        <f>HYPERLINK("https://creighton-primo.hosted.exlibrisgroup.com/primo-explore/search?tab=default_tab&amp;search_scope=EVERYTHING&amp;vid=01CRU&amp;lang=en_US&amp;offset=0&amp;query=any,contains,991002988519702656","Catalog Record")</f>
        <v/>
      </c>
      <c r="AV52">
        <f>HYPERLINK("http://www.worldcat.org/oclc/40311445","WorldCat Record")</f>
        <v/>
      </c>
      <c r="AW52" t="inlineStr">
        <is>
          <t>837016059:eng</t>
        </is>
      </c>
      <c r="AX52" t="inlineStr">
        <is>
          <t>40311445</t>
        </is>
      </c>
      <c r="AY52" t="inlineStr">
        <is>
          <t>991002988519702656</t>
        </is>
      </c>
      <c r="AZ52" t="inlineStr">
        <is>
          <t>991002988519702656</t>
        </is>
      </c>
      <c r="BA52" t="inlineStr">
        <is>
          <t>2264914340002656</t>
        </is>
      </c>
      <c r="BB52" t="inlineStr">
        <is>
          <t>BOOK</t>
        </is>
      </c>
      <c r="BD52" t="inlineStr">
        <is>
          <t>9780849381942</t>
        </is>
      </c>
      <c r="BE52" t="inlineStr">
        <is>
          <t>32285003547329</t>
        </is>
      </c>
      <c r="BF52" t="inlineStr">
        <is>
          <t>893717185</t>
        </is>
      </c>
    </row>
    <row r="53">
      <c r="B53" t="inlineStr">
        <is>
          <t>CURAL</t>
        </is>
      </c>
      <c r="C53" t="inlineStr">
        <is>
          <t>SHELVES</t>
        </is>
      </c>
      <c r="D53" t="inlineStr">
        <is>
          <t>QP171 .H53</t>
        </is>
      </c>
      <c r="E53" t="inlineStr">
        <is>
          <t>0                      QP 0171000H  53</t>
        </is>
      </c>
      <c r="F53" t="inlineStr">
        <is>
          <t>Energy transformations in mammals : regulatory mechanisms / [by] Frederic L. Hoch.</t>
        </is>
      </c>
      <c r="H53" t="inlineStr">
        <is>
          <t>No</t>
        </is>
      </c>
      <c r="I53" t="inlineStr">
        <is>
          <t>1</t>
        </is>
      </c>
      <c r="J53" t="inlineStr">
        <is>
          <t>No</t>
        </is>
      </c>
      <c r="K53" t="inlineStr">
        <is>
          <t>No</t>
        </is>
      </c>
      <c r="L53" t="inlineStr">
        <is>
          <t>0</t>
        </is>
      </c>
      <c r="M53" t="inlineStr">
        <is>
          <t>Hoch, Frederic L., 1920-</t>
        </is>
      </c>
      <c r="N53" t="inlineStr">
        <is>
          <t>Philadelphia : Saunders, 1971.</t>
        </is>
      </c>
      <c r="O53" t="inlineStr">
        <is>
          <t>1971</t>
        </is>
      </c>
      <c r="Q53" t="inlineStr">
        <is>
          <t>eng</t>
        </is>
      </c>
      <c r="R53" t="inlineStr">
        <is>
          <t>pau</t>
        </is>
      </c>
      <c r="S53" t="inlineStr">
        <is>
          <t>Physiological chemistry ; 3</t>
        </is>
      </c>
      <c r="T53" t="inlineStr">
        <is>
          <t xml:space="preserve">QP </t>
        </is>
      </c>
      <c r="U53" t="n">
        <v>2</v>
      </c>
      <c r="V53" t="n">
        <v>2</v>
      </c>
      <c r="W53" t="inlineStr">
        <is>
          <t>1996-02-24</t>
        </is>
      </c>
      <c r="X53" t="inlineStr">
        <is>
          <t>1996-02-24</t>
        </is>
      </c>
      <c r="Y53" t="inlineStr">
        <is>
          <t>1991-09-04</t>
        </is>
      </c>
      <c r="Z53" t="inlineStr">
        <is>
          <t>1991-09-04</t>
        </is>
      </c>
      <c r="AA53" t="n">
        <v>294</v>
      </c>
      <c r="AB53" t="n">
        <v>222</v>
      </c>
      <c r="AC53" t="n">
        <v>224</v>
      </c>
      <c r="AD53" t="n">
        <v>2</v>
      </c>
      <c r="AE53" t="n">
        <v>2</v>
      </c>
      <c r="AF53" t="n">
        <v>4</v>
      </c>
      <c r="AG53" t="n">
        <v>4</v>
      </c>
      <c r="AH53" t="n">
        <v>1</v>
      </c>
      <c r="AI53" t="n">
        <v>1</v>
      </c>
      <c r="AJ53" t="n">
        <v>0</v>
      </c>
      <c r="AK53" t="n">
        <v>0</v>
      </c>
      <c r="AL53" t="n">
        <v>3</v>
      </c>
      <c r="AM53" t="n">
        <v>3</v>
      </c>
      <c r="AN53" t="n">
        <v>1</v>
      </c>
      <c r="AO53" t="n">
        <v>1</v>
      </c>
      <c r="AP53" t="n">
        <v>0</v>
      </c>
      <c r="AQ53" t="n">
        <v>0</v>
      </c>
      <c r="AR53" t="inlineStr">
        <is>
          <t>No</t>
        </is>
      </c>
      <c r="AS53" t="inlineStr">
        <is>
          <t>Yes</t>
        </is>
      </c>
      <c r="AT53">
        <f>HYPERLINK("http://catalog.hathitrust.org/Record/001553992","HathiTrust Record")</f>
        <v/>
      </c>
      <c r="AU53">
        <f>HYPERLINK("https://creighton-primo.hosted.exlibrisgroup.com/primo-explore/search?tab=default_tab&amp;search_scope=EVERYTHING&amp;vid=01CRU&amp;lang=en_US&amp;offset=0&amp;query=any,contains,991000776639702656","Catalog Record")</f>
        <v/>
      </c>
      <c r="AV53">
        <f>HYPERLINK("http://www.worldcat.org/oclc/133167","WorldCat Record")</f>
        <v/>
      </c>
      <c r="AW53" t="inlineStr">
        <is>
          <t>181390276:eng</t>
        </is>
      </c>
      <c r="AX53" t="inlineStr">
        <is>
          <t>133167</t>
        </is>
      </c>
      <c r="AY53" t="inlineStr">
        <is>
          <t>991000776639702656</t>
        </is>
      </c>
      <c r="AZ53" t="inlineStr">
        <is>
          <t>991000776639702656</t>
        </is>
      </c>
      <c r="BA53" t="inlineStr">
        <is>
          <t>2256068080002656</t>
        </is>
      </c>
      <c r="BB53" t="inlineStr">
        <is>
          <t>BOOK</t>
        </is>
      </c>
      <c r="BD53" t="inlineStr">
        <is>
          <t>9780721647005</t>
        </is>
      </c>
      <c r="BE53" t="inlineStr">
        <is>
          <t>32285000734110</t>
        </is>
      </c>
      <c r="BF53" t="inlineStr">
        <is>
          <t>893515595</t>
        </is>
      </c>
    </row>
    <row r="54">
      <c r="B54" t="inlineStr">
        <is>
          <t>CURAL</t>
        </is>
      </c>
      <c r="C54" t="inlineStr">
        <is>
          <t>SHELVES</t>
        </is>
      </c>
      <c r="D54" t="inlineStr">
        <is>
          <t>QP171 .I58</t>
        </is>
      </c>
      <c r="E54" t="inlineStr">
        <is>
          <t>0                      QP 0171000I  58</t>
        </is>
      </c>
      <c r="F54" t="inlineStr">
        <is>
          <t>Physiological chemistry of exercise and training / First International Course on Physiological Chemistry of Exercise and Training, Fiuggi Terme, October 1-4, 1979 ; volume editors, P.E. di Prampero and J. Poortmans.</t>
        </is>
      </c>
      <c r="H54" t="inlineStr">
        <is>
          <t>No</t>
        </is>
      </c>
      <c r="I54" t="inlineStr">
        <is>
          <t>1</t>
        </is>
      </c>
      <c r="J54" t="inlineStr">
        <is>
          <t>No</t>
        </is>
      </c>
      <c r="K54" t="inlineStr">
        <is>
          <t>No</t>
        </is>
      </c>
      <c r="L54" t="inlineStr">
        <is>
          <t>0</t>
        </is>
      </c>
      <c r="M54" t="inlineStr">
        <is>
          <t>International Course on Physiological Chemistry of Exercise and Training (1st : 1979 : Fiuggi, Italy)</t>
        </is>
      </c>
      <c r="N54" t="inlineStr">
        <is>
          <t>Basel ; New York : Karger, 1981.</t>
        </is>
      </c>
      <c r="O54" t="inlineStr">
        <is>
          <t>1981</t>
        </is>
      </c>
      <c r="Q54" t="inlineStr">
        <is>
          <t>eng</t>
        </is>
      </c>
      <c r="R54" t="inlineStr">
        <is>
          <t xml:space="preserve">sz </t>
        </is>
      </c>
      <c r="S54" t="inlineStr">
        <is>
          <t>Medicine and sport ; v. 13</t>
        </is>
      </c>
      <c r="T54" t="inlineStr">
        <is>
          <t xml:space="preserve">QP </t>
        </is>
      </c>
      <c r="U54" t="n">
        <v>2</v>
      </c>
      <c r="V54" t="n">
        <v>2</v>
      </c>
      <c r="W54" t="inlineStr">
        <is>
          <t>1995-11-07</t>
        </is>
      </c>
      <c r="X54" t="inlineStr">
        <is>
          <t>1995-11-07</t>
        </is>
      </c>
      <c r="Y54" t="inlineStr">
        <is>
          <t>1993-02-26</t>
        </is>
      </c>
      <c r="Z54" t="inlineStr">
        <is>
          <t>1993-02-26</t>
        </is>
      </c>
      <c r="AA54" t="n">
        <v>210</v>
      </c>
      <c r="AB54" t="n">
        <v>149</v>
      </c>
      <c r="AC54" t="n">
        <v>166</v>
      </c>
      <c r="AD54" t="n">
        <v>2</v>
      </c>
      <c r="AE54" t="n">
        <v>2</v>
      </c>
      <c r="AF54" t="n">
        <v>5</v>
      </c>
      <c r="AG54" t="n">
        <v>5</v>
      </c>
      <c r="AH54" t="n">
        <v>1</v>
      </c>
      <c r="AI54" t="n">
        <v>1</v>
      </c>
      <c r="AJ54" t="n">
        <v>3</v>
      </c>
      <c r="AK54" t="n">
        <v>3</v>
      </c>
      <c r="AL54" t="n">
        <v>1</v>
      </c>
      <c r="AM54" t="n">
        <v>1</v>
      </c>
      <c r="AN54" t="n">
        <v>1</v>
      </c>
      <c r="AO54" t="n">
        <v>1</v>
      </c>
      <c r="AP54" t="n">
        <v>0</v>
      </c>
      <c r="AQ54" t="n">
        <v>0</v>
      </c>
      <c r="AR54" t="inlineStr">
        <is>
          <t>No</t>
        </is>
      </c>
      <c r="AS54" t="inlineStr">
        <is>
          <t>Yes</t>
        </is>
      </c>
      <c r="AT54">
        <f>HYPERLINK("http://catalog.hathitrust.org/Record/000773651","HathiTrust Record")</f>
        <v/>
      </c>
      <c r="AU54">
        <f>HYPERLINK("https://creighton-primo.hosted.exlibrisgroup.com/primo-explore/search?tab=default_tab&amp;search_scope=EVERYTHING&amp;vid=01CRU&amp;lang=en_US&amp;offset=0&amp;query=any,contains,991005155599702656","Catalog Record")</f>
        <v/>
      </c>
      <c r="AV54">
        <f>HYPERLINK("http://www.worldcat.org/oclc/7739371","WorldCat Record")</f>
        <v/>
      </c>
      <c r="AW54" t="inlineStr">
        <is>
          <t>29774892:eng</t>
        </is>
      </c>
      <c r="AX54" t="inlineStr">
        <is>
          <t>7739371</t>
        </is>
      </c>
      <c r="AY54" t="inlineStr">
        <is>
          <t>991005155599702656</t>
        </is>
      </c>
      <c r="AZ54" t="inlineStr">
        <is>
          <t>991005155599702656</t>
        </is>
      </c>
      <c r="BA54" t="inlineStr">
        <is>
          <t>2258659680002656</t>
        </is>
      </c>
      <c r="BB54" t="inlineStr">
        <is>
          <t>BOOK</t>
        </is>
      </c>
      <c r="BD54" t="inlineStr">
        <is>
          <t>9783805520287</t>
        </is>
      </c>
      <c r="BE54" t="inlineStr">
        <is>
          <t>32285001549970</t>
        </is>
      </c>
      <c r="BF54" t="inlineStr">
        <is>
          <t>893536419</t>
        </is>
      </c>
    </row>
    <row r="55">
      <c r="B55" t="inlineStr">
        <is>
          <t>CURAL</t>
        </is>
      </c>
      <c r="C55" t="inlineStr">
        <is>
          <t>SHELVES</t>
        </is>
      </c>
      <c r="D55" t="inlineStr">
        <is>
          <t>QP171 .N44</t>
        </is>
      </c>
      <c r="E55" t="inlineStr">
        <is>
          <t>0                      QP 0171000N  44</t>
        </is>
      </c>
      <c r="F55" t="inlineStr">
        <is>
          <t>Regulation in metabolism / [by] E. A. Newsholme and C. Start.</t>
        </is>
      </c>
      <c r="H55" t="inlineStr">
        <is>
          <t>No</t>
        </is>
      </c>
      <c r="I55" t="inlineStr">
        <is>
          <t>1</t>
        </is>
      </c>
      <c r="J55" t="inlineStr">
        <is>
          <t>No</t>
        </is>
      </c>
      <c r="K55" t="inlineStr">
        <is>
          <t>No</t>
        </is>
      </c>
      <c r="L55" t="inlineStr">
        <is>
          <t>0</t>
        </is>
      </c>
      <c r="M55" t="inlineStr">
        <is>
          <t>Newsholme, E. A.</t>
        </is>
      </c>
      <c r="N55" t="inlineStr">
        <is>
          <t>London ; New York : Wiley, [1973]</t>
        </is>
      </c>
      <c r="O55" t="inlineStr">
        <is>
          <t>1973</t>
        </is>
      </c>
      <c r="Q55" t="inlineStr">
        <is>
          <t>eng</t>
        </is>
      </c>
      <c r="R55" t="inlineStr">
        <is>
          <t>enk</t>
        </is>
      </c>
      <c r="T55" t="inlineStr">
        <is>
          <t xml:space="preserve">QP </t>
        </is>
      </c>
      <c r="U55" t="n">
        <v>2</v>
      </c>
      <c r="V55" t="n">
        <v>2</v>
      </c>
      <c r="W55" t="inlineStr">
        <is>
          <t>1995-09-21</t>
        </is>
      </c>
      <c r="X55" t="inlineStr">
        <is>
          <t>1995-09-21</t>
        </is>
      </c>
      <c r="Y55" t="inlineStr">
        <is>
          <t>1995-05-09</t>
        </is>
      </c>
      <c r="Z55" t="inlineStr">
        <is>
          <t>1995-05-09</t>
        </is>
      </c>
      <c r="AA55" t="n">
        <v>473</v>
      </c>
      <c r="AB55" t="n">
        <v>305</v>
      </c>
      <c r="AC55" t="n">
        <v>316</v>
      </c>
      <c r="AD55" t="n">
        <v>4</v>
      </c>
      <c r="AE55" t="n">
        <v>4</v>
      </c>
      <c r="AF55" t="n">
        <v>14</v>
      </c>
      <c r="AG55" t="n">
        <v>14</v>
      </c>
      <c r="AH55" t="n">
        <v>2</v>
      </c>
      <c r="AI55" t="n">
        <v>2</v>
      </c>
      <c r="AJ55" t="n">
        <v>4</v>
      </c>
      <c r="AK55" t="n">
        <v>4</v>
      </c>
      <c r="AL55" t="n">
        <v>8</v>
      </c>
      <c r="AM55" t="n">
        <v>8</v>
      </c>
      <c r="AN55" t="n">
        <v>3</v>
      </c>
      <c r="AO55" t="n">
        <v>3</v>
      </c>
      <c r="AP55" t="n">
        <v>0</v>
      </c>
      <c r="AQ55" t="n">
        <v>0</v>
      </c>
      <c r="AR55" t="inlineStr">
        <is>
          <t>No</t>
        </is>
      </c>
      <c r="AS55" t="inlineStr">
        <is>
          <t>Yes</t>
        </is>
      </c>
      <c r="AT55">
        <f>HYPERLINK("http://catalog.hathitrust.org/Record/001554005","HathiTrust Record")</f>
        <v/>
      </c>
      <c r="AU55">
        <f>HYPERLINK("https://creighton-primo.hosted.exlibrisgroup.com/primo-explore/search?tab=default_tab&amp;search_scope=EVERYTHING&amp;vid=01CRU&amp;lang=en_US&amp;offset=0&amp;query=any,contains,991003193199702656","Catalog Record")</f>
        <v/>
      </c>
      <c r="AV55">
        <f>HYPERLINK("http://www.worldcat.org/oclc/718215","WorldCat Record")</f>
        <v/>
      </c>
      <c r="AW55" t="inlineStr">
        <is>
          <t>1693931:eng</t>
        </is>
      </c>
      <c r="AX55" t="inlineStr">
        <is>
          <t>718215</t>
        </is>
      </c>
      <c r="AY55" t="inlineStr">
        <is>
          <t>991003193199702656</t>
        </is>
      </c>
      <c r="AZ55" t="inlineStr">
        <is>
          <t>991003193199702656</t>
        </is>
      </c>
      <c r="BA55" t="inlineStr">
        <is>
          <t>2256294920002656</t>
        </is>
      </c>
      <c r="BB55" t="inlineStr">
        <is>
          <t>BOOK</t>
        </is>
      </c>
      <c r="BD55" t="inlineStr">
        <is>
          <t>9780471635307</t>
        </is>
      </c>
      <c r="BE55" t="inlineStr">
        <is>
          <t>32285002032828</t>
        </is>
      </c>
      <c r="BF55" t="inlineStr">
        <is>
          <t>893717403</t>
        </is>
      </c>
    </row>
    <row r="56">
      <c r="B56" t="inlineStr">
        <is>
          <t>CURAL</t>
        </is>
      </c>
      <c r="C56" t="inlineStr">
        <is>
          <t>SHELVES</t>
        </is>
      </c>
      <c r="D56" t="inlineStr">
        <is>
          <t>QP171 .P695</t>
        </is>
      </c>
      <c r="E56" t="inlineStr">
        <is>
          <t>0                      QP 0171000P  695</t>
        </is>
      </c>
      <c r="F56" t="inlineStr">
        <is>
          <t>Principles of metabolic control in mammalian systems / edited by Robert H. Herman, Robert M. Cohn, and Pamela D. McNamara.</t>
        </is>
      </c>
      <c r="H56" t="inlineStr">
        <is>
          <t>No</t>
        </is>
      </c>
      <c r="I56" t="inlineStr">
        <is>
          <t>1</t>
        </is>
      </c>
      <c r="J56" t="inlineStr">
        <is>
          <t>Yes</t>
        </is>
      </c>
      <c r="K56" t="inlineStr">
        <is>
          <t>No</t>
        </is>
      </c>
      <c r="L56" t="inlineStr">
        <is>
          <t>0</t>
        </is>
      </c>
      <c r="N56" t="inlineStr">
        <is>
          <t>New York : Plenum Press, c1980.</t>
        </is>
      </c>
      <c r="O56" t="inlineStr">
        <is>
          <t>1980</t>
        </is>
      </c>
      <c r="Q56" t="inlineStr">
        <is>
          <t>eng</t>
        </is>
      </c>
      <c r="R56" t="inlineStr">
        <is>
          <t>nyu</t>
        </is>
      </c>
      <c r="T56" t="inlineStr">
        <is>
          <t xml:space="preserve">QP </t>
        </is>
      </c>
      <c r="U56" t="n">
        <v>11</v>
      </c>
      <c r="V56" t="n">
        <v>11</v>
      </c>
      <c r="W56" t="inlineStr">
        <is>
          <t>1995-07-20</t>
        </is>
      </c>
      <c r="X56" t="inlineStr">
        <is>
          <t>1995-07-20</t>
        </is>
      </c>
      <c r="Y56" t="inlineStr">
        <is>
          <t>1993-02-26</t>
        </is>
      </c>
      <c r="Z56" t="inlineStr">
        <is>
          <t>1993-02-26</t>
        </is>
      </c>
      <c r="AA56" t="n">
        <v>403</v>
      </c>
      <c r="AB56" t="n">
        <v>289</v>
      </c>
      <c r="AC56" t="n">
        <v>310</v>
      </c>
      <c r="AD56" t="n">
        <v>4</v>
      </c>
      <c r="AE56" t="n">
        <v>4</v>
      </c>
      <c r="AF56" t="n">
        <v>10</v>
      </c>
      <c r="AG56" t="n">
        <v>10</v>
      </c>
      <c r="AH56" t="n">
        <v>2</v>
      </c>
      <c r="AI56" t="n">
        <v>2</v>
      </c>
      <c r="AJ56" t="n">
        <v>3</v>
      </c>
      <c r="AK56" t="n">
        <v>3</v>
      </c>
      <c r="AL56" t="n">
        <v>6</v>
      </c>
      <c r="AM56" t="n">
        <v>6</v>
      </c>
      <c r="AN56" t="n">
        <v>2</v>
      </c>
      <c r="AO56" t="n">
        <v>2</v>
      </c>
      <c r="AP56" t="n">
        <v>0</v>
      </c>
      <c r="AQ56" t="n">
        <v>0</v>
      </c>
      <c r="AR56" t="inlineStr">
        <is>
          <t>No</t>
        </is>
      </c>
      <c r="AS56" t="inlineStr">
        <is>
          <t>Yes</t>
        </is>
      </c>
      <c r="AT56">
        <f>HYPERLINK("http://catalog.hathitrust.org/Record/000040580","HathiTrust Record")</f>
        <v/>
      </c>
      <c r="AU56">
        <f>HYPERLINK("https://creighton-primo.hosted.exlibrisgroup.com/primo-explore/search?tab=default_tab&amp;search_scope=EVERYTHING&amp;vid=01CRU&amp;lang=en_US&amp;offset=0&amp;query=any,contains,991004778539702656","Catalog Record")</f>
        <v/>
      </c>
      <c r="AV56">
        <f>HYPERLINK("http://www.worldcat.org/oclc/5101903","WorldCat Record")</f>
        <v/>
      </c>
      <c r="AW56" t="inlineStr">
        <is>
          <t>355439519:eng</t>
        </is>
      </c>
      <c r="AX56" t="inlineStr">
        <is>
          <t>5101903</t>
        </is>
      </c>
      <c r="AY56" t="inlineStr">
        <is>
          <t>991004778539702656</t>
        </is>
      </c>
      <c r="AZ56" t="inlineStr">
        <is>
          <t>991004778539702656</t>
        </is>
      </c>
      <c r="BA56" t="inlineStr">
        <is>
          <t>2259108960002656</t>
        </is>
      </c>
      <c r="BB56" t="inlineStr">
        <is>
          <t>BOOK</t>
        </is>
      </c>
      <c r="BD56" t="inlineStr">
        <is>
          <t>9780306402616</t>
        </is>
      </c>
      <c r="BE56" t="inlineStr">
        <is>
          <t>32285001549988</t>
        </is>
      </c>
      <c r="BF56" t="inlineStr">
        <is>
          <t>893513669</t>
        </is>
      </c>
    </row>
    <row r="57">
      <c r="B57" t="inlineStr">
        <is>
          <t>CURAL</t>
        </is>
      </c>
      <c r="C57" t="inlineStr">
        <is>
          <t>SHELVES</t>
        </is>
      </c>
      <c r="D57" t="inlineStr">
        <is>
          <t>QP171 .S737 1984</t>
        </is>
      </c>
      <c r="E57" t="inlineStr">
        <is>
          <t>0                      QP 0171000S  737         1984</t>
        </is>
      </c>
      <c r="F57" t="inlineStr">
        <is>
          <t>Energy balance and temperature regulation / M.W. Stanier, L.E. Mount, J. Bligh.</t>
        </is>
      </c>
      <c r="H57" t="inlineStr">
        <is>
          <t>No</t>
        </is>
      </c>
      <c r="I57" t="inlineStr">
        <is>
          <t>1</t>
        </is>
      </c>
      <c r="J57" t="inlineStr">
        <is>
          <t>No</t>
        </is>
      </c>
      <c r="K57" t="inlineStr">
        <is>
          <t>No</t>
        </is>
      </c>
      <c r="L57" t="inlineStr">
        <is>
          <t>0</t>
        </is>
      </c>
      <c r="M57" t="inlineStr">
        <is>
          <t>Stanier, M. W. (Margaret Wilson), 1919-</t>
        </is>
      </c>
      <c r="N57" t="inlineStr">
        <is>
          <t>Cambridge [Cambridgeshire] ; New York : Cambridge University Press, 1984.</t>
        </is>
      </c>
      <c r="O57" t="inlineStr">
        <is>
          <t>1984</t>
        </is>
      </c>
      <c r="Q57" t="inlineStr">
        <is>
          <t>eng</t>
        </is>
      </c>
      <c r="R57" t="inlineStr">
        <is>
          <t>enk</t>
        </is>
      </c>
      <c r="S57" t="inlineStr">
        <is>
          <t>Cambridge texts in the physiological sciences ; 4</t>
        </is>
      </c>
      <c r="T57" t="inlineStr">
        <is>
          <t xml:space="preserve">QP </t>
        </is>
      </c>
      <c r="U57" t="n">
        <v>8</v>
      </c>
      <c r="V57" t="n">
        <v>8</v>
      </c>
      <c r="W57" t="inlineStr">
        <is>
          <t>2000-11-21</t>
        </is>
      </c>
      <c r="X57" t="inlineStr">
        <is>
          <t>2000-11-21</t>
        </is>
      </c>
      <c r="Y57" t="inlineStr">
        <is>
          <t>1993-02-26</t>
        </is>
      </c>
      <c r="Z57" t="inlineStr">
        <is>
          <t>1993-02-26</t>
        </is>
      </c>
      <c r="AA57" t="n">
        <v>263</v>
      </c>
      <c r="AB57" t="n">
        <v>165</v>
      </c>
      <c r="AC57" t="n">
        <v>165</v>
      </c>
      <c r="AD57" t="n">
        <v>2</v>
      </c>
      <c r="AE57" t="n">
        <v>2</v>
      </c>
      <c r="AF57" t="n">
        <v>7</v>
      </c>
      <c r="AG57" t="n">
        <v>7</v>
      </c>
      <c r="AH57" t="n">
        <v>3</v>
      </c>
      <c r="AI57" t="n">
        <v>3</v>
      </c>
      <c r="AJ57" t="n">
        <v>3</v>
      </c>
      <c r="AK57" t="n">
        <v>3</v>
      </c>
      <c r="AL57" t="n">
        <v>3</v>
      </c>
      <c r="AM57" t="n">
        <v>3</v>
      </c>
      <c r="AN57" t="n">
        <v>1</v>
      </c>
      <c r="AO57" t="n">
        <v>1</v>
      </c>
      <c r="AP57" t="n">
        <v>0</v>
      </c>
      <c r="AQ57" t="n">
        <v>0</v>
      </c>
      <c r="AR57" t="inlineStr">
        <is>
          <t>No</t>
        </is>
      </c>
      <c r="AS57" t="inlineStr">
        <is>
          <t>No</t>
        </is>
      </c>
      <c r="AU57">
        <f>HYPERLINK("https://creighton-primo.hosted.exlibrisgroup.com/primo-explore/search?tab=default_tab&amp;search_scope=EVERYTHING&amp;vid=01CRU&amp;lang=en_US&amp;offset=0&amp;query=any,contains,991000287759702656","Catalog Record")</f>
        <v/>
      </c>
      <c r="AV57">
        <f>HYPERLINK("http://www.worldcat.org/oclc/9945607","WorldCat Record")</f>
        <v/>
      </c>
      <c r="AW57" t="inlineStr">
        <is>
          <t>43381938:eng</t>
        </is>
      </c>
      <c r="AX57" t="inlineStr">
        <is>
          <t>9945607</t>
        </is>
      </c>
      <c r="AY57" t="inlineStr">
        <is>
          <t>991000287759702656</t>
        </is>
      </c>
      <c r="AZ57" t="inlineStr">
        <is>
          <t>991000287759702656</t>
        </is>
      </c>
      <c r="BA57" t="inlineStr">
        <is>
          <t>2261967770002656</t>
        </is>
      </c>
      <c r="BB57" t="inlineStr">
        <is>
          <t>BOOK</t>
        </is>
      </c>
      <c r="BD57" t="inlineStr">
        <is>
          <t>9780521277273</t>
        </is>
      </c>
      <c r="BE57" t="inlineStr">
        <is>
          <t>32285001549996</t>
        </is>
      </c>
      <c r="BF57" t="inlineStr">
        <is>
          <t>893327194</t>
        </is>
      </c>
    </row>
    <row r="58">
      <c r="B58" t="inlineStr">
        <is>
          <t>CURAL</t>
        </is>
      </c>
      <c r="C58" t="inlineStr">
        <is>
          <t>SHELVES</t>
        </is>
      </c>
      <c r="D58" t="inlineStr">
        <is>
          <t>QP176 .B83 1993</t>
        </is>
      </c>
      <c r="E58" t="inlineStr">
        <is>
          <t>0                      QP 0176000B  83          1993</t>
        </is>
      </c>
      <c r="F58" t="inlineStr">
        <is>
          <t>Nutrients as ergogenic aids for sports and exercise / Luke Bucci.</t>
        </is>
      </c>
      <c r="H58" t="inlineStr">
        <is>
          <t>No</t>
        </is>
      </c>
      <c r="I58" t="inlineStr">
        <is>
          <t>1</t>
        </is>
      </c>
      <c r="J58" t="inlineStr">
        <is>
          <t>No</t>
        </is>
      </c>
      <c r="K58" t="inlineStr">
        <is>
          <t>No</t>
        </is>
      </c>
      <c r="L58" t="inlineStr">
        <is>
          <t>0</t>
        </is>
      </c>
      <c r="M58" t="inlineStr">
        <is>
          <t>Bucci, Luke.</t>
        </is>
      </c>
      <c r="N58" t="inlineStr">
        <is>
          <t>Boca Raton, FL : CRC Press, c1993.</t>
        </is>
      </c>
      <c r="O58" t="inlineStr">
        <is>
          <t>1993</t>
        </is>
      </c>
      <c r="Q58" t="inlineStr">
        <is>
          <t>eng</t>
        </is>
      </c>
      <c r="R58" t="inlineStr">
        <is>
          <t>flu</t>
        </is>
      </c>
      <c r="S58" t="inlineStr">
        <is>
          <t>Nutrition in exercise and sport</t>
        </is>
      </c>
      <c r="T58" t="inlineStr">
        <is>
          <t xml:space="preserve">QP </t>
        </is>
      </c>
      <c r="U58" t="n">
        <v>43</v>
      </c>
      <c r="V58" t="n">
        <v>43</v>
      </c>
      <c r="W58" t="inlineStr">
        <is>
          <t>2002-04-23</t>
        </is>
      </c>
      <c r="X58" t="inlineStr">
        <is>
          <t>2002-04-23</t>
        </is>
      </c>
      <c r="Y58" t="inlineStr">
        <is>
          <t>1993-12-29</t>
        </is>
      </c>
      <c r="Z58" t="inlineStr">
        <is>
          <t>1993-12-29</t>
        </is>
      </c>
      <c r="AA58" t="n">
        <v>424</v>
      </c>
      <c r="AB58" t="n">
        <v>324</v>
      </c>
      <c r="AC58" t="n">
        <v>335</v>
      </c>
      <c r="AD58" t="n">
        <v>3</v>
      </c>
      <c r="AE58" t="n">
        <v>3</v>
      </c>
      <c r="AF58" t="n">
        <v>13</v>
      </c>
      <c r="AG58" t="n">
        <v>13</v>
      </c>
      <c r="AH58" t="n">
        <v>7</v>
      </c>
      <c r="AI58" t="n">
        <v>7</v>
      </c>
      <c r="AJ58" t="n">
        <v>3</v>
      </c>
      <c r="AK58" t="n">
        <v>3</v>
      </c>
      <c r="AL58" t="n">
        <v>4</v>
      </c>
      <c r="AM58" t="n">
        <v>4</v>
      </c>
      <c r="AN58" t="n">
        <v>2</v>
      </c>
      <c r="AO58" t="n">
        <v>2</v>
      </c>
      <c r="AP58" t="n">
        <v>0</v>
      </c>
      <c r="AQ58" t="n">
        <v>0</v>
      </c>
      <c r="AR58" t="inlineStr">
        <is>
          <t>No</t>
        </is>
      </c>
      <c r="AS58" t="inlineStr">
        <is>
          <t>No</t>
        </is>
      </c>
      <c r="AU58">
        <f>HYPERLINK("https://creighton-primo.hosted.exlibrisgroup.com/primo-explore/search?tab=default_tab&amp;search_scope=EVERYTHING&amp;vid=01CRU&amp;lang=en_US&amp;offset=0&amp;query=any,contains,991002063349702656","Catalog Record")</f>
        <v/>
      </c>
      <c r="AV58">
        <f>HYPERLINK("http://www.worldcat.org/oclc/26398891","WorldCat Record")</f>
        <v/>
      </c>
      <c r="AW58" t="inlineStr">
        <is>
          <t>29359265:eng</t>
        </is>
      </c>
      <c r="AX58" t="inlineStr">
        <is>
          <t>26398891</t>
        </is>
      </c>
      <c r="AY58" t="inlineStr">
        <is>
          <t>991002063349702656</t>
        </is>
      </c>
      <c r="AZ58" t="inlineStr">
        <is>
          <t>991002063349702656</t>
        </is>
      </c>
      <c r="BA58" t="inlineStr">
        <is>
          <t>2263280110002656</t>
        </is>
      </c>
      <c r="BB58" t="inlineStr">
        <is>
          <t>BOOK</t>
        </is>
      </c>
      <c r="BD58" t="inlineStr">
        <is>
          <t>9780849342233</t>
        </is>
      </c>
      <c r="BE58" t="inlineStr">
        <is>
          <t>32285001818508</t>
        </is>
      </c>
      <c r="BF58" t="inlineStr">
        <is>
          <t>893256822</t>
        </is>
      </c>
    </row>
    <row r="59">
      <c r="B59" t="inlineStr">
        <is>
          <t>CURAL</t>
        </is>
      </c>
      <c r="C59" t="inlineStr">
        <is>
          <t>SHELVES</t>
        </is>
      </c>
      <c r="D59" t="inlineStr">
        <is>
          <t>QP176 .K36 2008</t>
        </is>
      </c>
      <c r="E59" t="inlineStr">
        <is>
          <t>0                      QP 0176000K  36          2008</t>
        </is>
      </c>
      <c r="F59" t="inlineStr">
        <is>
          <t>Bioenergetics primer for exercise science / Jie Kang.</t>
        </is>
      </c>
      <c r="H59" t="inlineStr">
        <is>
          <t>No</t>
        </is>
      </c>
      <c r="I59" t="inlineStr">
        <is>
          <t>1</t>
        </is>
      </c>
      <c r="J59" t="inlineStr">
        <is>
          <t>No</t>
        </is>
      </c>
      <c r="K59" t="inlineStr">
        <is>
          <t>No</t>
        </is>
      </c>
      <c r="L59" t="inlineStr">
        <is>
          <t>0</t>
        </is>
      </c>
      <c r="M59" t="inlineStr">
        <is>
          <t>Kang, Jie.</t>
        </is>
      </c>
      <c r="N59" t="inlineStr">
        <is>
          <t>Champaign, IL : Human Kinetics, c2008.</t>
        </is>
      </c>
      <c r="O59" t="inlineStr">
        <is>
          <t>2008</t>
        </is>
      </c>
      <c r="Q59" t="inlineStr">
        <is>
          <t>eng</t>
        </is>
      </c>
      <c r="R59" t="inlineStr">
        <is>
          <t>ilu</t>
        </is>
      </c>
      <c r="S59" t="inlineStr">
        <is>
          <t>Primers in exercise science series</t>
        </is>
      </c>
      <c r="T59" t="inlineStr">
        <is>
          <t xml:space="preserve">QP </t>
        </is>
      </c>
      <c r="U59" t="n">
        <v>5</v>
      </c>
      <c r="V59" t="n">
        <v>5</v>
      </c>
      <c r="W59" t="inlineStr">
        <is>
          <t>2008-04-07</t>
        </is>
      </c>
      <c r="X59" t="inlineStr">
        <is>
          <t>2008-04-07</t>
        </is>
      </c>
      <c r="Y59" t="inlineStr">
        <is>
          <t>2008-01-09</t>
        </is>
      </c>
      <c r="Z59" t="inlineStr">
        <is>
          <t>2008-01-09</t>
        </is>
      </c>
      <c r="AA59" t="n">
        <v>227</v>
      </c>
      <c r="AB59" t="n">
        <v>149</v>
      </c>
      <c r="AC59" t="n">
        <v>149</v>
      </c>
      <c r="AD59" t="n">
        <v>2</v>
      </c>
      <c r="AE59" t="n">
        <v>2</v>
      </c>
      <c r="AF59" t="n">
        <v>7</v>
      </c>
      <c r="AG59" t="n">
        <v>7</v>
      </c>
      <c r="AH59" t="n">
        <v>5</v>
      </c>
      <c r="AI59" t="n">
        <v>5</v>
      </c>
      <c r="AJ59" t="n">
        <v>1</v>
      </c>
      <c r="AK59" t="n">
        <v>1</v>
      </c>
      <c r="AL59" t="n">
        <v>3</v>
      </c>
      <c r="AM59" t="n">
        <v>3</v>
      </c>
      <c r="AN59" t="n">
        <v>1</v>
      </c>
      <c r="AO59" t="n">
        <v>1</v>
      </c>
      <c r="AP59" t="n">
        <v>0</v>
      </c>
      <c r="AQ59" t="n">
        <v>0</v>
      </c>
      <c r="AR59" t="inlineStr">
        <is>
          <t>No</t>
        </is>
      </c>
      <c r="AS59" t="inlineStr">
        <is>
          <t>No</t>
        </is>
      </c>
      <c r="AU59">
        <f>HYPERLINK("https://creighton-primo.hosted.exlibrisgroup.com/primo-explore/search?tab=default_tab&amp;search_scope=EVERYTHING&amp;vid=01CRU&amp;lang=en_US&amp;offset=0&amp;query=any,contains,991005132719702656","Catalog Record")</f>
        <v/>
      </c>
      <c r="AV59">
        <f>HYPERLINK("http://www.worldcat.org/oclc/144598095","WorldCat Record")</f>
        <v/>
      </c>
      <c r="AW59" t="inlineStr">
        <is>
          <t>103294923:eng</t>
        </is>
      </c>
      <c r="AX59" t="inlineStr">
        <is>
          <t>144598095</t>
        </is>
      </c>
      <c r="AY59" t="inlineStr">
        <is>
          <t>991005132719702656</t>
        </is>
      </c>
      <c r="AZ59" t="inlineStr">
        <is>
          <t>991005132719702656</t>
        </is>
      </c>
      <c r="BA59" t="inlineStr">
        <is>
          <t>2267360860002656</t>
        </is>
      </c>
      <c r="BB59" t="inlineStr">
        <is>
          <t>BOOK</t>
        </is>
      </c>
      <c r="BD59" t="inlineStr">
        <is>
          <t>9780736062411</t>
        </is>
      </c>
      <c r="BE59" t="inlineStr">
        <is>
          <t>32285005376016</t>
        </is>
      </c>
      <c r="BF59" t="inlineStr">
        <is>
          <t>893254522</t>
        </is>
      </c>
    </row>
    <row r="60">
      <c r="B60" t="inlineStr">
        <is>
          <t>CURAL</t>
        </is>
      </c>
      <c r="C60" t="inlineStr">
        <is>
          <t>SHELVES</t>
        </is>
      </c>
      <c r="D60" t="inlineStr">
        <is>
          <t>QP177 .B27 1983</t>
        </is>
      </c>
      <c r="E60" t="inlineStr">
        <is>
          <t>0                      QP 0177000B  27          1983</t>
        </is>
      </c>
      <c r="F60" t="inlineStr">
        <is>
          <t>Hypoxia, exercise, and altitude : proceedings of the Third Banff International Hypoxia Symposium : Banff, Alberta, Canada, January 25-28, 1983 / editors, John R. Sutton, Charles S. Houston, Norman L. Jones.</t>
        </is>
      </c>
      <c r="H60" t="inlineStr">
        <is>
          <t>No</t>
        </is>
      </c>
      <c r="I60" t="inlineStr">
        <is>
          <t>1</t>
        </is>
      </c>
      <c r="J60" t="inlineStr">
        <is>
          <t>No</t>
        </is>
      </c>
      <c r="K60" t="inlineStr">
        <is>
          <t>No</t>
        </is>
      </c>
      <c r="L60" t="inlineStr">
        <is>
          <t>0</t>
        </is>
      </c>
      <c r="M60" t="inlineStr">
        <is>
          <t>Banff International Hypoxia Symposium (3rd : 1983)</t>
        </is>
      </c>
      <c r="N60" t="inlineStr">
        <is>
          <t>New York : A.R. Liss, c1983.</t>
        </is>
      </c>
      <c r="O60" t="inlineStr">
        <is>
          <t>1983</t>
        </is>
      </c>
      <c r="Q60" t="inlineStr">
        <is>
          <t>eng</t>
        </is>
      </c>
      <c r="R60" t="inlineStr">
        <is>
          <t>nyu</t>
        </is>
      </c>
      <c r="S60" t="inlineStr">
        <is>
          <t>Progress in clinical and biological research ; v. 136</t>
        </is>
      </c>
      <c r="T60" t="inlineStr">
        <is>
          <t xml:space="preserve">QP </t>
        </is>
      </c>
      <c r="U60" t="n">
        <v>2</v>
      </c>
      <c r="V60" t="n">
        <v>2</v>
      </c>
      <c r="W60" t="inlineStr">
        <is>
          <t>2004-03-30</t>
        </is>
      </c>
      <c r="X60" t="inlineStr">
        <is>
          <t>2004-03-30</t>
        </is>
      </c>
      <c r="Y60" t="inlineStr">
        <is>
          <t>1993-02-26</t>
        </is>
      </c>
      <c r="Z60" t="inlineStr">
        <is>
          <t>1993-02-26</t>
        </is>
      </c>
      <c r="AA60" t="n">
        <v>171</v>
      </c>
      <c r="AB60" t="n">
        <v>132</v>
      </c>
      <c r="AC60" t="n">
        <v>136</v>
      </c>
      <c r="AD60" t="n">
        <v>2</v>
      </c>
      <c r="AE60" t="n">
        <v>2</v>
      </c>
      <c r="AF60" t="n">
        <v>3</v>
      </c>
      <c r="AG60" t="n">
        <v>3</v>
      </c>
      <c r="AH60" t="n">
        <v>1</v>
      </c>
      <c r="AI60" t="n">
        <v>1</v>
      </c>
      <c r="AJ60" t="n">
        <v>1</v>
      </c>
      <c r="AK60" t="n">
        <v>1</v>
      </c>
      <c r="AL60" t="n">
        <v>1</v>
      </c>
      <c r="AM60" t="n">
        <v>1</v>
      </c>
      <c r="AN60" t="n">
        <v>1</v>
      </c>
      <c r="AO60" t="n">
        <v>1</v>
      </c>
      <c r="AP60" t="n">
        <v>0</v>
      </c>
      <c r="AQ60" t="n">
        <v>0</v>
      </c>
      <c r="AR60" t="inlineStr">
        <is>
          <t>No</t>
        </is>
      </c>
      <c r="AS60" t="inlineStr">
        <is>
          <t>Yes</t>
        </is>
      </c>
      <c r="AT60">
        <f>HYPERLINK("http://catalog.hathitrust.org/Record/000203019","HathiTrust Record")</f>
        <v/>
      </c>
      <c r="AU60">
        <f>HYPERLINK("https://creighton-primo.hosted.exlibrisgroup.com/primo-explore/search?tab=default_tab&amp;search_scope=EVERYTHING&amp;vid=01CRU&amp;lang=en_US&amp;offset=0&amp;query=any,contains,991000300609702656","Catalog Record")</f>
        <v/>
      </c>
      <c r="AV60">
        <f>HYPERLINK("http://www.worldcat.org/oclc/9943318","WorldCat Record")</f>
        <v/>
      </c>
      <c r="AW60" t="inlineStr">
        <is>
          <t>43308988:eng</t>
        </is>
      </c>
      <c r="AX60" t="inlineStr">
        <is>
          <t>9943318</t>
        </is>
      </c>
      <c r="AY60" t="inlineStr">
        <is>
          <t>991000300609702656</t>
        </is>
      </c>
      <c r="AZ60" t="inlineStr">
        <is>
          <t>991000300609702656</t>
        </is>
      </c>
      <c r="BA60" t="inlineStr">
        <is>
          <t>2266583180002656</t>
        </is>
      </c>
      <c r="BB60" t="inlineStr">
        <is>
          <t>BOOK</t>
        </is>
      </c>
      <c r="BD60" t="inlineStr">
        <is>
          <t>9780845101360</t>
        </is>
      </c>
      <c r="BE60" t="inlineStr">
        <is>
          <t>32285001550002</t>
        </is>
      </c>
      <c r="BF60" t="inlineStr">
        <is>
          <t>893896765</t>
        </is>
      </c>
    </row>
    <row r="61">
      <c r="B61" t="inlineStr">
        <is>
          <t>CURAL</t>
        </is>
      </c>
      <c r="C61" t="inlineStr">
        <is>
          <t>SHELVES</t>
        </is>
      </c>
      <c r="D61" t="inlineStr">
        <is>
          <t>QP177 .B55</t>
        </is>
      </c>
      <c r="E61" t="inlineStr">
        <is>
          <t>0                      QP 0177000B  55</t>
        </is>
      </c>
      <c r="F61" t="inlineStr">
        <is>
          <t>Biological oxidations. Edited by Thomas P. Singer.</t>
        </is>
      </c>
      <c r="H61" t="inlineStr">
        <is>
          <t>No</t>
        </is>
      </c>
      <c r="I61" t="inlineStr">
        <is>
          <t>1</t>
        </is>
      </c>
      <c r="J61" t="inlineStr">
        <is>
          <t>No</t>
        </is>
      </c>
      <c r="K61" t="inlineStr">
        <is>
          <t>No</t>
        </is>
      </c>
      <c r="L61" t="inlineStr">
        <is>
          <t>0</t>
        </is>
      </c>
      <c r="N61" t="inlineStr">
        <is>
          <t>New York, Interscience Publishers, 1968.</t>
        </is>
      </c>
      <c r="O61" t="inlineStr">
        <is>
          <t>1968</t>
        </is>
      </c>
      <c r="Q61" t="inlineStr">
        <is>
          <t>eng</t>
        </is>
      </c>
      <c r="R61" t="inlineStr">
        <is>
          <t>nyu</t>
        </is>
      </c>
      <c r="T61" t="inlineStr">
        <is>
          <t xml:space="preserve">QP </t>
        </is>
      </c>
      <c r="U61" t="n">
        <v>6</v>
      </c>
      <c r="V61" t="n">
        <v>6</v>
      </c>
      <c r="W61" t="inlineStr">
        <is>
          <t>1998-04-26</t>
        </is>
      </c>
      <c r="X61" t="inlineStr">
        <is>
          <t>1998-04-26</t>
        </is>
      </c>
      <c r="Y61" t="inlineStr">
        <is>
          <t>1997-08-06</t>
        </is>
      </c>
      <c r="Z61" t="inlineStr">
        <is>
          <t>1997-08-06</t>
        </is>
      </c>
      <c r="AA61" t="n">
        <v>495</v>
      </c>
      <c r="AB61" t="n">
        <v>369</v>
      </c>
      <c r="AC61" t="n">
        <v>372</v>
      </c>
      <c r="AD61" t="n">
        <v>3</v>
      </c>
      <c r="AE61" t="n">
        <v>3</v>
      </c>
      <c r="AF61" t="n">
        <v>19</v>
      </c>
      <c r="AG61" t="n">
        <v>19</v>
      </c>
      <c r="AH61" t="n">
        <v>5</v>
      </c>
      <c r="AI61" t="n">
        <v>5</v>
      </c>
      <c r="AJ61" t="n">
        <v>5</v>
      </c>
      <c r="AK61" t="n">
        <v>5</v>
      </c>
      <c r="AL61" t="n">
        <v>13</v>
      </c>
      <c r="AM61" t="n">
        <v>13</v>
      </c>
      <c r="AN61" t="n">
        <v>2</v>
      </c>
      <c r="AO61" t="n">
        <v>2</v>
      </c>
      <c r="AP61" t="n">
        <v>0</v>
      </c>
      <c r="AQ61" t="n">
        <v>0</v>
      </c>
      <c r="AR61" t="inlineStr">
        <is>
          <t>No</t>
        </is>
      </c>
      <c r="AS61" t="inlineStr">
        <is>
          <t>Yes</t>
        </is>
      </c>
      <c r="AT61">
        <f>HYPERLINK("http://catalog.hathitrust.org/Record/000562918","HathiTrust Record")</f>
        <v/>
      </c>
      <c r="AU61">
        <f>HYPERLINK("https://creighton-primo.hosted.exlibrisgroup.com/primo-explore/search?tab=default_tab&amp;search_scope=EVERYTHING&amp;vid=01CRU&amp;lang=en_US&amp;offset=0&amp;query=any,contains,991003182799702656","Catalog Record")</f>
        <v/>
      </c>
      <c r="AV61">
        <f>HYPERLINK("http://www.worldcat.org/oclc/712133","WorldCat Record")</f>
        <v/>
      </c>
      <c r="AW61" t="inlineStr">
        <is>
          <t>53999042:eng</t>
        </is>
      </c>
      <c r="AX61" t="inlineStr">
        <is>
          <t>712133</t>
        </is>
      </c>
      <c r="AY61" t="inlineStr">
        <is>
          <t>991003182799702656</t>
        </is>
      </c>
      <c r="AZ61" t="inlineStr">
        <is>
          <t>991003182799702656</t>
        </is>
      </c>
      <c r="BA61" t="inlineStr">
        <is>
          <t>2256739310002656</t>
        </is>
      </c>
      <c r="BB61" t="inlineStr">
        <is>
          <t>BOOK</t>
        </is>
      </c>
      <c r="BE61" t="inlineStr">
        <is>
          <t>32285003012746</t>
        </is>
      </c>
      <c r="BF61" t="inlineStr">
        <is>
          <t>893787045</t>
        </is>
      </c>
    </row>
    <row r="62">
      <c r="B62" t="inlineStr">
        <is>
          <t>CURAL</t>
        </is>
      </c>
      <c r="C62" t="inlineStr">
        <is>
          <t>SHELVES</t>
        </is>
      </c>
      <c r="D62" t="inlineStr">
        <is>
          <t>QP177 .H63</t>
        </is>
      </c>
      <c r="E62" t="inlineStr">
        <is>
          <t>0                      QP 0177000H  63</t>
        </is>
      </c>
      <c r="F62" t="inlineStr">
        <is>
          <t>Living without oxygen : closed and open systems in hypoxia tolerance / Peter W. Hochachka.</t>
        </is>
      </c>
      <c r="H62" t="inlineStr">
        <is>
          <t>No</t>
        </is>
      </c>
      <c r="I62" t="inlineStr">
        <is>
          <t>1</t>
        </is>
      </c>
      <c r="J62" t="inlineStr">
        <is>
          <t>No</t>
        </is>
      </c>
      <c r="K62" t="inlineStr">
        <is>
          <t>No</t>
        </is>
      </c>
      <c r="L62" t="inlineStr">
        <is>
          <t>0</t>
        </is>
      </c>
      <c r="M62" t="inlineStr">
        <is>
          <t>Hochachka, Peter W.</t>
        </is>
      </c>
      <c r="N62" t="inlineStr">
        <is>
          <t>Cambridge : Harvard University Press, 1980.</t>
        </is>
      </c>
      <c r="O62" t="inlineStr">
        <is>
          <t>1980</t>
        </is>
      </c>
      <c r="Q62" t="inlineStr">
        <is>
          <t>eng</t>
        </is>
      </c>
      <c r="R62" t="inlineStr">
        <is>
          <t>mau</t>
        </is>
      </c>
      <c r="T62" t="inlineStr">
        <is>
          <t xml:space="preserve">QP </t>
        </is>
      </c>
      <c r="U62" t="n">
        <v>8</v>
      </c>
      <c r="V62" t="n">
        <v>8</v>
      </c>
      <c r="W62" t="inlineStr">
        <is>
          <t>1997-09-28</t>
        </is>
      </c>
      <c r="X62" t="inlineStr">
        <is>
          <t>1997-09-28</t>
        </is>
      </c>
      <c r="Y62" t="inlineStr">
        <is>
          <t>1993-03-31</t>
        </is>
      </c>
      <c r="Z62" t="inlineStr">
        <is>
          <t>1993-03-31</t>
        </is>
      </c>
      <c r="AA62" t="n">
        <v>409</v>
      </c>
      <c r="AB62" t="n">
        <v>309</v>
      </c>
      <c r="AC62" t="n">
        <v>314</v>
      </c>
      <c r="AD62" t="n">
        <v>3</v>
      </c>
      <c r="AE62" t="n">
        <v>3</v>
      </c>
      <c r="AF62" t="n">
        <v>12</v>
      </c>
      <c r="AG62" t="n">
        <v>12</v>
      </c>
      <c r="AH62" t="n">
        <v>4</v>
      </c>
      <c r="AI62" t="n">
        <v>4</v>
      </c>
      <c r="AJ62" t="n">
        <v>4</v>
      </c>
      <c r="AK62" t="n">
        <v>4</v>
      </c>
      <c r="AL62" t="n">
        <v>6</v>
      </c>
      <c r="AM62" t="n">
        <v>6</v>
      </c>
      <c r="AN62" t="n">
        <v>2</v>
      </c>
      <c r="AO62" t="n">
        <v>2</v>
      </c>
      <c r="AP62" t="n">
        <v>0</v>
      </c>
      <c r="AQ62" t="n">
        <v>0</v>
      </c>
      <c r="AR62" t="inlineStr">
        <is>
          <t>No</t>
        </is>
      </c>
      <c r="AS62" t="inlineStr">
        <is>
          <t>Yes</t>
        </is>
      </c>
      <c r="AT62">
        <f>HYPERLINK("http://catalog.hathitrust.org/Record/000029766","HathiTrust Record")</f>
        <v/>
      </c>
      <c r="AU62">
        <f>HYPERLINK("https://creighton-primo.hosted.exlibrisgroup.com/primo-explore/search?tab=default_tab&amp;search_scope=EVERYTHING&amp;vid=01CRU&amp;lang=en_US&amp;offset=0&amp;query=any,contains,991004822549702656","Catalog Record")</f>
        <v/>
      </c>
      <c r="AV62">
        <f>HYPERLINK("http://www.worldcat.org/oclc/5336832","WorldCat Record")</f>
        <v/>
      </c>
      <c r="AW62" t="inlineStr">
        <is>
          <t>293341969:eng</t>
        </is>
      </c>
      <c r="AX62" t="inlineStr">
        <is>
          <t>5336832</t>
        </is>
      </c>
      <c r="AY62" t="inlineStr">
        <is>
          <t>991004822549702656</t>
        </is>
      </c>
      <c r="AZ62" t="inlineStr">
        <is>
          <t>991004822549702656</t>
        </is>
      </c>
      <c r="BA62" t="inlineStr">
        <is>
          <t>2265240230002656</t>
        </is>
      </c>
      <c r="BB62" t="inlineStr">
        <is>
          <t>BOOK</t>
        </is>
      </c>
      <c r="BD62" t="inlineStr">
        <is>
          <t>9780674536708</t>
        </is>
      </c>
      <c r="BE62" t="inlineStr">
        <is>
          <t>32285001596765</t>
        </is>
      </c>
      <c r="BF62" t="inlineStr">
        <is>
          <t>893229874</t>
        </is>
      </c>
    </row>
    <row r="63">
      <c r="B63" t="inlineStr">
        <is>
          <t>CURAL</t>
        </is>
      </c>
      <c r="C63" t="inlineStr">
        <is>
          <t>SHELVES</t>
        </is>
      </c>
      <c r="D63" t="inlineStr">
        <is>
          <t>QP177 .O93 1991</t>
        </is>
      </c>
      <c r="E63" t="inlineStr">
        <is>
          <t>0                      QP 0177000O  93          1991</t>
        </is>
      </c>
      <c r="F63" t="inlineStr">
        <is>
          <t>Oxidative stress : oxidants and antioxidants / edited by Helmut Sies.</t>
        </is>
      </c>
      <c r="H63" t="inlineStr">
        <is>
          <t>No</t>
        </is>
      </c>
      <c r="I63" t="inlineStr">
        <is>
          <t>1</t>
        </is>
      </c>
      <c r="J63" t="inlineStr">
        <is>
          <t>No</t>
        </is>
      </c>
      <c r="K63" t="inlineStr">
        <is>
          <t>No</t>
        </is>
      </c>
      <c r="L63" t="inlineStr">
        <is>
          <t>0</t>
        </is>
      </c>
      <c r="N63" t="inlineStr">
        <is>
          <t>London ; San Diego : Academic Press, 1991.</t>
        </is>
      </c>
      <c r="O63" t="inlineStr">
        <is>
          <t>1991</t>
        </is>
      </c>
      <c r="Q63" t="inlineStr">
        <is>
          <t>eng</t>
        </is>
      </c>
      <c r="R63" t="inlineStr">
        <is>
          <t>enk</t>
        </is>
      </c>
      <c r="T63" t="inlineStr">
        <is>
          <t xml:space="preserve">QP </t>
        </is>
      </c>
      <c r="U63" t="n">
        <v>12</v>
      </c>
      <c r="V63" t="n">
        <v>12</v>
      </c>
      <c r="W63" t="inlineStr">
        <is>
          <t>1998-04-26</t>
        </is>
      </c>
      <c r="X63" t="inlineStr">
        <is>
          <t>1998-04-26</t>
        </is>
      </c>
      <c r="Y63" t="inlineStr">
        <is>
          <t>1992-06-18</t>
        </is>
      </c>
      <c r="Z63" t="inlineStr">
        <is>
          <t>1992-06-18</t>
        </is>
      </c>
      <c r="AA63" t="n">
        <v>130</v>
      </c>
      <c r="AB63" t="n">
        <v>78</v>
      </c>
      <c r="AC63" t="n">
        <v>229</v>
      </c>
      <c r="AD63" t="n">
        <v>2</v>
      </c>
      <c r="AE63" t="n">
        <v>2</v>
      </c>
      <c r="AF63" t="n">
        <v>2</v>
      </c>
      <c r="AG63" t="n">
        <v>7</v>
      </c>
      <c r="AH63" t="n">
        <v>0</v>
      </c>
      <c r="AI63" t="n">
        <v>1</v>
      </c>
      <c r="AJ63" t="n">
        <v>0</v>
      </c>
      <c r="AK63" t="n">
        <v>3</v>
      </c>
      <c r="AL63" t="n">
        <v>1</v>
      </c>
      <c r="AM63" t="n">
        <v>3</v>
      </c>
      <c r="AN63" t="n">
        <v>1</v>
      </c>
      <c r="AO63" t="n">
        <v>1</v>
      </c>
      <c r="AP63" t="n">
        <v>0</v>
      </c>
      <c r="AQ63" t="n">
        <v>0</v>
      </c>
      <c r="AR63" t="inlineStr">
        <is>
          <t>No</t>
        </is>
      </c>
      <c r="AS63" t="inlineStr">
        <is>
          <t>Yes</t>
        </is>
      </c>
      <c r="AT63">
        <f>HYPERLINK("http://catalog.hathitrust.org/Record/002524114","HathiTrust Record")</f>
        <v/>
      </c>
      <c r="AU63">
        <f>HYPERLINK("https://creighton-primo.hosted.exlibrisgroup.com/primo-explore/search?tab=default_tab&amp;search_scope=EVERYTHING&amp;vid=01CRU&amp;lang=en_US&amp;offset=0&amp;query=any,contains,991001961979702656","Catalog Record")</f>
        <v/>
      </c>
      <c r="AV63">
        <f>HYPERLINK("http://www.worldcat.org/oclc/26220029","WorldCat Record")</f>
        <v/>
      </c>
      <c r="AW63" t="inlineStr">
        <is>
          <t>793297483:eng</t>
        </is>
      </c>
      <c r="AX63" t="inlineStr">
        <is>
          <t>26220029</t>
        </is>
      </c>
      <c r="AY63" t="inlineStr">
        <is>
          <t>991001961979702656</t>
        </is>
      </c>
      <c r="AZ63" t="inlineStr">
        <is>
          <t>991001961979702656</t>
        </is>
      </c>
      <c r="BA63" t="inlineStr">
        <is>
          <t>2259477140002656</t>
        </is>
      </c>
      <c r="BB63" t="inlineStr">
        <is>
          <t>BOOK</t>
        </is>
      </c>
      <c r="BD63" t="inlineStr">
        <is>
          <t>9780126427622</t>
        </is>
      </c>
      <c r="BE63" t="inlineStr">
        <is>
          <t>32285001129401</t>
        </is>
      </c>
      <c r="BF63" t="inlineStr">
        <is>
          <t>893609300</t>
        </is>
      </c>
    </row>
    <row r="64">
      <c r="B64" t="inlineStr">
        <is>
          <t>CURAL</t>
        </is>
      </c>
      <c r="C64" t="inlineStr">
        <is>
          <t>SHELVES</t>
        </is>
      </c>
      <c r="D64" t="inlineStr">
        <is>
          <t>QP187 .B352</t>
        </is>
      </c>
      <c r="E64" t="inlineStr">
        <is>
          <t>0                      QP 0187000B  352</t>
        </is>
      </c>
      <c r="F64" t="inlineStr">
        <is>
          <t>Hormones and evolution, by E.J.W. Barrington.</t>
        </is>
      </c>
      <c r="H64" t="inlineStr">
        <is>
          <t>No</t>
        </is>
      </c>
      <c r="I64" t="inlineStr">
        <is>
          <t>1</t>
        </is>
      </c>
      <c r="J64" t="inlineStr">
        <is>
          <t>No</t>
        </is>
      </c>
      <c r="K64" t="inlineStr">
        <is>
          <t>Yes</t>
        </is>
      </c>
      <c r="L64" t="inlineStr">
        <is>
          <t>0</t>
        </is>
      </c>
      <c r="M64" t="inlineStr">
        <is>
          <t>Barrington, E. J. W. (Ernest James William)</t>
        </is>
      </c>
      <c r="N64" t="inlineStr">
        <is>
          <t>Princeton, N.J., Van Nostrand [1964]</t>
        </is>
      </c>
      <c r="O64" t="inlineStr">
        <is>
          <t>1964</t>
        </is>
      </c>
      <c r="Q64" t="inlineStr">
        <is>
          <t>eng</t>
        </is>
      </c>
      <c r="R64" t="inlineStr">
        <is>
          <t>nju</t>
        </is>
      </c>
      <c r="S64" t="inlineStr">
        <is>
          <t>[Modern biology]</t>
        </is>
      </c>
      <c r="T64" t="inlineStr">
        <is>
          <t xml:space="preserve">QP </t>
        </is>
      </c>
      <c r="U64" t="n">
        <v>1</v>
      </c>
      <c r="V64" t="n">
        <v>1</v>
      </c>
      <c r="W64" t="inlineStr">
        <is>
          <t>2007-02-24</t>
        </is>
      </c>
      <c r="X64" t="inlineStr">
        <is>
          <t>2007-02-24</t>
        </is>
      </c>
      <c r="Y64" t="inlineStr">
        <is>
          <t>1997-08-06</t>
        </is>
      </c>
      <c r="Z64" t="inlineStr">
        <is>
          <t>1997-08-06</t>
        </is>
      </c>
      <c r="AA64" t="n">
        <v>200</v>
      </c>
      <c r="AB64" t="n">
        <v>183</v>
      </c>
      <c r="AC64" t="n">
        <v>487</v>
      </c>
      <c r="AD64" t="n">
        <v>2</v>
      </c>
      <c r="AE64" t="n">
        <v>4</v>
      </c>
      <c r="AF64" t="n">
        <v>9</v>
      </c>
      <c r="AG64" t="n">
        <v>24</v>
      </c>
      <c r="AH64" t="n">
        <v>3</v>
      </c>
      <c r="AI64" t="n">
        <v>8</v>
      </c>
      <c r="AJ64" t="n">
        <v>3</v>
      </c>
      <c r="AK64" t="n">
        <v>6</v>
      </c>
      <c r="AL64" t="n">
        <v>5</v>
      </c>
      <c r="AM64" t="n">
        <v>14</v>
      </c>
      <c r="AN64" t="n">
        <v>1</v>
      </c>
      <c r="AO64" t="n">
        <v>3</v>
      </c>
      <c r="AP64" t="n">
        <v>0</v>
      </c>
      <c r="AQ64" t="n">
        <v>0</v>
      </c>
      <c r="AR64" t="inlineStr">
        <is>
          <t>No</t>
        </is>
      </c>
      <c r="AS64" t="inlineStr">
        <is>
          <t>No</t>
        </is>
      </c>
      <c r="AU64">
        <f>HYPERLINK("https://creighton-primo.hosted.exlibrisgroup.com/primo-explore/search?tab=default_tab&amp;search_scope=EVERYTHING&amp;vid=01CRU&amp;lang=en_US&amp;offset=0&amp;query=any,contains,991002989549702656","Catalog Record")</f>
        <v/>
      </c>
      <c r="AV64">
        <f>HYPERLINK("http://www.worldcat.org/oclc/559720","WorldCat Record")</f>
        <v/>
      </c>
      <c r="AW64" t="inlineStr">
        <is>
          <t>1630574:eng</t>
        </is>
      </c>
      <c r="AX64" t="inlineStr">
        <is>
          <t>559720</t>
        </is>
      </c>
      <c r="AY64" t="inlineStr">
        <is>
          <t>991002989549702656</t>
        </is>
      </c>
      <c r="AZ64" t="inlineStr">
        <is>
          <t>991002989549702656</t>
        </is>
      </c>
      <c r="BA64" t="inlineStr">
        <is>
          <t>2262190530002656</t>
        </is>
      </c>
      <c r="BB64" t="inlineStr">
        <is>
          <t>BOOK</t>
        </is>
      </c>
      <c r="BE64" t="inlineStr">
        <is>
          <t>32285003012779</t>
        </is>
      </c>
      <c r="BF64" t="inlineStr">
        <is>
          <t>893440792</t>
        </is>
      </c>
    </row>
    <row r="65">
      <c r="B65" t="inlineStr">
        <is>
          <t>CURAL</t>
        </is>
      </c>
      <c r="C65" t="inlineStr">
        <is>
          <t>SHELVES</t>
        </is>
      </c>
      <c r="D65" t="inlineStr">
        <is>
          <t>QP187 .B46 1998</t>
        </is>
      </c>
      <c r="E65" t="inlineStr">
        <is>
          <t>0                      QP 0187000B  46          1998</t>
        </is>
      </c>
      <c r="F65" t="inlineStr">
        <is>
          <t>Comparative vertebrate endocrinology / P.J. Bentley.</t>
        </is>
      </c>
      <c r="H65" t="inlineStr">
        <is>
          <t>No</t>
        </is>
      </c>
      <c r="I65" t="inlineStr">
        <is>
          <t>1</t>
        </is>
      </c>
      <c r="J65" t="inlineStr">
        <is>
          <t>No</t>
        </is>
      </c>
      <c r="K65" t="inlineStr">
        <is>
          <t>No</t>
        </is>
      </c>
      <c r="L65" t="inlineStr">
        <is>
          <t>0</t>
        </is>
      </c>
      <c r="M65" t="inlineStr">
        <is>
          <t>Bentley, P. J.</t>
        </is>
      </c>
      <c r="N65" t="inlineStr">
        <is>
          <t>Cambridge, UK ; New York : Cambridge University Press, 1998.</t>
        </is>
      </c>
      <c r="O65" t="inlineStr">
        <is>
          <t>1998</t>
        </is>
      </c>
      <c r="P65" t="inlineStr">
        <is>
          <t>3rd ed.</t>
        </is>
      </c>
      <c r="Q65" t="inlineStr">
        <is>
          <t>eng</t>
        </is>
      </c>
      <c r="R65" t="inlineStr">
        <is>
          <t>enk</t>
        </is>
      </c>
      <c r="T65" t="inlineStr">
        <is>
          <t xml:space="preserve">QP </t>
        </is>
      </c>
      <c r="U65" t="n">
        <v>13</v>
      </c>
      <c r="V65" t="n">
        <v>13</v>
      </c>
      <c r="W65" t="inlineStr">
        <is>
          <t>2007-04-23</t>
        </is>
      </c>
      <c r="X65" t="inlineStr">
        <is>
          <t>2007-04-23</t>
        </is>
      </c>
      <c r="Y65" t="inlineStr">
        <is>
          <t>1999-04-05</t>
        </is>
      </c>
      <c r="Z65" t="inlineStr">
        <is>
          <t>1999-04-05</t>
        </is>
      </c>
      <c r="AA65" t="n">
        <v>327</v>
      </c>
      <c r="AB65" t="n">
        <v>219</v>
      </c>
      <c r="AC65" t="n">
        <v>583</v>
      </c>
      <c r="AD65" t="n">
        <v>1</v>
      </c>
      <c r="AE65" t="n">
        <v>5</v>
      </c>
      <c r="AF65" t="n">
        <v>12</v>
      </c>
      <c r="AG65" t="n">
        <v>30</v>
      </c>
      <c r="AH65" t="n">
        <v>3</v>
      </c>
      <c r="AI65" t="n">
        <v>12</v>
      </c>
      <c r="AJ65" t="n">
        <v>6</v>
      </c>
      <c r="AK65" t="n">
        <v>7</v>
      </c>
      <c r="AL65" t="n">
        <v>9</v>
      </c>
      <c r="AM65" t="n">
        <v>17</v>
      </c>
      <c r="AN65" t="n">
        <v>0</v>
      </c>
      <c r="AO65" t="n">
        <v>4</v>
      </c>
      <c r="AP65" t="n">
        <v>0</v>
      </c>
      <c r="AQ65" t="n">
        <v>0</v>
      </c>
      <c r="AR65" t="inlineStr">
        <is>
          <t>No</t>
        </is>
      </c>
      <c r="AS65" t="inlineStr">
        <is>
          <t>No</t>
        </is>
      </c>
      <c r="AU65">
        <f>HYPERLINK("https://creighton-primo.hosted.exlibrisgroup.com/primo-explore/search?tab=default_tab&amp;search_scope=EVERYTHING&amp;vid=01CRU&amp;lang=en_US&amp;offset=0&amp;query=any,contains,991002827969702656","Catalog Record")</f>
        <v/>
      </c>
      <c r="AV65">
        <f>HYPERLINK("http://www.worldcat.org/oclc/37239013","WorldCat Record")</f>
        <v/>
      </c>
      <c r="AW65" t="inlineStr">
        <is>
          <t>505792:eng</t>
        </is>
      </c>
      <c r="AX65" t="inlineStr">
        <is>
          <t>37239013</t>
        </is>
      </c>
      <c r="AY65" t="inlineStr">
        <is>
          <t>991002827969702656</t>
        </is>
      </c>
      <c r="AZ65" t="inlineStr">
        <is>
          <t>991002827969702656</t>
        </is>
      </c>
      <c r="BA65" t="inlineStr">
        <is>
          <t>2254863870002656</t>
        </is>
      </c>
      <c r="BB65" t="inlineStr">
        <is>
          <t>BOOK</t>
        </is>
      </c>
      <c r="BD65" t="inlineStr">
        <is>
          <t>9780521620024</t>
        </is>
      </c>
      <c r="BE65" t="inlineStr">
        <is>
          <t>32285003548707</t>
        </is>
      </c>
      <c r="BF65" t="inlineStr">
        <is>
          <t>893440571</t>
        </is>
      </c>
    </row>
    <row r="66">
      <c r="B66" t="inlineStr">
        <is>
          <t>CURAL</t>
        </is>
      </c>
      <c r="C66" t="inlineStr">
        <is>
          <t>SHELVES</t>
        </is>
      </c>
      <c r="D66" t="inlineStr">
        <is>
          <t>QP187 .D645</t>
        </is>
      </c>
      <c r="E66" t="inlineStr">
        <is>
          <t>0                      QP 0187000D  645</t>
        </is>
      </c>
      <c r="F66" t="inlineStr">
        <is>
          <t>Mammalian neuroendocrinology, by B. T. Donovan.</t>
        </is>
      </c>
      <c r="H66" t="inlineStr">
        <is>
          <t>No</t>
        </is>
      </c>
      <c r="I66" t="inlineStr">
        <is>
          <t>1</t>
        </is>
      </c>
      <c r="J66" t="inlineStr">
        <is>
          <t>No</t>
        </is>
      </c>
      <c r="K66" t="inlineStr">
        <is>
          <t>No</t>
        </is>
      </c>
      <c r="L66" t="inlineStr">
        <is>
          <t>0</t>
        </is>
      </c>
      <c r="M66" t="inlineStr">
        <is>
          <t>Donovan, Bernard T.</t>
        </is>
      </c>
      <c r="N66" t="inlineStr">
        <is>
          <t>Maidenhead, New York, McGraw-Hill, 1970.</t>
        </is>
      </c>
      <c r="O66" t="inlineStr">
        <is>
          <t>1970</t>
        </is>
      </c>
      <c r="Q66" t="inlineStr">
        <is>
          <t>eng</t>
        </is>
      </c>
      <c r="R66" t="inlineStr">
        <is>
          <t>enk</t>
        </is>
      </c>
      <c r="S66" t="inlineStr">
        <is>
          <t>European animal biology series</t>
        </is>
      </c>
      <c r="T66" t="inlineStr">
        <is>
          <t xml:space="preserve">QP </t>
        </is>
      </c>
      <c r="U66" t="n">
        <v>1</v>
      </c>
      <c r="V66" t="n">
        <v>1</v>
      </c>
      <c r="W66" t="inlineStr">
        <is>
          <t>2003-09-29</t>
        </is>
      </c>
      <c r="X66" t="inlineStr">
        <is>
          <t>2003-09-29</t>
        </is>
      </c>
      <c r="Y66" t="inlineStr">
        <is>
          <t>1997-08-06</t>
        </is>
      </c>
      <c r="Z66" t="inlineStr">
        <is>
          <t>1997-08-06</t>
        </is>
      </c>
      <c r="AA66" t="n">
        <v>171</v>
      </c>
      <c r="AB66" t="n">
        <v>91</v>
      </c>
      <c r="AC66" t="n">
        <v>91</v>
      </c>
      <c r="AD66" t="n">
        <v>2</v>
      </c>
      <c r="AE66" t="n">
        <v>2</v>
      </c>
      <c r="AF66" t="n">
        <v>5</v>
      </c>
      <c r="AG66" t="n">
        <v>5</v>
      </c>
      <c r="AH66" t="n">
        <v>1</v>
      </c>
      <c r="AI66" t="n">
        <v>1</v>
      </c>
      <c r="AJ66" t="n">
        <v>1</v>
      </c>
      <c r="AK66" t="n">
        <v>1</v>
      </c>
      <c r="AL66" t="n">
        <v>3</v>
      </c>
      <c r="AM66" t="n">
        <v>3</v>
      </c>
      <c r="AN66" t="n">
        <v>1</v>
      </c>
      <c r="AO66" t="n">
        <v>1</v>
      </c>
      <c r="AP66" t="n">
        <v>0</v>
      </c>
      <c r="AQ66" t="n">
        <v>0</v>
      </c>
      <c r="AR66" t="inlineStr">
        <is>
          <t>No</t>
        </is>
      </c>
      <c r="AS66" t="inlineStr">
        <is>
          <t>No</t>
        </is>
      </c>
      <c r="AU66">
        <f>HYPERLINK("https://creighton-primo.hosted.exlibrisgroup.com/primo-explore/search?tab=default_tab&amp;search_scope=EVERYTHING&amp;vid=01CRU&amp;lang=en_US&amp;offset=0&amp;query=any,contains,991000800359702656","Catalog Record")</f>
        <v/>
      </c>
      <c r="AV66">
        <f>HYPERLINK("http://www.worldcat.org/oclc/138681","WorldCat Record")</f>
        <v/>
      </c>
      <c r="AW66" t="inlineStr">
        <is>
          <t>1295071:eng</t>
        </is>
      </c>
      <c r="AX66" t="inlineStr">
        <is>
          <t>138681</t>
        </is>
      </c>
      <c r="AY66" t="inlineStr">
        <is>
          <t>991000800359702656</t>
        </is>
      </c>
      <c r="AZ66" t="inlineStr">
        <is>
          <t>991000800359702656</t>
        </is>
      </c>
      <c r="BA66" t="inlineStr">
        <is>
          <t>2258275970002656</t>
        </is>
      </c>
      <c r="BB66" t="inlineStr">
        <is>
          <t>BOOK</t>
        </is>
      </c>
      <c r="BD66" t="inlineStr">
        <is>
          <t>9780070941359</t>
        </is>
      </c>
      <c r="BE66" t="inlineStr">
        <is>
          <t>32285003012837</t>
        </is>
      </c>
      <c r="BF66" t="inlineStr">
        <is>
          <t>893891035</t>
        </is>
      </c>
    </row>
    <row r="67">
      <c r="B67" t="inlineStr">
        <is>
          <t>CURAL</t>
        </is>
      </c>
      <c r="C67" t="inlineStr">
        <is>
          <t>SHELVES</t>
        </is>
      </c>
      <c r="D67" t="inlineStr">
        <is>
          <t>QP187 .E57 1988</t>
        </is>
      </c>
      <c r="E67" t="inlineStr">
        <is>
          <t>0                      QP 0187000E  57          1988</t>
        </is>
      </c>
      <c r="F67" t="inlineStr">
        <is>
          <t>Endocrinology : people and ideas / edited by S.M. McCann.</t>
        </is>
      </c>
      <c r="H67" t="inlineStr">
        <is>
          <t>No</t>
        </is>
      </c>
      <c r="I67" t="inlineStr">
        <is>
          <t>1</t>
        </is>
      </c>
      <c r="J67" t="inlineStr">
        <is>
          <t>No</t>
        </is>
      </c>
      <c r="K67" t="inlineStr">
        <is>
          <t>No</t>
        </is>
      </c>
      <c r="L67" t="inlineStr">
        <is>
          <t>0</t>
        </is>
      </c>
      <c r="N67" t="inlineStr">
        <is>
          <t>Bethesda, Md. : American Physiological Society ; New York : Distributed by Oxford University Press, c1988.</t>
        </is>
      </c>
      <c r="O67" t="inlineStr">
        <is>
          <t>1988</t>
        </is>
      </c>
      <c r="Q67" t="inlineStr">
        <is>
          <t>eng</t>
        </is>
      </c>
      <c r="R67" t="inlineStr">
        <is>
          <t>mdu</t>
        </is>
      </c>
      <c r="T67" t="inlineStr">
        <is>
          <t xml:space="preserve">QP </t>
        </is>
      </c>
      <c r="U67" t="n">
        <v>4</v>
      </c>
      <c r="V67" t="n">
        <v>4</v>
      </c>
      <c r="W67" t="inlineStr">
        <is>
          <t>2007-02-24</t>
        </is>
      </c>
      <c r="X67" t="inlineStr">
        <is>
          <t>2007-02-24</t>
        </is>
      </c>
      <c r="Y67" t="inlineStr">
        <is>
          <t>1993-02-26</t>
        </is>
      </c>
      <c r="Z67" t="inlineStr">
        <is>
          <t>1993-02-26</t>
        </is>
      </c>
      <c r="AA67" t="n">
        <v>190</v>
      </c>
      <c r="AB67" t="n">
        <v>152</v>
      </c>
      <c r="AC67" t="n">
        <v>177</v>
      </c>
      <c r="AD67" t="n">
        <v>2</v>
      </c>
      <c r="AE67" t="n">
        <v>2</v>
      </c>
      <c r="AF67" t="n">
        <v>5</v>
      </c>
      <c r="AG67" t="n">
        <v>6</v>
      </c>
      <c r="AH67" t="n">
        <v>1</v>
      </c>
      <c r="AI67" t="n">
        <v>2</v>
      </c>
      <c r="AJ67" t="n">
        <v>1</v>
      </c>
      <c r="AK67" t="n">
        <v>1</v>
      </c>
      <c r="AL67" t="n">
        <v>3</v>
      </c>
      <c r="AM67" t="n">
        <v>4</v>
      </c>
      <c r="AN67" t="n">
        <v>1</v>
      </c>
      <c r="AO67" t="n">
        <v>1</v>
      </c>
      <c r="AP67" t="n">
        <v>0</v>
      </c>
      <c r="AQ67" t="n">
        <v>0</v>
      </c>
      <c r="AR67" t="inlineStr">
        <is>
          <t>No</t>
        </is>
      </c>
      <c r="AS67" t="inlineStr">
        <is>
          <t>Yes</t>
        </is>
      </c>
      <c r="AT67">
        <f>HYPERLINK("http://catalog.hathitrust.org/Record/000917536","HathiTrust Record")</f>
        <v/>
      </c>
      <c r="AU67">
        <f>HYPERLINK("https://creighton-primo.hosted.exlibrisgroup.com/primo-explore/search?tab=default_tab&amp;search_scope=EVERYTHING&amp;vid=01CRU&amp;lang=en_US&amp;offset=0&amp;query=any,contains,991001085929702656","Catalog Record")</f>
        <v/>
      </c>
      <c r="AV67">
        <f>HYPERLINK("http://www.worldcat.org/oclc/16129132","WorldCat Record")</f>
        <v/>
      </c>
      <c r="AW67" t="inlineStr">
        <is>
          <t>889404508:eng</t>
        </is>
      </c>
      <c r="AX67" t="inlineStr">
        <is>
          <t>16129132</t>
        </is>
      </c>
      <c r="AY67" t="inlineStr">
        <is>
          <t>991001085929702656</t>
        </is>
      </c>
      <c r="AZ67" t="inlineStr">
        <is>
          <t>991001085929702656</t>
        </is>
      </c>
      <c r="BA67" t="inlineStr">
        <is>
          <t>2269050050002656</t>
        </is>
      </c>
      <c r="BB67" t="inlineStr">
        <is>
          <t>BOOK</t>
        </is>
      </c>
      <c r="BD67" t="inlineStr">
        <is>
          <t>9780195207187</t>
        </is>
      </c>
      <c r="BE67" t="inlineStr">
        <is>
          <t>32285001560118</t>
        </is>
      </c>
      <c r="BF67" t="inlineStr">
        <is>
          <t>893885029</t>
        </is>
      </c>
    </row>
    <row r="68">
      <c r="B68" t="inlineStr">
        <is>
          <t>CURAL</t>
        </is>
      </c>
      <c r="C68" t="inlineStr">
        <is>
          <t>SHELVES</t>
        </is>
      </c>
      <c r="D68" t="inlineStr">
        <is>
          <t>QP187 .F68</t>
        </is>
      </c>
      <c r="E68" t="inlineStr">
        <is>
          <t>0                      QP 0187000F  68</t>
        </is>
      </c>
      <c r="F68" t="inlineStr">
        <is>
          <t>Biochemical endocrinology of the vertebrates [by] Earl Frieden [and] Harry Lipner.</t>
        </is>
      </c>
      <c r="H68" t="inlineStr">
        <is>
          <t>No</t>
        </is>
      </c>
      <c r="I68" t="inlineStr">
        <is>
          <t>1</t>
        </is>
      </c>
      <c r="J68" t="inlineStr">
        <is>
          <t>No</t>
        </is>
      </c>
      <c r="K68" t="inlineStr">
        <is>
          <t>No</t>
        </is>
      </c>
      <c r="L68" t="inlineStr">
        <is>
          <t>0</t>
        </is>
      </c>
      <c r="M68" t="inlineStr">
        <is>
          <t>Frieden, Earl.</t>
        </is>
      </c>
      <c r="N68" t="inlineStr">
        <is>
          <t>Englewood Cliffs, N.J., Prentice-Hall [1971]</t>
        </is>
      </c>
      <c r="O68" t="inlineStr">
        <is>
          <t>1971</t>
        </is>
      </c>
      <c r="Q68" t="inlineStr">
        <is>
          <t>eng</t>
        </is>
      </c>
      <c r="R68" t="inlineStr">
        <is>
          <t>nju</t>
        </is>
      </c>
      <c r="S68" t="inlineStr">
        <is>
          <t>Foundations of modern biochemistry series</t>
        </is>
      </c>
      <c r="T68" t="inlineStr">
        <is>
          <t xml:space="preserve">QP </t>
        </is>
      </c>
      <c r="U68" t="n">
        <v>1</v>
      </c>
      <c r="V68" t="n">
        <v>1</v>
      </c>
      <c r="W68" t="inlineStr">
        <is>
          <t>1997-12-05</t>
        </is>
      </c>
      <c r="X68" t="inlineStr">
        <is>
          <t>1997-12-05</t>
        </is>
      </c>
      <c r="Y68" t="inlineStr">
        <is>
          <t>1997-08-06</t>
        </is>
      </c>
      <c r="Z68" t="inlineStr">
        <is>
          <t>1997-08-06</t>
        </is>
      </c>
      <c r="AA68" t="n">
        <v>588</v>
      </c>
      <c r="AB68" t="n">
        <v>449</v>
      </c>
      <c r="AC68" t="n">
        <v>451</v>
      </c>
      <c r="AD68" t="n">
        <v>8</v>
      </c>
      <c r="AE68" t="n">
        <v>8</v>
      </c>
      <c r="AF68" t="n">
        <v>18</v>
      </c>
      <c r="AG68" t="n">
        <v>18</v>
      </c>
      <c r="AH68" t="n">
        <v>5</v>
      </c>
      <c r="AI68" t="n">
        <v>5</v>
      </c>
      <c r="AJ68" t="n">
        <v>2</v>
      </c>
      <c r="AK68" t="n">
        <v>2</v>
      </c>
      <c r="AL68" t="n">
        <v>9</v>
      </c>
      <c r="AM68" t="n">
        <v>9</v>
      </c>
      <c r="AN68" t="n">
        <v>6</v>
      </c>
      <c r="AO68" t="n">
        <v>6</v>
      </c>
      <c r="AP68" t="n">
        <v>0</v>
      </c>
      <c r="AQ68" t="n">
        <v>0</v>
      </c>
      <c r="AR68" t="inlineStr">
        <is>
          <t>No</t>
        </is>
      </c>
      <c r="AS68" t="inlineStr">
        <is>
          <t>Yes</t>
        </is>
      </c>
      <c r="AT68">
        <f>HYPERLINK("http://catalog.hathitrust.org/Record/001554068","HathiTrust Record")</f>
        <v/>
      </c>
      <c r="AU68">
        <f>HYPERLINK("https://creighton-primo.hosted.exlibrisgroup.com/primo-explore/search?tab=default_tab&amp;search_scope=EVERYTHING&amp;vid=01CRU&amp;lang=en_US&amp;offset=0&amp;query=any,contains,991005266449702656","Catalog Record")</f>
        <v/>
      </c>
      <c r="AV68">
        <f>HYPERLINK("http://www.worldcat.org/oclc/141979","WorldCat Record")</f>
        <v/>
      </c>
      <c r="AW68" t="inlineStr">
        <is>
          <t>1308572:eng</t>
        </is>
      </c>
      <c r="AX68" t="inlineStr">
        <is>
          <t>141979</t>
        </is>
      </c>
      <c r="AY68" t="inlineStr">
        <is>
          <t>991005266449702656</t>
        </is>
      </c>
      <c r="AZ68" t="inlineStr">
        <is>
          <t>991005266449702656</t>
        </is>
      </c>
      <c r="BA68" t="inlineStr">
        <is>
          <t>2254831180002656</t>
        </is>
      </c>
      <c r="BB68" t="inlineStr">
        <is>
          <t>BOOK</t>
        </is>
      </c>
      <c r="BD68" t="inlineStr">
        <is>
          <t>9780130764898</t>
        </is>
      </c>
      <c r="BE68" t="inlineStr">
        <is>
          <t>32285003012860</t>
        </is>
      </c>
      <c r="BF68" t="inlineStr">
        <is>
          <t>893338835</t>
        </is>
      </c>
    </row>
    <row r="69">
      <c r="B69" t="inlineStr">
        <is>
          <t>CURAL</t>
        </is>
      </c>
      <c r="C69" t="inlineStr">
        <is>
          <t>SHELVES</t>
        </is>
      </c>
      <c r="D69" t="inlineStr">
        <is>
          <t>QP187 .F795 1987</t>
        </is>
      </c>
      <c r="E69" t="inlineStr">
        <is>
          <t>0                      QP 0187000F  795         1987</t>
        </is>
      </c>
      <c r="F69" t="inlineStr">
        <is>
          <t>Fundamentals of comparative vertebrate endocrinology / edited by I. Chester-Jones and P.M. Ingleton and J.G. Phillips.</t>
        </is>
      </c>
      <c r="H69" t="inlineStr">
        <is>
          <t>No</t>
        </is>
      </c>
      <c r="I69" t="inlineStr">
        <is>
          <t>1</t>
        </is>
      </c>
      <c r="J69" t="inlineStr">
        <is>
          <t>No</t>
        </is>
      </c>
      <c r="K69" t="inlineStr">
        <is>
          <t>No</t>
        </is>
      </c>
      <c r="L69" t="inlineStr">
        <is>
          <t>0</t>
        </is>
      </c>
      <c r="N69" t="inlineStr">
        <is>
          <t>New York : Plenum Press, c1987.</t>
        </is>
      </c>
      <c r="O69" t="inlineStr">
        <is>
          <t>1987</t>
        </is>
      </c>
      <c r="Q69" t="inlineStr">
        <is>
          <t>eng</t>
        </is>
      </c>
      <c r="R69" t="inlineStr">
        <is>
          <t>nyu</t>
        </is>
      </c>
      <c r="T69" t="inlineStr">
        <is>
          <t xml:space="preserve">QP </t>
        </is>
      </c>
      <c r="U69" t="n">
        <v>5</v>
      </c>
      <c r="V69" t="n">
        <v>5</v>
      </c>
      <c r="W69" t="inlineStr">
        <is>
          <t>1996-01-08</t>
        </is>
      </c>
      <c r="X69" t="inlineStr">
        <is>
          <t>1996-01-08</t>
        </is>
      </c>
      <c r="Y69" t="inlineStr">
        <is>
          <t>1993-02-26</t>
        </is>
      </c>
      <c r="Z69" t="inlineStr">
        <is>
          <t>1993-02-26</t>
        </is>
      </c>
      <c r="AA69" t="n">
        <v>307</v>
      </c>
      <c r="AB69" t="n">
        <v>222</v>
      </c>
      <c r="AC69" t="n">
        <v>244</v>
      </c>
      <c r="AD69" t="n">
        <v>2</v>
      </c>
      <c r="AE69" t="n">
        <v>2</v>
      </c>
      <c r="AF69" t="n">
        <v>12</v>
      </c>
      <c r="AG69" t="n">
        <v>12</v>
      </c>
      <c r="AH69" t="n">
        <v>3</v>
      </c>
      <c r="AI69" t="n">
        <v>3</v>
      </c>
      <c r="AJ69" t="n">
        <v>4</v>
      </c>
      <c r="AK69" t="n">
        <v>4</v>
      </c>
      <c r="AL69" t="n">
        <v>8</v>
      </c>
      <c r="AM69" t="n">
        <v>8</v>
      </c>
      <c r="AN69" t="n">
        <v>1</v>
      </c>
      <c r="AO69" t="n">
        <v>1</v>
      </c>
      <c r="AP69" t="n">
        <v>0</v>
      </c>
      <c r="AQ69" t="n">
        <v>0</v>
      </c>
      <c r="AR69" t="inlineStr">
        <is>
          <t>No</t>
        </is>
      </c>
      <c r="AS69" t="inlineStr">
        <is>
          <t>Yes</t>
        </is>
      </c>
      <c r="AT69">
        <f>HYPERLINK("http://catalog.hathitrust.org/Record/000810842","HathiTrust Record")</f>
        <v/>
      </c>
      <c r="AU69">
        <f>HYPERLINK("https://creighton-primo.hosted.exlibrisgroup.com/primo-explore/search?tab=default_tab&amp;search_scope=EVERYTHING&amp;vid=01CRU&amp;lang=en_US&amp;offset=0&amp;query=any,contains,991000929329702656","Catalog Record")</f>
        <v/>
      </c>
      <c r="AV69">
        <f>HYPERLINK("http://www.worldcat.org/oclc/14243660","WorldCat Record")</f>
        <v/>
      </c>
      <c r="AW69" t="inlineStr">
        <is>
          <t>355395208:eng</t>
        </is>
      </c>
      <c r="AX69" t="inlineStr">
        <is>
          <t>14243660</t>
        </is>
      </c>
      <c r="AY69" t="inlineStr">
        <is>
          <t>991000929329702656</t>
        </is>
      </c>
      <c r="AZ69" t="inlineStr">
        <is>
          <t>991000929329702656</t>
        </is>
      </c>
      <c r="BA69" t="inlineStr">
        <is>
          <t>2267064960002656</t>
        </is>
      </c>
      <c r="BB69" t="inlineStr">
        <is>
          <t>BOOK</t>
        </is>
      </c>
      <c r="BD69" t="inlineStr">
        <is>
          <t>9780306423147</t>
        </is>
      </c>
      <c r="BE69" t="inlineStr">
        <is>
          <t>32285001560134</t>
        </is>
      </c>
      <c r="BF69" t="inlineStr">
        <is>
          <t>893784637</t>
        </is>
      </c>
    </row>
    <row r="70">
      <c r="B70" t="inlineStr">
        <is>
          <t>CURAL</t>
        </is>
      </c>
      <c r="C70" t="inlineStr">
        <is>
          <t>SHELVES</t>
        </is>
      </c>
      <c r="D70" t="inlineStr">
        <is>
          <t>QP187 .J4</t>
        </is>
      </c>
      <c r="E70" t="inlineStr">
        <is>
          <t>0                      QP 0187000J  4</t>
        </is>
      </c>
      <c r="F70" t="inlineStr">
        <is>
          <t>Animal hormones : a comparative survey / with a foreword by John E. Harris.</t>
        </is>
      </c>
      <c r="H70" t="inlineStr">
        <is>
          <t>Yes</t>
        </is>
      </c>
      <c r="I70" t="inlineStr">
        <is>
          <t>1</t>
        </is>
      </c>
      <c r="J70" t="inlineStr">
        <is>
          <t>Yes</t>
        </is>
      </c>
      <c r="K70" t="inlineStr">
        <is>
          <t>No</t>
        </is>
      </c>
      <c r="L70" t="inlineStr">
        <is>
          <t>0</t>
        </is>
      </c>
      <c r="M70" t="inlineStr">
        <is>
          <t>Jenkin, Penelope M.</t>
        </is>
      </c>
      <c r="N70" t="inlineStr">
        <is>
          <t>Oxford ; New York : Pergamon Press, 1962-[70]</t>
        </is>
      </c>
      <c r="O70" t="inlineStr">
        <is>
          <t>1962</t>
        </is>
      </c>
      <c r="Q70" t="inlineStr">
        <is>
          <t>eng</t>
        </is>
      </c>
      <c r="R70" t="inlineStr">
        <is>
          <t>enk</t>
        </is>
      </c>
      <c r="S70" t="inlineStr">
        <is>
          <t>International series of monographs on pure and applied biology. Division, Zoology ; v. 6</t>
        </is>
      </c>
      <c r="T70" t="inlineStr">
        <is>
          <t xml:space="preserve">QP </t>
        </is>
      </c>
      <c r="U70" t="n">
        <v>0</v>
      </c>
      <c r="V70" t="n">
        <v>1</v>
      </c>
      <c r="X70" t="inlineStr">
        <is>
          <t>2007-02-23</t>
        </is>
      </c>
      <c r="Y70" t="inlineStr">
        <is>
          <t>1997-12-30</t>
        </is>
      </c>
      <c r="Z70" t="inlineStr">
        <is>
          <t>1998-01-06</t>
        </is>
      </c>
      <c r="AA70" t="n">
        <v>461</v>
      </c>
      <c r="AB70" t="n">
        <v>381</v>
      </c>
      <c r="AC70" t="n">
        <v>438</v>
      </c>
      <c r="AD70" t="n">
        <v>6</v>
      </c>
      <c r="AE70" t="n">
        <v>6</v>
      </c>
      <c r="AF70" t="n">
        <v>19</v>
      </c>
      <c r="AG70" t="n">
        <v>21</v>
      </c>
      <c r="AH70" t="n">
        <v>4</v>
      </c>
      <c r="AI70" t="n">
        <v>5</v>
      </c>
      <c r="AJ70" t="n">
        <v>6</v>
      </c>
      <c r="AK70" t="n">
        <v>7</v>
      </c>
      <c r="AL70" t="n">
        <v>9</v>
      </c>
      <c r="AM70" t="n">
        <v>9</v>
      </c>
      <c r="AN70" t="n">
        <v>5</v>
      </c>
      <c r="AO70" t="n">
        <v>5</v>
      </c>
      <c r="AP70" t="n">
        <v>0</v>
      </c>
      <c r="AQ70" t="n">
        <v>0</v>
      </c>
      <c r="AR70" t="inlineStr">
        <is>
          <t>No</t>
        </is>
      </c>
      <c r="AS70" t="inlineStr">
        <is>
          <t>Yes</t>
        </is>
      </c>
      <c r="AT70">
        <f>HYPERLINK("http://catalog.hathitrust.org/Record/000776765","HathiTrust Record")</f>
        <v/>
      </c>
      <c r="AU70">
        <f>HYPERLINK("https://creighton-primo.hosted.exlibrisgroup.com/primo-explore/search?tab=default_tab&amp;search_scope=EVERYTHING&amp;vid=01CRU&amp;lang=en_US&amp;offset=0&amp;query=any,contains,991002166039702656","Catalog Record")</f>
        <v/>
      </c>
      <c r="AV70">
        <f>HYPERLINK("http://www.worldcat.org/oclc/275402","WorldCat Record")</f>
        <v/>
      </c>
      <c r="AW70" t="inlineStr">
        <is>
          <t>133517124:eng</t>
        </is>
      </c>
      <c r="AX70" t="inlineStr">
        <is>
          <t>275402</t>
        </is>
      </c>
      <c r="AY70" t="inlineStr">
        <is>
          <t>991002166039702656</t>
        </is>
      </c>
      <c r="AZ70" t="inlineStr">
        <is>
          <t>991002166039702656</t>
        </is>
      </c>
      <c r="BA70" t="inlineStr">
        <is>
          <t>2263325840002656</t>
        </is>
      </c>
      <c r="BB70" t="inlineStr">
        <is>
          <t>BOOK</t>
        </is>
      </c>
      <c r="BD70" t="inlineStr">
        <is>
          <t>9780080156484</t>
        </is>
      </c>
      <c r="BE70" t="inlineStr">
        <is>
          <t>32285003300547</t>
        </is>
      </c>
      <c r="BF70" t="inlineStr">
        <is>
          <t>893510380</t>
        </is>
      </c>
    </row>
    <row r="71">
      <c r="B71" t="inlineStr">
        <is>
          <t>CURAL</t>
        </is>
      </c>
      <c r="C71" t="inlineStr">
        <is>
          <t>SHELVES</t>
        </is>
      </c>
      <c r="D71" t="inlineStr">
        <is>
          <t>QP187 .J4 PT.2</t>
        </is>
      </c>
      <c r="E71" t="inlineStr">
        <is>
          <t>0                      QP 0187000J  4                                                       PT.2</t>
        </is>
      </c>
      <c r="F71" t="inlineStr">
        <is>
          <t>Animal hormones : a comparative survey / with a foreword by John E. Harris.</t>
        </is>
      </c>
      <c r="G71" t="inlineStr">
        <is>
          <t>PT.2*</t>
        </is>
      </c>
      <c r="H71" t="inlineStr">
        <is>
          <t>Yes</t>
        </is>
      </c>
      <c r="I71" t="inlineStr">
        <is>
          <t>1</t>
        </is>
      </c>
      <c r="J71" t="inlineStr">
        <is>
          <t>No</t>
        </is>
      </c>
      <c r="K71" t="inlineStr">
        <is>
          <t>No</t>
        </is>
      </c>
      <c r="L71" t="inlineStr">
        <is>
          <t>0</t>
        </is>
      </c>
      <c r="M71" t="inlineStr">
        <is>
          <t>Jenkin, Penelope M.</t>
        </is>
      </c>
      <c r="N71" t="inlineStr">
        <is>
          <t>Oxford ; New York : Pergamon Press, 1962-[70]</t>
        </is>
      </c>
      <c r="O71" t="inlineStr">
        <is>
          <t>1962</t>
        </is>
      </c>
      <c r="Q71" t="inlineStr">
        <is>
          <t>eng</t>
        </is>
      </c>
      <c r="R71" t="inlineStr">
        <is>
          <t>enk</t>
        </is>
      </c>
      <c r="S71" t="inlineStr">
        <is>
          <t>International series of monographs on pure and applied biology. Division, Zoology ; v. 6</t>
        </is>
      </c>
      <c r="T71" t="inlineStr">
        <is>
          <t xml:space="preserve">QP </t>
        </is>
      </c>
      <c r="U71" t="n">
        <v>1</v>
      </c>
      <c r="V71" t="n">
        <v>1</v>
      </c>
      <c r="W71" t="inlineStr">
        <is>
          <t>2007-02-23</t>
        </is>
      </c>
      <c r="X71" t="inlineStr">
        <is>
          <t>2007-02-23</t>
        </is>
      </c>
      <c r="Y71" t="inlineStr">
        <is>
          <t>1998-01-06</t>
        </is>
      </c>
      <c r="Z71" t="inlineStr">
        <is>
          <t>1998-01-06</t>
        </is>
      </c>
      <c r="AA71" t="n">
        <v>461</v>
      </c>
      <c r="AB71" t="n">
        <v>381</v>
      </c>
      <c r="AC71" t="n">
        <v>438</v>
      </c>
      <c r="AD71" t="n">
        <v>6</v>
      </c>
      <c r="AE71" t="n">
        <v>6</v>
      </c>
      <c r="AF71" t="n">
        <v>19</v>
      </c>
      <c r="AG71" t="n">
        <v>21</v>
      </c>
      <c r="AH71" t="n">
        <v>4</v>
      </c>
      <c r="AI71" t="n">
        <v>5</v>
      </c>
      <c r="AJ71" t="n">
        <v>6</v>
      </c>
      <c r="AK71" t="n">
        <v>7</v>
      </c>
      <c r="AL71" t="n">
        <v>9</v>
      </c>
      <c r="AM71" t="n">
        <v>9</v>
      </c>
      <c r="AN71" t="n">
        <v>5</v>
      </c>
      <c r="AO71" t="n">
        <v>5</v>
      </c>
      <c r="AP71" t="n">
        <v>0</v>
      </c>
      <c r="AQ71" t="n">
        <v>0</v>
      </c>
      <c r="AR71" t="inlineStr">
        <is>
          <t>No</t>
        </is>
      </c>
      <c r="AS71" t="inlineStr">
        <is>
          <t>Yes</t>
        </is>
      </c>
      <c r="AT71">
        <f>HYPERLINK("http://catalog.hathitrust.org/Record/000776765","HathiTrust Record")</f>
        <v/>
      </c>
      <c r="AU71">
        <f>HYPERLINK("https://creighton-primo.hosted.exlibrisgroup.com/primo-explore/search?tab=default_tab&amp;search_scope=EVERYTHING&amp;vid=01CRU&amp;lang=en_US&amp;offset=0&amp;query=any,contains,991002166039702656","Catalog Record")</f>
        <v/>
      </c>
      <c r="AV71">
        <f>HYPERLINK("http://www.worldcat.org/oclc/275402","WorldCat Record")</f>
        <v/>
      </c>
      <c r="AW71" t="inlineStr">
        <is>
          <t>133517124:eng</t>
        </is>
      </c>
      <c r="AX71" t="inlineStr">
        <is>
          <t>275402</t>
        </is>
      </c>
      <c r="AY71" t="inlineStr">
        <is>
          <t>991002166039702656</t>
        </is>
      </c>
      <c r="AZ71" t="inlineStr">
        <is>
          <t>991002166039702656</t>
        </is>
      </c>
      <c r="BA71" t="inlineStr">
        <is>
          <t>2263325840002656</t>
        </is>
      </c>
      <c r="BB71" t="inlineStr">
        <is>
          <t>BOOK</t>
        </is>
      </c>
      <c r="BD71" t="inlineStr">
        <is>
          <t>9780080156484</t>
        </is>
      </c>
      <c r="BE71" t="inlineStr">
        <is>
          <t>32285003306130</t>
        </is>
      </c>
      <c r="BF71" t="inlineStr">
        <is>
          <t>893504085</t>
        </is>
      </c>
    </row>
    <row r="72">
      <c r="B72" t="inlineStr">
        <is>
          <t>CURAL</t>
        </is>
      </c>
      <c r="C72" t="inlineStr">
        <is>
          <t>SHELVES</t>
        </is>
      </c>
      <c r="D72" t="inlineStr">
        <is>
          <t>QP187 .M346 1985</t>
        </is>
      </c>
      <c r="E72" t="inlineStr">
        <is>
          <t>0                      QP 0187000M  346         1985</t>
        </is>
      </c>
      <c r="F72" t="inlineStr">
        <is>
          <t>Endocrine physiology / Constance R. Martin.</t>
        </is>
      </c>
      <c r="H72" t="inlineStr">
        <is>
          <t>No</t>
        </is>
      </c>
      <c r="I72" t="inlineStr">
        <is>
          <t>1</t>
        </is>
      </c>
      <c r="J72" t="inlineStr">
        <is>
          <t>No</t>
        </is>
      </c>
      <c r="K72" t="inlineStr">
        <is>
          <t>No</t>
        </is>
      </c>
      <c r="L72" t="inlineStr">
        <is>
          <t>0</t>
        </is>
      </c>
      <c r="M72" t="inlineStr">
        <is>
          <t>Martin, Constance R.</t>
        </is>
      </c>
      <c r="N72" t="inlineStr">
        <is>
          <t>New York : Oxford University Press, 1985.</t>
        </is>
      </c>
      <c r="O72" t="inlineStr">
        <is>
          <t>1985</t>
        </is>
      </c>
      <c r="Q72" t="inlineStr">
        <is>
          <t>eng</t>
        </is>
      </c>
      <c r="R72" t="inlineStr">
        <is>
          <t>nyu</t>
        </is>
      </c>
      <c r="T72" t="inlineStr">
        <is>
          <t xml:space="preserve">QP </t>
        </is>
      </c>
      <c r="U72" t="n">
        <v>12</v>
      </c>
      <c r="V72" t="n">
        <v>12</v>
      </c>
      <c r="W72" t="inlineStr">
        <is>
          <t>2007-02-23</t>
        </is>
      </c>
      <c r="X72" t="inlineStr">
        <is>
          <t>2007-02-23</t>
        </is>
      </c>
      <c r="Y72" t="inlineStr">
        <is>
          <t>1992-05-07</t>
        </is>
      </c>
      <c r="Z72" t="inlineStr">
        <is>
          <t>1992-05-07</t>
        </is>
      </c>
      <c r="AA72" t="n">
        <v>536</v>
      </c>
      <c r="AB72" t="n">
        <v>445</v>
      </c>
      <c r="AC72" t="n">
        <v>449</v>
      </c>
      <c r="AD72" t="n">
        <v>5</v>
      </c>
      <c r="AE72" t="n">
        <v>5</v>
      </c>
      <c r="AF72" t="n">
        <v>22</v>
      </c>
      <c r="AG72" t="n">
        <v>22</v>
      </c>
      <c r="AH72" t="n">
        <v>8</v>
      </c>
      <c r="AI72" t="n">
        <v>8</v>
      </c>
      <c r="AJ72" t="n">
        <v>5</v>
      </c>
      <c r="AK72" t="n">
        <v>5</v>
      </c>
      <c r="AL72" t="n">
        <v>12</v>
      </c>
      <c r="AM72" t="n">
        <v>12</v>
      </c>
      <c r="AN72" t="n">
        <v>4</v>
      </c>
      <c r="AO72" t="n">
        <v>4</v>
      </c>
      <c r="AP72" t="n">
        <v>0</v>
      </c>
      <c r="AQ72" t="n">
        <v>0</v>
      </c>
      <c r="AR72" t="inlineStr">
        <is>
          <t>No</t>
        </is>
      </c>
      <c r="AS72" t="inlineStr">
        <is>
          <t>Yes</t>
        </is>
      </c>
      <c r="AT72">
        <f>HYPERLINK("http://catalog.hathitrust.org/Record/000614161","HathiTrust Record")</f>
        <v/>
      </c>
      <c r="AU72">
        <f>HYPERLINK("https://creighton-primo.hosted.exlibrisgroup.com/primo-explore/search?tab=default_tab&amp;search_scope=EVERYTHING&amp;vid=01CRU&amp;lang=en_US&amp;offset=0&amp;query=any,contains,991000404289702656","Catalog Record")</f>
        <v/>
      </c>
      <c r="AV72">
        <f>HYPERLINK("http://www.worldcat.org/oclc/10660082","WorldCat Record")</f>
        <v/>
      </c>
      <c r="AW72" t="inlineStr">
        <is>
          <t>2942335:eng</t>
        </is>
      </c>
      <c r="AX72" t="inlineStr">
        <is>
          <t>10660082</t>
        </is>
      </c>
      <c r="AY72" t="inlineStr">
        <is>
          <t>991000404289702656</t>
        </is>
      </c>
      <c r="AZ72" t="inlineStr">
        <is>
          <t>991000404289702656</t>
        </is>
      </c>
      <c r="BA72" t="inlineStr">
        <is>
          <t>2272551310002656</t>
        </is>
      </c>
      <c r="BB72" t="inlineStr">
        <is>
          <t>BOOK</t>
        </is>
      </c>
      <c r="BD72" t="inlineStr">
        <is>
          <t>9780195033595</t>
        </is>
      </c>
      <c r="BE72" t="inlineStr">
        <is>
          <t>32285001105559</t>
        </is>
      </c>
      <c r="BF72" t="inlineStr">
        <is>
          <t>893237279</t>
        </is>
      </c>
    </row>
    <row r="73">
      <c r="B73" t="inlineStr">
        <is>
          <t>CURAL</t>
        </is>
      </c>
      <c r="C73" t="inlineStr">
        <is>
          <t>SHELVES</t>
        </is>
      </c>
      <c r="D73" t="inlineStr">
        <is>
          <t>QP187 .V564 1986, v...</t>
        </is>
      </c>
      <c r="E73" t="inlineStr">
        <is>
          <t>0                      QP 0187000V  564         1986                                        v...</t>
        </is>
      </c>
      <c r="F73" t="inlineStr">
        <is>
          <t>Vertebrate endocrinology : fundamentals and biomedical implications / edited by Peter K.T. Pang, Martin P. Schreibman.</t>
        </is>
      </c>
      <c r="G73" t="inlineStr">
        <is>
          <t>V.2</t>
        </is>
      </c>
      <c r="H73" t="inlineStr">
        <is>
          <t>Yes</t>
        </is>
      </c>
      <c r="I73" t="inlineStr">
        <is>
          <t>1</t>
        </is>
      </c>
      <c r="J73" t="inlineStr">
        <is>
          <t>No</t>
        </is>
      </c>
      <c r="K73" t="inlineStr">
        <is>
          <t>No</t>
        </is>
      </c>
      <c r="L73" t="inlineStr">
        <is>
          <t>0</t>
        </is>
      </c>
      <c r="N73" t="inlineStr">
        <is>
          <t>Orlando : Academic Press, 1986-</t>
        </is>
      </c>
      <c r="O73" t="inlineStr">
        <is>
          <t>1986</t>
        </is>
      </c>
      <c r="Q73" t="inlineStr">
        <is>
          <t>eng</t>
        </is>
      </c>
      <c r="R73" t="inlineStr">
        <is>
          <t>flu</t>
        </is>
      </c>
      <c r="T73" t="inlineStr">
        <is>
          <t xml:space="preserve">QP </t>
        </is>
      </c>
      <c r="U73" t="n">
        <v>5</v>
      </c>
      <c r="V73" t="n">
        <v>9</v>
      </c>
      <c r="W73" t="inlineStr">
        <is>
          <t>1999-12-02</t>
        </is>
      </c>
      <c r="X73" t="inlineStr">
        <is>
          <t>1999-12-02</t>
        </is>
      </c>
      <c r="Y73" t="inlineStr">
        <is>
          <t>1993-02-26</t>
        </is>
      </c>
      <c r="Z73" t="inlineStr">
        <is>
          <t>1993-02-26</t>
        </is>
      </c>
      <c r="AA73" t="n">
        <v>328</v>
      </c>
      <c r="AB73" t="n">
        <v>278</v>
      </c>
      <c r="AC73" t="n">
        <v>319</v>
      </c>
      <c r="AD73" t="n">
        <v>2</v>
      </c>
      <c r="AE73" t="n">
        <v>2</v>
      </c>
      <c r="AF73" t="n">
        <v>10</v>
      </c>
      <c r="AG73" t="n">
        <v>13</v>
      </c>
      <c r="AH73" t="n">
        <v>4</v>
      </c>
      <c r="AI73" t="n">
        <v>5</v>
      </c>
      <c r="AJ73" t="n">
        <v>3</v>
      </c>
      <c r="AK73" t="n">
        <v>5</v>
      </c>
      <c r="AL73" t="n">
        <v>5</v>
      </c>
      <c r="AM73" t="n">
        <v>6</v>
      </c>
      <c r="AN73" t="n">
        <v>1</v>
      </c>
      <c r="AO73" t="n">
        <v>1</v>
      </c>
      <c r="AP73" t="n">
        <v>0</v>
      </c>
      <c r="AQ73" t="n">
        <v>0</v>
      </c>
      <c r="AR73" t="inlineStr">
        <is>
          <t>No</t>
        </is>
      </c>
      <c r="AS73" t="inlineStr">
        <is>
          <t>Yes</t>
        </is>
      </c>
      <c r="AT73">
        <f>HYPERLINK("http://catalog.hathitrust.org/Record/000594442","HathiTrust Record")</f>
        <v/>
      </c>
      <c r="AU73">
        <f>HYPERLINK("https://creighton-primo.hosted.exlibrisgroup.com/primo-explore/search?tab=default_tab&amp;search_scope=EVERYTHING&amp;vid=01CRU&amp;lang=en_US&amp;offset=0&amp;query=any,contains,991000849859702656","Catalog Record")</f>
        <v/>
      </c>
      <c r="AV73">
        <f>HYPERLINK("http://www.worldcat.org/oclc/13581724","WorldCat Record")</f>
        <v/>
      </c>
      <c r="AW73" t="inlineStr">
        <is>
          <t>5090355850:eng</t>
        </is>
      </c>
      <c r="AX73" t="inlineStr">
        <is>
          <t>13581724</t>
        </is>
      </c>
      <c r="AY73" t="inlineStr">
        <is>
          <t>991000849859702656</t>
        </is>
      </c>
      <c r="AZ73" t="inlineStr">
        <is>
          <t>991000849859702656</t>
        </is>
      </c>
      <c r="BA73" t="inlineStr">
        <is>
          <t>2259664500002656</t>
        </is>
      </c>
      <c r="BB73" t="inlineStr">
        <is>
          <t>BOOK</t>
        </is>
      </c>
      <c r="BD73" t="inlineStr">
        <is>
          <t>9780125449014</t>
        </is>
      </c>
      <c r="BE73" t="inlineStr">
        <is>
          <t>32285001560191</t>
        </is>
      </c>
      <c r="BF73" t="inlineStr">
        <is>
          <t>893772032</t>
        </is>
      </c>
    </row>
    <row r="74">
      <c r="B74" t="inlineStr">
        <is>
          <t>CURAL</t>
        </is>
      </c>
      <c r="C74" t="inlineStr">
        <is>
          <t>SHELVES</t>
        </is>
      </c>
      <c r="D74" t="inlineStr">
        <is>
          <t>QP187 .V564 1986, v...</t>
        </is>
      </c>
      <c r="E74" t="inlineStr">
        <is>
          <t>0                      QP 0187000V  564         1986                                        v...</t>
        </is>
      </c>
      <c r="F74" t="inlineStr">
        <is>
          <t>Vertebrate endocrinology : fundamentals and biomedical implications / edited by Peter K.T. Pang, Martin P. Schreibman.</t>
        </is>
      </c>
      <c r="G74" t="inlineStr">
        <is>
          <t>V.1</t>
        </is>
      </c>
      <c r="H74" t="inlineStr">
        <is>
          <t>Yes</t>
        </is>
      </c>
      <c r="I74" t="inlineStr">
        <is>
          <t>1</t>
        </is>
      </c>
      <c r="J74" t="inlineStr">
        <is>
          <t>No</t>
        </is>
      </c>
      <c r="K74" t="inlineStr">
        <is>
          <t>No</t>
        </is>
      </c>
      <c r="L74" t="inlineStr">
        <is>
          <t>0</t>
        </is>
      </c>
      <c r="N74" t="inlineStr">
        <is>
          <t>Orlando : Academic Press, 1986-</t>
        </is>
      </c>
      <c r="O74" t="inlineStr">
        <is>
          <t>1986</t>
        </is>
      </c>
      <c r="Q74" t="inlineStr">
        <is>
          <t>eng</t>
        </is>
      </c>
      <c r="R74" t="inlineStr">
        <is>
          <t>flu</t>
        </is>
      </c>
      <c r="T74" t="inlineStr">
        <is>
          <t xml:space="preserve">QP </t>
        </is>
      </c>
      <c r="U74" t="n">
        <v>4</v>
      </c>
      <c r="V74" t="n">
        <v>9</v>
      </c>
      <c r="W74" t="inlineStr">
        <is>
          <t>1999-12-02</t>
        </is>
      </c>
      <c r="X74" t="inlineStr">
        <is>
          <t>1999-12-02</t>
        </is>
      </c>
      <c r="Y74" t="inlineStr">
        <is>
          <t>1993-02-26</t>
        </is>
      </c>
      <c r="Z74" t="inlineStr">
        <is>
          <t>1993-02-26</t>
        </is>
      </c>
      <c r="AA74" t="n">
        <v>328</v>
      </c>
      <c r="AB74" t="n">
        <v>278</v>
      </c>
      <c r="AC74" t="n">
        <v>319</v>
      </c>
      <c r="AD74" t="n">
        <v>2</v>
      </c>
      <c r="AE74" t="n">
        <v>2</v>
      </c>
      <c r="AF74" t="n">
        <v>10</v>
      </c>
      <c r="AG74" t="n">
        <v>13</v>
      </c>
      <c r="AH74" t="n">
        <v>4</v>
      </c>
      <c r="AI74" t="n">
        <v>5</v>
      </c>
      <c r="AJ74" t="n">
        <v>3</v>
      </c>
      <c r="AK74" t="n">
        <v>5</v>
      </c>
      <c r="AL74" t="n">
        <v>5</v>
      </c>
      <c r="AM74" t="n">
        <v>6</v>
      </c>
      <c r="AN74" t="n">
        <v>1</v>
      </c>
      <c r="AO74" t="n">
        <v>1</v>
      </c>
      <c r="AP74" t="n">
        <v>0</v>
      </c>
      <c r="AQ74" t="n">
        <v>0</v>
      </c>
      <c r="AR74" t="inlineStr">
        <is>
          <t>No</t>
        </is>
      </c>
      <c r="AS74" t="inlineStr">
        <is>
          <t>Yes</t>
        </is>
      </c>
      <c r="AT74">
        <f>HYPERLINK("http://catalog.hathitrust.org/Record/000594442","HathiTrust Record")</f>
        <v/>
      </c>
      <c r="AU74">
        <f>HYPERLINK("https://creighton-primo.hosted.exlibrisgroup.com/primo-explore/search?tab=default_tab&amp;search_scope=EVERYTHING&amp;vid=01CRU&amp;lang=en_US&amp;offset=0&amp;query=any,contains,991000849859702656","Catalog Record")</f>
        <v/>
      </c>
      <c r="AV74">
        <f>HYPERLINK("http://www.worldcat.org/oclc/13581724","WorldCat Record")</f>
        <v/>
      </c>
      <c r="AW74" t="inlineStr">
        <is>
          <t>5090355850:eng</t>
        </is>
      </c>
      <c r="AX74" t="inlineStr">
        <is>
          <t>13581724</t>
        </is>
      </c>
      <c r="AY74" t="inlineStr">
        <is>
          <t>991000849859702656</t>
        </is>
      </c>
      <c r="AZ74" t="inlineStr">
        <is>
          <t>991000849859702656</t>
        </is>
      </c>
      <c r="BA74" t="inlineStr">
        <is>
          <t>2259664500002656</t>
        </is>
      </c>
      <c r="BB74" t="inlineStr">
        <is>
          <t>BOOK</t>
        </is>
      </c>
      <c r="BD74" t="inlineStr">
        <is>
          <t>9780125449014</t>
        </is>
      </c>
      <c r="BE74" t="inlineStr">
        <is>
          <t>32285001560183</t>
        </is>
      </c>
      <c r="BF74" t="inlineStr">
        <is>
          <t>893797041</t>
        </is>
      </c>
    </row>
    <row r="75">
      <c r="B75" t="inlineStr">
        <is>
          <t>CURAL</t>
        </is>
      </c>
      <c r="C75" t="inlineStr">
        <is>
          <t>SHELVES</t>
        </is>
      </c>
      <c r="D75" t="inlineStr">
        <is>
          <t>QP187 .Z38 1964</t>
        </is>
      </c>
      <c r="E75" t="inlineStr">
        <is>
          <t>0                      QP 0187000Z  38          1964</t>
        </is>
      </c>
      <c r="F75" t="inlineStr">
        <is>
          <t>Experimental endocrinology, a sourcebook of basic techniques, by M.X. Zarrow, J.M. Yochim [and] J.L. McCarthy. With a chapter on invertebrate hormones, by R.C. Sanborn.</t>
        </is>
      </c>
      <c r="H75" t="inlineStr">
        <is>
          <t>No</t>
        </is>
      </c>
      <c r="I75" t="inlineStr">
        <is>
          <t>1</t>
        </is>
      </c>
      <c r="J75" t="inlineStr">
        <is>
          <t>No</t>
        </is>
      </c>
      <c r="K75" t="inlineStr">
        <is>
          <t>No</t>
        </is>
      </c>
      <c r="L75" t="inlineStr">
        <is>
          <t>0</t>
        </is>
      </c>
      <c r="M75" t="inlineStr">
        <is>
          <t>Zarrow, M. X.</t>
        </is>
      </c>
      <c r="N75" t="inlineStr">
        <is>
          <t>New York, Academic Press, 1964.</t>
        </is>
      </c>
      <c r="O75" t="inlineStr">
        <is>
          <t>1964</t>
        </is>
      </c>
      <c r="Q75" t="inlineStr">
        <is>
          <t>eng</t>
        </is>
      </c>
      <c r="R75" t="inlineStr">
        <is>
          <t>nyu</t>
        </is>
      </c>
      <c r="T75" t="inlineStr">
        <is>
          <t xml:space="preserve">QP </t>
        </is>
      </c>
      <c r="U75" t="n">
        <v>1</v>
      </c>
      <c r="V75" t="n">
        <v>1</v>
      </c>
      <c r="W75" t="inlineStr">
        <is>
          <t>1997-12-05</t>
        </is>
      </c>
      <c r="X75" t="inlineStr">
        <is>
          <t>1997-12-05</t>
        </is>
      </c>
      <c r="Y75" t="inlineStr">
        <is>
          <t>1997-08-06</t>
        </is>
      </c>
      <c r="Z75" t="inlineStr">
        <is>
          <t>1997-08-06</t>
        </is>
      </c>
      <c r="AA75" t="n">
        <v>477</v>
      </c>
      <c r="AB75" t="n">
        <v>369</v>
      </c>
      <c r="AC75" t="n">
        <v>427</v>
      </c>
      <c r="AD75" t="n">
        <v>6</v>
      </c>
      <c r="AE75" t="n">
        <v>6</v>
      </c>
      <c r="AF75" t="n">
        <v>16</v>
      </c>
      <c r="AG75" t="n">
        <v>19</v>
      </c>
      <c r="AH75" t="n">
        <v>5</v>
      </c>
      <c r="AI75" t="n">
        <v>7</v>
      </c>
      <c r="AJ75" t="n">
        <v>4</v>
      </c>
      <c r="AK75" t="n">
        <v>6</v>
      </c>
      <c r="AL75" t="n">
        <v>6</v>
      </c>
      <c r="AM75" t="n">
        <v>6</v>
      </c>
      <c r="AN75" t="n">
        <v>4</v>
      </c>
      <c r="AO75" t="n">
        <v>4</v>
      </c>
      <c r="AP75" t="n">
        <v>0</v>
      </c>
      <c r="AQ75" t="n">
        <v>0</v>
      </c>
      <c r="AR75" t="inlineStr">
        <is>
          <t>No</t>
        </is>
      </c>
      <c r="AS75" t="inlineStr">
        <is>
          <t>Yes</t>
        </is>
      </c>
      <c r="AT75">
        <f>HYPERLINK("http://catalog.hathitrust.org/Record/001554105","HathiTrust Record")</f>
        <v/>
      </c>
      <c r="AU75">
        <f>HYPERLINK("https://creighton-primo.hosted.exlibrisgroup.com/primo-explore/search?tab=default_tab&amp;search_scope=EVERYTHING&amp;vid=01CRU&amp;lang=en_US&amp;offset=0&amp;query=any,contains,991005266589702656","Catalog Record")</f>
        <v/>
      </c>
      <c r="AV75">
        <f>HYPERLINK("http://www.worldcat.org/oclc/556850","WorldCat Record")</f>
        <v/>
      </c>
      <c r="AW75" t="inlineStr">
        <is>
          <t>289243326:eng</t>
        </is>
      </c>
      <c r="AX75" t="inlineStr">
        <is>
          <t>556850</t>
        </is>
      </c>
      <c r="AY75" t="inlineStr">
        <is>
          <t>991005266589702656</t>
        </is>
      </c>
      <c r="AZ75" t="inlineStr">
        <is>
          <t>991005266589702656</t>
        </is>
      </c>
      <c r="BA75" t="inlineStr">
        <is>
          <t>2259934540002656</t>
        </is>
      </c>
      <c r="BB75" t="inlineStr">
        <is>
          <t>BOOK</t>
        </is>
      </c>
      <c r="BE75" t="inlineStr">
        <is>
          <t>32285003012944</t>
        </is>
      </c>
      <c r="BF75" t="inlineStr">
        <is>
          <t>893695041</t>
        </is>
      </c>
    </row>
    <row r="76">
      <c r="B76" t="inlineStr">
        <is>
          <t>CURAL</t>
        </is>
      </c>
      <c r="C76" t="inlineStr">
        <is>
          <t>SHELVES</t>
        </is>
      </c>
      <c r="D76" t="inlineStr">
        <is>
          <t>QP187.3.A34 H67 1995</t>
        </is>
      </c>
      <c r="E76" t="inlineStr">
        <is>
          <t>0                      QP 0187300A  34                 H  67          1995</t>
        </is>
      </c>
      <c r="F76" t="inlineStr">
        <is>
          <t>Hormones and aging / edited by Paola S. Timiras, Wilbur B. Quay, Antonia Vernadakis.</t>
        </is>
      </c>
      <c r="H76" t="inlineStr">
        <is>
          <t>No</t>
        </is>
      </c>
      <c r="I76" t="inlineStr">
        <is>
          <t>1</t>
        </is>
      </c>
      <c r="J76" t="inlineStr">
        <is>
          <t>No</t>
        </is>
      </c>
      <c r="K76" t="inlineStr">
        <is>
          <t>No</t>
        </is>
      </c>
      <c r="L76" t="inlineStr">
        <is>
          <t>0</t>
        </is>
      </c>
      <c r="N76" t="inlineStr">
        <is>
          <t>Boca Raton, Fla. : CRC Press, c1995.</t>
        </is>
      </c>
      <c r="O76" t="inlineStr">
        <is>
          <t>1995</t>
        </is>
      </c>
      <c r="Q76" t="inlineStr">
        <is>
          <t>eng</t>
        </is>
      </c>
      <c r="R76" t="inlineStr">
        <is>
          <t>flu</t>
        </is>
      </c>
      <c r="T76" t="inlineStr">
        <is>
          <t xml:space="preserve">QP </t>
        </is>
      </c>
      <c r="U76" t="n">
        <v>10</v>
      </c>
      <c r="V76" t="n">
        <v>10</v>
      </c>
      <c r="W76" t="inlineStr">
        <is>
          <t>2005-10-05</t>
        </is>
      </c>
      <c r="X76" t="inlineStr">
        <is>
          <t>2005-10-05</t>
        </is>
      </c>
      <c r="Y76" t="inlineStr">
        <is>
          <t>1996-09-26</t>
        </is>
      </c>
      <c r="Z76" t="inlineStr">
        <is>
          <t>1996-09-26</t>
        </is>
      </c>
      <c r="AA76" t="n">
        <v>195</v>
      </c>
      <c r="AB76" t="n">
        <v>165</v>
      </c>
      <c r="AC76" t="n">
        <v>170</v>
      </c>
      <c r="AD76" t="n">
        <v>2</v>
      </c>
      <c r="AE76" t="n">
        <v>2</v>
      </c>
      <c r="AF76" t="n">
        <v>7</v>
      </c>
      <c r="AG76" t="n">
        <v>7</v>
      </c>
      <c r="AH76" t="n">
        <v>2</v>
      </c>
      <c r="AI76" t="n">
        <v>2</v>
      </c>
      <c r="AJ76" t="n">
        <v>1</v>
      </c>
      <c r="AK76" t="n">
        <v>1</v>
      </c>
      <c r="AL76" t="n">
        <v>4</v>
      </c>
      <c r="AM76" t="n">
        <v>4</v>
      </c>
      <c r="AN76" t="n">
        <v>1</v>
      </c>
      <c r="AO76" t="n">
        <v>1</v>
      </c>
      <c r="AP76" t="n">
        <v>0</v>
      </c>
      <c r="AQ76" t="n">
        <v>0</v>
      </c>
      <c r="AR76" t="inlineStr">
        <is>
          <t>No</t>
        </is>
      </c>
      <c r="AS76" t="inlineStr">
        <is>
          <t>No</t>
        </is>
      </c>
      <c r="AU76">
        <f>HYPERLINK("https://creighton-primo.hosted.exlibrisgroup.com/primo-explore/search?tab=default_tab&amp;search_scope=EVERYTHING&amp;vid=01CRU&amp;lang=en_US&amp;offset=0&amp;query=any,contains,991002403319702656","Catalog Record")</f>
        <v/>
      </c>
      <c r="AV76">
        <f>HYPERLINK("http://www.worldcat.org/oclc/31242894","WorldCat Record")</f>
        <v/>
      </c>
      <c r="AW76" t="inlineStr">
        <is>
          <t>355770494:eng</t>
        </is>
      </c>
      <c r="AX76" t="inlineStr">
        <is>
          <t>31242894</t>
        </is>
      </c>
      <c r="AY76" t="inlineStr">
        <is>
          <t>991002403319702656</t>
        </is>
      </c>
      <c r="AZ76" t="inlineStr">
        <is>
          <t>991002403319702656</t>
        </is>
      </c>
      <c r="BA76" t="inlineStr">
        <is>
          <t>2271964020002656</t>
        </is>
      </c>
      <c r="BB76" t="inlineStr">
        <is>
          <t>BOOK</t>
        </is>
      </c>
      <c r="BD76" t="inlineStr">
        <is>
          <t>9780849324468</t>
        </is>
      </c>
      <c r="BE76" t="inlineStr">
        <is>
          <t>32285002320082</t>
        </is>
      </c>
      <c r="BF76" t="inlineStr">
        <is>
          <t>893316774</t>
        </is>
      </c>
    </row>
    <row r="77">
      <c r="B77" t="inlineStr">
        <is>
          <t>CURAL</t>
        </is>
      </c>
      <c r="C77" t="inlineStr">
        <is>
          <t>SHELVES</t>
        </is>
      </c>
      <c r="D77" t="inlineStr">
        <is>
          <t>QP187.3.C44 C44 1988</t>
        </is>
      </c>
      <c r="E77" t="inlineStr">
        <is>
          <t>0                      QP 0187300C  44                 C  44          1988</t>
        </is>
      </c>
      <c r="F77" t="inlineStr">
        <is>
          <t>Cell to cell communication in endocrinology / editors, F. Piva ... [et al.].</t>
        </is>
      </c>
      <c r="H77" t="inlineStr">
        <is>
          <t>No</t>
        </is>
      </c>
      <c r="I77" t="inlineStr">
        <is>
          <t>1</t>
        </is>
      </c>
      <c r="J77" t="inlineStr">
        <is>
          <t>No</t>
        </is>
      </c>
      <c r="K77" t="inlineStr">
        <is>
          <t>No</t>
        </is>
      </c>
      <c r="L77" t="inlineStr">
        <is>
          <t>0</t>
        </is>
      </c>
      <c r="O77" t="inlineStr">
        <is>
          <t>1988</t>
        </is>
      </c>
      <c r="Q77" t="inlineStr">
        <is>
          <t>eng</t>
        </is>
      </c>
      <c r="R77" t="inlineStr">
        <is>
          <t>nyu</t>
        </is>
      </c>
      <c r="S77" t="inlineStr">
        <is>
          <t>Serono symposia publications from Raven Press ; v. 49</t>
        </is>
      </c>
      <c r="T77" t="inlineStr">
        <is>
          <t xml:space="preserve">QP </t>
        </is>
      </c>
      <c r="U77" t="n">
        <v>1</v>
      </c>
      <c r="V77" t="n">
        <v>1</v>
      </c>
      <c r="W77" t="inlineStr">
        <is>
          <t>2007-02-24</t>
        </is>
      </c>
      <c r="X77" t="inlineStr">
        <is>
          <t>2007-02-24</t>
        </is>
      </c>
      <c r="Y77" t="inlineStr">
        <is>
          <t>1993-02-26</t>
        </is>
      </c>
      <c r="Z77" t="inlineStr">
        <is>
          <t>1993-02-26</t>
        </is>
      </c>
      <c r="AA77" t="n">
        <v>91</v>
      </c>
      <c r="AB77" t="n">
        <v>70</v>
      </c>
      <c r="AC77" t="n">
        <v>72</v>
      </c>
      <c r="AD77" t="n">
        <v>2</v>
      </c>
      <c r="AE77" t="n">
        <v>2</v>
      </c>
      <c r="AF77" t="n">
        <v>3</v>
      </c>
      <c r="AG77" t="n">
        <v>3</v>
      </c>
      <c r="AH77" t="n">
        <v>0</v>
      </c>
      <c r="AI77" t="n">
        <v>0</v>
      </c>
      <c r="AJ77" t="n">
        <v>1</v>
      </c>
      <c r="AK77" t="n">
        <v>1</v>
      </c>
      <c r="AL77" t="n">
        <v>2</v>
      </c>
      <c r="AM77" t="n">
        <v>2</v>
      </c>
      <c r="AN77" t="n">
        <v>1</v>
      </c>
      <c r="AO77" t="n">
        <v>1</v>
      </c>
      <c r="AP77" t="n">
        <v>0</v>
      </c>
      <c r="AQ77" t="n">
        <v>0</v>
      </c>
      <c r="AR77" t="inlineStr">
        <is>
          <t>No</t>
        </is>
      </c>
      <c r="AS77" t="inlineStr">
        <is>
          <t>Yes</t>
        </is>
      </c>
      <c r="AT77">
        <f>HYPERLINK("http://catalog.hathitrust.org/Record/001815713","HathiTrust Record")</f>
        <v/>
      </c>
      <c r="AU77">
        <f>HYPERLINK("https://creighton-primo.hosted.exlibrisgroup.com/primo-explore/search?tab=default_tab&amp;search_scope=EVERYTHING&amp;vid=01CRU&amp;lang=en_US&amp;offset=0&amp;query=any,contains,991001446479702656","Catalog Record")</f>
        <v/>
      </c>
      <c r="AV77">
        <f>HYPERLINK("http://www.worldcat.org/oclc/19280666","WorldCat Record")</f>
        <v/>
      </c>
      <c r="AW77" t="inlineStr">
        <is>
          <t>428006928:eng</t>
        </is>
      </c>
      <c r="AX77" t="inlineStr">
        <is>
          <t>19280666</t>
        </is>
      </c>
      <c r="AY77" t="inlineStr">
        <is>
          <t>991001446479702656</t>
        </is>
      </c>
      <c r="AZ77" t="inlineStr">
        <is>
          <t>991001446479702656</t>
        </is>
      </c>
      <c r="BA77" t="inlineStr">
        <is>
          <t>2267525040002656</t>
        </is>
      </c>
      <c r="BB77" t="inlineStr">
        <is>
          <t>BOOK</t>
        </is>
      </c>
      <c r="BD77" t="inlineStr">
        <is>
          <t>9780881673241</t>
        </is>
      </c>
      <c r="BE77" t="inlineStr">
        <is>
          <t>32285001560209</t>
        </is>
      </c>
      <c r="BF77" t="inlineStr">
        <is>
          <t>893696754</t>
        </is>
      </c>
    </row>
    <row r="78">
      <c r="B78" t="inlineStr">
        <is>
          <t>CURAL</t>
        </is>
      </c>
      <c r="C78" t="inlineStr">
        <is>
          <t>SHELVES</t>
        </is>
      </c>
      <c r="D78" t="inlineStr">
        <is>
          <t>QP187.A1 C6 v.12</t>
        </is>
      </c>
      <c r="E78" t="inlineStr">
        <is>
          <t>0                      QP 0187000A  1                  C  6                                 v.12</t>
        </is>
      </c>
      <c r="F78" t="inlineStr">
        <is>
          <t>The Pineal gland / editor, Russel J. Reiter.</t>
        </is>
      </c>
      <c r="G78" t="inlineStr">
        <is>
          <t>V. 12</t>
        </is>
      </c>
      <c r="H78" t="inlineStr">
        <is>
          <t>No</t>
        </is>
      </c>
      <c r="I78" t="inlineStr">
        <is>
          <t>1</t>
        </is>
      </c>
      <c r="J78" t="inlineStr">
        <is>
          <t>No</t>
        </is>
      </c>
      <c r="K78" t="inlineStr">
        <is>
          <t>No</t>
        </is>
      </c>
      <c r="L78" t="inlineStr">
        <is>
          <t>0</t>
        </is>
      </c>
      <c r="N78" t="inlineStr">
        <is>
          <t>New York : Raven Press, c1984.</t>
        </is>
      </c>
      <c r="O78" t="inlineStr">
        <is>
          <t>1984</t>
        </is>
      </c>
      <c r="Q78" t="inlineStr">
        <is>
          <t>eng</t>
        </is>
      </c>
      <c r="R78" t="inlineStr">
        <is>
          <t>nyu</t>
        </is>
      </c>
      <c r="S78" t="inlineStr">
        <is>
          <t>Comprehensive endocrinology ; v. 12</t>
        </is>
      </c>
      <c r="T78" t="inlineStr">
        <is>
          <t xml:space="preserve">QP </t>
        </is>
      </c>
      <c r="U78" t="n">
        <v>1</v>
      </c>
      <c r="V78" t="n">
        <v>1</v>
      </c>
      <c r="W78" t="inlineStr">
        <is>
          <t>2001-05-09</t>
        </is>
      </c>
      <c r="X78" t="inlineStr">
        <is>
          <t>2001-05-09</t>
        </is>
      </c>
      <c r="Y78" t="inlineStr">
        <is>
          <t>1993-02-26</t>
        </is>
      </c>
      <c r="Z78" t="inlineStr">
        <is>
          <t>1993-02-26</t>
        </is>
      </c>
      <c r="AA78" t="n">
        <v>261</v>
      </c>
      <c r="AB78" t="n">
        <v>196</v>
      </c>
      <c r="AC78" t="n">
        <v>198</v>
      </c>
      <c r="AD78" t="n">
        <v>3</v>
      </c>
      <c r="AE78" t="n">
        <v>3</v>
      </c>
      <c r="AF78" t="n">
        <v>4</v>
      </c>
      <c r="AG78" t="n">
        <v>4</v>
      </c>
      <c r="AH78" t="n">
        <v>0</v>
      </c>
      <c r="AI78" t="n">
        <v>0</v>
      </c>
      <c r="AJ78" t="n">
        <v>1</v>
      </c>
      <c r="AK78" t="n">
        <v>1</v>
      </c>
      <c r="AL78" t="n">
        <v>2</v>
      </c>
      <c r="AM78" t="n">
        <v>2</v>
      </c>
      <c r="AN78" t="n">
        <v>2</v>
      </c>
      <c r="AO78" t="n">
        <v>2</v>
      </c>
      <c r="AP78" t="n">
        <v>0</v>
      </c>
      <c r="AQ78" t="n">
        <v>0</v>
      </c>
      <c r="AR78" t="inlineStr">
        <is>
          <t>No</t>
        </is>
      </c>
      <c r="AS78" t="inlineStr">
        <is>
          <t>Yes</t>
        </is>
      </c>
      <c r="AT78">
        <f>HYPERLINK("http://catalog.hathitrust.org/Record/000122465","HathiTrust Record")</f>
        <v/>
      </c>
      <c r="AU78">
        <f>HYPERLINK("https://creighton-primo.hosted.exlibrisgroup.com/primo-explore/search?tab=default_tab&amp;search_scope=EVERYTHING&amp;vid=01CRU&amp;lang=en_US&amp;offset=0&amp;query=any,contains,991000389259702656","Catalog Record")</f>
        <v/>
      </c>
      <c r="AV78">
        <f>HYPERLINK("http://www.worldcat.org/oclc/10533622","WorldCat Record")</f>
        <v/>
      </c>
      <c r="AW78" t="inlineStr">
        <is>
          <t>3759068968:eng</t>
        </is>
      </c>
      <c r="AX78" t="inlineStr">
        <is>
          <t>10533622</t>
        </is>
      </c>
      <c r="AY78" t="inlineStr">
        <is>
          <t>991000389259702656</t>
        </is>
      </c>
      <c r="AZ78" t="inlineStr">
        <is>
          <t>991000389259702656</t>
        </is>
      </c>
      <c r="BA78" t="inlineStr">
        <is>
          <t>2257589650002656</t>
        </is>
      </c>
      <c r="BB78" t="inlineStr">
        <is>
          <t>BOOK</t>
        </is>
      </c>
      <c r="BD78" t="inlineStr">
        <is>
          <t>9780890043141</t>
        </is>
      </c>
      <c r="BE78" t="inlineStr">
        <is>
          <t>32285001560050</t>
        </is>
      </c>
      <c r="BF78" t="inlineStr">
        <is>
          <t>893528004</t>
        </is>
      </c>
    </row>
    <row r="79">
      <c r="B79" t="inlineStr">
        <is>
          <t>CURAL</t>
        </is>
      </c>
      <c r="C79" t="inlineStr">
        <is>
          <t>SHELVES</t>
        </is>
      </c>
      <c r="D79" t="inlineStr">
        <is>
          <t>QP187.A1 C6 v.2</t>
        </is>
      </c>
      <c r="E79" t="inlineStr">
        <is>
          <t>0                      QP 0187000A  1                  C  6                                 v.2</t>
        </is>
      </c>
      <c r="F79" t="inlineStr">
        <is>
          <t>Endocrine control of sexual behavior / editor, Carlos Beyer.</t>
        </is>
      </c>
      <c r="G79" t="inlineStr">
        <is>
          <t>V. 2</t>
        </is>
      </c>
      <c r="H79" t="inlineStr">
        <is>
          <t>No</t>
        </is>
      </c>
      <c r="I79" t="inlineStr">
        <is>
          <t>1</t>
        </is>
      </c>
      <c r="J79" t="inlineStr">
        <is>
          <t>No</t>
        </is>
      </c>
      <c r="K79" t="inlineStr">
        <is>
          <t>No</t>
        </is>
      </c>
      <c r="L79" t="inlineStr">
        <is>
          <t>0</t>
        </is>
      </c>
      <c r="N79" t="inlineStr">
        <is>
          <t>New York : Raven Press, [1979] c1978.</t>
        </is>
      </c>
      <c r="O79" t="inlineStr">
        <is>
          <t>1979</t>
        </is>
      </c>
      <c r="Q79" t="inlineStr">
        <is>
          <t>eng</t>
        </is>
      </c>
      <c r="R79" t="inlineStr">
        <is>
          <t>nyu</t>
        </is>
      </c>
      <c r="S79" t="inlineStr">
        <is>
          <t>Comprehensive endocrinology ; v. 2</t>
        </is>
      </c>
      <c r="T79" t="inlineStr">
        <is>
          <t xml:space="preserve">QP </t>
        </is>
      </c>
      <c r="U79" t="n">
        <v>3</v>
      </c>
      <c r="V79" t="n">
        <v>3</v>
      </c>
      <c r="W79" t="inlineStr">
        <is>
          <t>1996-01-08</t>
        </is>
      </c>
      <c r="X79" t="inlineStr">
        <is>
          <t>1996-01-08</t>
        </is>
      </c>
      <c r="Y79" t="inlineStr">
        <is>
          <t>1993-02-26</t>
        </is>
      </c>
      <c r="Z79" t="inlineStr">
        <is>
          <t>1993-02-26</t>
        </is>
      </c>
      <c r="AA79" t="n">
        <v>324</v>
      </c>
      <c r="AB79" t="n">
        <v>235</v>
      </c>
      <c r="AC79" t="n">
        <v>237</v>
      </c>
      <c r="AD79" t="n">
        <v>2</v>
      </c>
      <c r="AE79" t="n">
        <v>2</v>
      </c>
      <c r="AF79" t="n">
        <v>9</v>
      </c>
      <c r="AG79" t="n">
        <v>9</v>
      </c>
      <c r="AH79" t="n">
        <v>2</v>
      </c>
      <c r="AI79" t="n">
        <v>2</v>
      </c>
      <c r="AJ79" t="n">
        <v>3</v>
      </c>
      <c r="AK79" t="n">
        <v>3</v>
      </c>
      <c r="AL79" t="n">
        <v>4</v>
      </c>
      <c r="AM79" t="n">
        <v>4</v>
      </c>
      <c r="AN79" t="n">
        <v>1</v>
      </c>
      <c r="AO79" t="n">
        <v>1</v>
      </c>
      <c r="AP79" t="n">
        <v>0</v>
      </c>
      <c r="AQ79" t="n">
        <v>0</v>
      </c>
      <c r="AR79" t="inlineStr">
        <is>
          <t>No</t>
        </is>
      </c>
      <c r="AS79" t="inlineStr">
        <is>
          <t>Yes</t>
        </is>
      </c>
      <c r="AT79">
        <f>HYPERLINK("http://catalog.hathitrust.org/Record/000299112","HathiTrust Record")</f>
        <v/>
      </c>
      <c r="AU79">
        <f>HYPERLINK("https://creighton-primo.hosted.exlibrisgroup.com/primo-explore/search?tab=default_tab&amp;search_scope=EVERYTHING&amp;vid=01CRU&amp;lang=en_US&amp;offset=0&amp;query=any,contains,991004731719702656","Catalog Record")</f>
        <v/>
      </c>
      <c r="AV79">
        <f>HYPERLINK("http://www.worldcat.org/oclc/4835190","WorldCat Record")</f>
        <v/>
      </c>
      <c r="AW79" t="inlineStr">
        <is>
          <t>15071201:eng</t>
        </is>
      </c>
      <c r="AX79" t="inlineStr">
        <is>
          <t>4835190</t>
        </is>
      </c>
      <c r="AY79" t="inlineStr">
        <is>
          <t>991004731719702656</t>
        </is>
      </c>
      <c r="AZ79" t="inlineStr">
        <is>
          <t>991004731719702656</t>
        </is>
      </c>
      <c r="BA79" t="inlineStr">
        <is>
          <t>2265246770002656</t>
        </is>
      </c>
      <c r="BB79" t="inlineStr">
        <is>
          <t>BOOK</t>
        </is>
      </c>
      <c r="BD79" t="inlineStr">
        <is>
          <t>9780890042076</t>
        </is>
      </c>
      <c r="BE79" t="inlineStr">
        <is>
          <t>32285001560035</t>
        </is>
      </c>
      <c r="BF79" t="inlineStr">
        <is>
          <t>893612702</t>
        </is>
      </c>
    </row>
    <row r="80">
      <c r="B80" t="inlineStr">
        <is>
          <t>CURAL</t>
        </is>
      </c>
      <c r="C80" t="inlineStr">
        <is>
          <t>SHELVES</t>
        </is>
      </c>
      <c r="D80" t="inlineStr">
        <is>
          <t>QP187.A1 C6 v.5</t>
        </is>
      </c>
      <c r="E80" t="inlineStr">
        <is>
          <t>0                      QP 0187000A  1                  C  6                                 v.5</t>
        </is>
      </c>
      <c r="F80" t="inlineStr">
        <is>
          <t>The Endocrine functions of the brain / editor, Marcella Motta.</t>
        </is>
      </c>
      <c r="G80" t="inlineStr">
        <is>
          <t>V. 5</t>
        </is>
      </c>
      <c r="H80" t="inlineStr">
        <is>
          <t>No</t>
        </is>
      </c>
      <c r="I80" t="inlineStr">
        <is>
          <t>1</t>
        </is>
      </c>
      <c r="J80" t="inlineStr">
        <is>
          <t>Yes</t>
        </is>
      </c>
      <c r="K80" t="inlineStr">
        <is>
          <t>No</t>
        </is>
      </c>
      <c r="L80" t="inlineStr">
        <is>
          <t>0</t>
        </is>
      </c>
      <c r="N80" t="inlineStr">
        <is>
          <t>New York : Raven Press, c1980.</t>
        </is>
      </c>
      <c r="O80" t="inlineStr">
        <is>
          <t>1980</t>
        </is>
      </c>
      <c r="Q80" t="inlineStr">
        <is>
          <t>eng</t>
        </is>
      </c>
      <c r="R80" t="inlineStr">
        <is>
          <t>nyu</t>
        </is>
      </c>
      <c r="S80" t="inlineStr">
        <is>
          <t>Comprehensive endocrinology ; v. 5</t>
        </is>
      </c>
      <c r="T80" t="inlineStr">
        <is>
          <t xml:space="preserve">QP </t>
        </is>
      </c>
      <c r="U80" t="n">
        <v>4</v>
      </c>
      <c r="V80" t="n">
        <v>6</v>
      </c>
      <c r="W80" t="inlineStr">
        <is>
          <t>1997-02-16</t>
        </is>
      </c>
      <c r="X80" t="inlineStr">
        <is>
          <t>2001-03-11</t>
        </is>
      </c>
      <c r="Y80" t="inlineStr">
        <is>
          <t>1993-02-26</t>
        </is>
      </c>
      <c r="Z80" t="inlineStr">
        <is>
          <t>1993-02-26</t>
        </is>
      </c>
      <c r="AA80" t="n">
        <v>293</v>
      </c>
      <c r="AB80" t="n">
        <v>217</v>
      </c>
      <c r="AC80" t="n">
        <v>224</v>
      </c>
      <c r="AD80" t="n">
        <v>3</v>
      </c>
      <c r="AE80" t="n">
        <v>3</v>
      </c>
      <c r="AF80" t="n">
        <v>9</v>
      </c>
      <c r="AG80" t="n">
        <v>9</v>
      </c>
      <c r="AH80" t="n">
        <v>1</v>
      </c>
      <c r="AI80" t="n">
        <v>1</v>
      </c>
      <c r="AJ80" t="n">
        <v>5</v>
      </c>
      <c r="AK80" t="n">
        <v>5</v>
      </c>
      <c r="AL80" t="n">
        <v>5</v>
      </c>
      <c r="AM80" t="n">
        <v>5</v>
      </c>
      <c r="AN80" t="n">
        <v>1</v>
      </c>
      <c r="AO80" t="n">
        <v>1</v>
      </c>
      <c r="AP80" t="n">
        <v>0</v>
      </c>
      <c r="AQ80" t="n">
        <v>0</v>
      </c>
      <c r="AR80" t="inlineStr">
        <is>
          <t>No</t>
        </is>
      </c>
      <c r="AS80" t="inlineStr">
        <is>
          <t>Yes</t>
        </is>
      </c>
      <c r="AT80">
        <f>HYPERLINK("http://catalog.hathitrust.org/Record/000725685","HathiTrust Record")</f>
        <v/>
      </c>
      <c r="AU80">
        <f>HYPERLINK("https://creighton-primo.hosted.exlibrisgroup.com/primo-explore/search?tab=default_tab&amp;search_scope=EVERYTHING&amp;vid=01CRU&amp;lang=en_US&amp;offset=0&amp;query=any,contains,991001791649702656","Catalog Record")</f>
        <v/>
      </c>
      <c r="AV80">
        <f>HYPERLINK("http://www.worldcat.org/oclc/6891090","WorldCat Record")</f>
        <v/>
      </c>
      <c r="AW80" t="inlineStr">
        <is>
          <t>24429008:eng</t>
        </is>
      </c>
      <c r="AX80" t="inlineStr">
        <is>
          <t>6891090</t>
        </is>
      </c>
      <c r="AY80" t="inlineStr">
        <is>
          <t>991001791649702656</t>
        </is>
      </c>
      <c r="AZ80" t="inlineStr">
        <is>
          <t>991001791649702656</t>
        </is>
      </c>
      <c r="BA80" t="inlineStr">
        <is>
          <t>2261997420002656</t>
        </is>
      </c>
      <c r="BB80" t="inlineStr">
        <is>
          <t>BOOK</t>
        </is>
      </c>
      <c r="BD80" t="inlineStr">
        <is>
          <t>9780890043431</t>
        </is>
      </c>
      <c r="BE80" t="inlineStr">
        <is>
          <t>32285001560043</t>
        </is>
      </c>
      <c r="BF80" t="inlineStr">
        <is>
          <t>893703334</t>
        </is>
      </c>
    </row>
    <row r="81">
      <c r="B81" t="inlineStr">
        <is>
          <t>CURAL</t>
        </is>
      </c>
      <c r="C81" t="inlineStr">
        <is>
          <t>SHELVES</t>
        </is>
      </c>
      <c r="D81" t="inlineStr">
        <is>
          <t>QP187.A1 I52 1989</t>
        </is>
      </c>
      <c r="E81" t="inlineStr">
        <is>
          <t>0                      QP 0187000A  1                  I  52          1989</t>
        </is>
      </c>
      <c r="F81" t="inlineStr">
        <is>
          <t>Progress in comparative endocrinology : proceedings of the Eleventh International Symposium on Comparative Endocrinology, held in Malaga, Spain, May 14-20, 1989 / editors, August Epple, Colin G. Scanes, Milton H. Stetson.</t>
        </is>
      </c>
      <c r="H81" t="inlineStr">
        <is>
          <t>No</t>
        </is>
      </c>
      <c r="I81" t="inlineStr">
        <is>
          <t>1</t>
        </is>
      </c>
      <c r="J81" t="inlineStr">
        <is>
          <t>No</t>
        </is>
      </c>
      <c r="K81" t="inlineStr">
        <is>
          <t>No</t>
        </is>
      </c>
      <c r="L81" t="inlineStr">
        <is>
          <t>0</t>
        </is>
      </c>
      <c r="M81" t="inlineStr">
        <is>
          <t>International Symposium on Comparative Endocrinology (11th : 1989 : Málaga, Spain)</t>
        </is>
      </c>
      <c r="N81" t="inlineStr">
        <is>
          <t>New York : Wiley-Liss, c1990.</t>
        </is>
      </c>
      <c r="O81" t="inlineStr">
        <is>
          <t>1990</t>
        </is>
      </c>
      <c r="Q81" t="inlineStr">
        <is>
          <t>eng</t>
        </is>
      </c>
      <c r="R81" t="inlineStr">
        <is>
          <t>nyu</t>
        </is>
      </c>
      <c r="S81" t="inlineStr">
        <is>
          <t>Progress in clinical and biological research ; vol. 342</t>
        </is>
      </c>
      <c r="T81" t="inlineStr">
        <is>
          <t xml:space="preserve">QP </t>
        </is>
      </c>
      <c r="U81" t="n">
        <v>9</v>
      </c>
      <c r="V81" t="n">
        <v>9</v>
      </c>
      <c r="W81" t="inlineStr">
        <is>
          <t>2004-01-28</t>
        </is>
      </c>
      <c r="X81" t="inlineStr">
        <is>
          <t>2004-01-28</t>
        </is>
      </c>
      <c r="Y81" t="inlineStr">
        <is>
          <t>1990-10-26</t>
        </is>
      </c>
      <c r="Z81" t="inlineStr">
        <is>
          <t>1990-10-26</t>
        </is>
      </c>
      <c r="AA81" t="n">
        <v>160</v>
      </c>
      <c r="AB81" t="n">
        <v>123</v>
      </c>
      <c r="AC81" t="n">
        <v>126</v>
      </c>
      <c r="AD81" t="n">
        <v>1</v>
      </c>
      <c r="AE81" t="n">
        <v>2</v>
      </c>
      <c r="AF81" t="n">
        <v>3</v>
      </c>
      <c r="AG81" t="n">
        <v>4</v>
      </c>
      <c r="AH81" t="n">
        <v>1</v>
      </c>
      <c r="AI81" t="n">
        <v>1</v>
      </c>
      <c r="AJ81" t="n">
        <v>1</v>
      </c>
      <c r="AK81" t="n">
        <v>1</v>
      </c>
      <c r="AL81" t="n">
        <v>3</v>
      </c>
      <c r="AM81" t="n">
        <v>3</v>
      </c>
      <c r="AN81" t="n">
        <v>0</v>
      </c>
      <c r="AO81" t="n">
        <v>1</v>
      </c>
      <c r="AP81" t="n">
        <v>0</v>
      </c>
      <c r="AQ81" t="n">
        <v>0</v>
      </c>
      <c r="AR81" t="inlineStr">
        <is>
          <t>No</t>
        </is>
      </c>
      <c r="AS81" t="inlineStr">
        <is>
          <t>Yes</t>
        </is>
      </c>
      <c r="AT81">
        <f>HYPERLINK("http://catalog.hathitrust.org/Record/002060074","HathiTrust Record")</f>
        <v/>
      </c>
      <c r="AU81">
        <f>HYPERLINK("https://creighton-primo.hosted.exlibrisgroup.com/primo-explore/search?tab=default_tab&amp;search_scope=EVERYTHING&amp;vid=01CRU&amp;lang=en_US&amp;offset=0&amp;query=any,contains,991001657369702656","Catalog Record")</f>
        <v/>
      </c>
      <c r="AV81">
        <f>HYPERLINK("http://www.worldcat.org/oclc/21149031","WorldCat Record")</f>
        <v/>
      </c>
      <c r="AW81" t="inlineStr">
        <is>
          <t>356311955:eng</t>
        </is>
      </c>
      <c r="AX81" t="inlineStr">
        <is>
          <t>21149031</t>
        </is>
      </c>
      <c r="AY81" t="inlineStr">
        <is>
          <t>991001657369702656</t>
        </is>
      </c>
      <c r="AZ81" t="inlineStr">
        <is>
          <t>991001657369702656</t>
        </is>
      </c>
      <c r="BA81" t="inlineStr">
        <is>
          <t>2269602940002656</t>
        </is>
      </c>
      <c r="BB81" t="inlineStr">
        <is>
          <t>BOOK</t>
        </is>
      </c>
      <c r="BD81" t="inlineStr">
        <is>
          <t>9780471568001</t>
        </is>
      </c>
      <c r="BE81" t="inlineStr">
        <is>
          <t>32285000311893</t>
        </is>
      </c>
      <c r="BF81" t="inlineStr">
        <is>
          <t>893250369</t>
        </is>
      </c>
    </row>
    <row r="82">
      <c r="B82" t="inlineStr">
        <is>
          <t>CURAL</t>
        </is>
      </c>
      <c r="C82" t="inlineStr">
        <is>
          <t>SHELVES</t>
        </is>
      </c>
      <c r="D82" t="inlineStr">
        <is>
          <t>QP187.A1 S952 1977</t>
        </is>
      </c>
      <c r="E82" t="inlineStr">
        <is>
          <t>0                      QP 0187000A  1                  S  952         1977</t>
        </is>
      </c>
      <c r="F82" t="inlineStr">
        <is>
          <t>Evolution of vertebrate endocrine systems / edited by P.K.T. Pang and A. Epple.</t>
        </is>
      </c>
      <c r="H82" t="inlineStr">
        <is>
          <t>No</t>
        </is>
      </c>
      <c r="I82" t="inlineStr">
        <is>
          <t>1</t>
        </is>
      </c>
      <c r="J82" t="inlineStr">
        <is>
          <t>No</t>
        </is>
      </c>
      <c r="K82" t="inlineStr">
        <is>
          <t>No</t>
        </is>
      </c>
      <c r="L82" t="inlineStr">
        <is>
          <t>0</t>
        </is>
      </c>
      <c r="M82" t="inlineStr">
        <is>
          <t>Symposium on Evolution of Vertebrate Endocrine Systems (1977 : Thomas Jefferson University)</t>
        </is>
      </c>
      <c r="N82" t="inlineStr">
        <is>
          <t>Lubbock : Texas Tech Press, 1980.</t>
        </is>
      </c>
      <c r="O82" t="inlineStr">
        <is>
          <t>1980</t>
        </is>
      </c>
      <c r="Q82" t="inlineStr">
        <is>
          <t>eng</t>
        </is>
      </c>
      <c r="R82" t="inlineStr">
        <is>
          <t>txu</t>
        </is>
      </c>
      <c r="S82" t="inlineStr">
        <is>
          <t>Graduate studies (Texas Tech University), 0082-3198 ; no. 21</t>
        </is>
      </c>
      <c r="T82" t="inlineStr">
        <is>
          <t xml:space="preserve">QP </t>
        </is>
      </c>
      <c r="U82" t="n">
        <v>3</v>
      </c>
      <c r="V82" t="n">
        <v>3</v>
      </c>
      <c r="W82" t="inlineStr">
        <is>
          <t>1999-08-09</t>
        </is>
      </c>
      <c r="X82" t="inlineStr">
        <is>
          <t>1999-08-09</t>
        </is>
      </c>
      <c r="Y82" t="inlineStr">
        <is>
          <t>1993-02-26</t>
        </is>
      </c>
      <c r="Z82" t="inlineStr">
        <is>
          <t>1993-02-26</t>
        </is>
      </c>
      <c r="AA82" t="n">
        <v>209</v>
      </c>
      <c r="AB82" t="n">
        <v>177</v>
      </c>
      <c r="AC82" t="n">
        <v>179</v>
      </c>
      <c r="AD82" t="n">
        <v>3</v>
      </c>
      <c r="AE82" t="n">
        <v>3</v>
      </c>
      <c r="AF82" t="n">
        <v>4</v>
      </c>
      <c r="AG82" t="n">
        <v>4</v>
      </c>
      <c r="AH82" t="n">
        <v>1</v>
      </c>
      <c r="AI82" t="n">
        <v>1</v>
      </c>
      <c r="AJ82" t="n">
        <v>1</v>
      </c>
      <c r="AK82" t="n">
        <v>1</v>
      </c>
      <c r="AL82" t="n">
        <v>1</v>
      </c>
      <c r="AM82" t="n">
        <v>1</v>
      </c>
      <c r="AN82" t="n">
        <v>2</v>
      </c>
      <c r="AO82" t="n">
        <v>2</v>
      </c>
      <c r="AP82" t="n">
        <v>0</v>
      </c>
      <c r="AQ82" t="n">
        <v>0</v>
      </c>
      <c r="AR82" t="inlineStr">
        <is>
          <t>No</t>
        </is>
      </c>
      <c r="AS82" t="inlineStr">
        <is>
          <t>Yes</t>
        </is>
      </c>
      <c r="AT82">
        <f>HYPERLINK("http://catalog.hathitrust.org/Record/000689912","HathiTrust Record")</f>
        <v/>
      </c>
      <c r="AU82">
        <f>HYPERLINK("https://creighton-primo.hosted.exlibrisgroup.com/primo-explore/search?tab=default_tab&amp;search_scope=EVERYTHING&amp;vid=01CRU&amp;lang=en_US&amp;offset=0&amp;query=any,contains,991005099249702656","Catalog Record")</f>
        <v/>
      </c>
      <c r="AV82">
        <f>HYPERLINK("http://www.worldcat.org/oclc/7279364","WorldCat Record")</f>
        <v/>
      </c>
      <c r="AW82" t="inlineStr">
        <is>
          <t>24994871:eng</t>
        </is>
      </c>
      <c r="AX82" t="inlineStr">
        <is>
          <t>7279364</t>
        </is>
      </c>
      <c r="AY82" t="inlineStr">
        <is>
          <t>991005099249702656</t>
        </is>
      </c>
      <c r="AZ82" t="inlineStr">
        <is>
          <t>991005099249702656</t>
        </is>
      </c>
      <c r="BA82" t="inlineStr">
        <is>
          <t>2262336330002656</t>
        </is>
      </c>
      <c r="BB82" t="inlineStr">
        <is>
          <t>BOOK</t>
        </is>
      </c>
      <c r="BD82" t="inlineStr">
        <is>
          <t>9780896720763</t>
        </is>
      </c>
      <c r="BE82" t="inlineStr">
        <is>
          <t>32285001560092</t>
        </is>
      </c>
      <c r="BF82" t="inlineStr">
        <is>
          <t>893783013</t>
        </is>
      </c>
    </row>
    <row r="83">
      <c r="B83" t="inlineStr">
        <is>
          <t>CURAL</t>
        </is>
      </c>
      <c r="C83" t="inlineStr">
        <is>
          <t>SHELVES</t>
        </is>
      </c>
      <c r="D83" t="inlineStr">
        <is>
          <t>QP188.5.H67 N88 1991</t>
        </is>
      </c>
      <c r="E83" t="inlineStr">
        <is>
          <t>0                      QP 0188500H  67                 N  88          1991</t>
        </is>
      </c>
      <c r="F83" t="inlineStr">
        <is>
          <t>Nuclear hormone receptors : molecular mechanisms, cellular functions, clinical abnormalities / edited by Malcolm G. Parker.</t>
        </is>
      </c>
      <c r="H83" t="inlineStr">
        <is>
          <t>No</t>
        </is>
      </c>
      <c r="I83" t="inlineStr">
        <is>
          <t>1</t>
        </is>
      </c>
      <c r="J83" t="inlineStr">
        <is>
          <t>No</t>
        </is>
      </c>
      <c r="K83" t="inlineStr">
        <is>
          <t>No</t>
        </is>
      </c>
      <c r="L83" t="inlineStr">
        <is>
          <t>0</t>
        </is>
      </c>
      <c r="N83" t="inlineStr">
        <is>
          <t>London ; San Diego : Academic, c1991.</t>
        </is>
      </c>
      <c r="O83" t="inlineStr">
        <is>
          <t>1991</t>
        </is>
      </c>
      <c r="Q83" t="inlineStr">
        <is>
          <t>eng</t>
        </is>
      </c>
      <c r="R83" t="inlineStr">
        <is>
          <t>enk</t>
        </is>
      </c>
      <c r="T83" t="inlineStr">
        <is>
          <t xml:space="preserve">QP </t>
        </is>
      </c>
      <c r="U83" t="n">
        <v>9</v>
      </c>
      <c r="V83" t="n">
        <v>9</v>
      </c>
      <c r="W83" t="inlineStr">
        <is>
          <t>1996-11-15</t>
        </is>
      </c>
      <c r="X83" t="inlineStr">
        <is>
          <t>1996-11-15</t>
        </is>
      </c>
      <c r="Y83" t="inlineStr">
        <is>
          <t>1993-01-05</t>
        </is>
      </c>
      <c r="Z83" t="inlineStr">
        <is>
          <t>1993-01-05</t>
        </is>
      </c>
      <c r="AA83" t="n">
        <v>163</v>
      </c>
      <c r="AB83" t="n">
        <v>116</v>
      </c>
      <c r="AC83" t="n">
        <v>122</v>
      </c>
      <c r="AD83" t="n">
        <v>1</v>
      </c>
      <c r="AE83" t="n">
        <v>1</v>
      </c>
      <c r="AF83" t="n">
        <v>3</v>
      </c>
      <c r="AG83" t="n">
        <v>4</v>
      </c>
      <c r="AH83" t="n">
        <v>0</v>
      </c>
      <c r="AI83" t="n">
        <v>0</v>
      </c>
      <c r="AJ83" t="n">
        <v>2</v>
      </c>
      <c r="AK83" t="n">
        <v>3</v>
      </c>
      <c r="AL83" t="n">
        <v>2</v>
      </c>
      <c r="AM83" t="n">
        <v>3</v>
      </c>
      <c r="AN83" t="n">
        <v>0</v>
      </c>
      <c r="AO83" t="n">
        <v>0</v>
      </c>
      <c r="AP83" t="n">
        <v>0</v>
      </c>
      <c r="AQ83" t="n">
        <v>0</v>
      </c>
      <c r="AR83" t="inlineStr">
        <is>
          <t>No</t>
        </is>
      </c>
      <c r="AS83" t="inlineStr">
        <is>
          <t>Yes</t>
        </is>
      </c>
      <c r="AT83">
        <f>HYPERLINK("http://catalog.hathitrust.org/Record/002463653","HathiTrust Record")</f>
        <v/>
      </c>
      <c r="AU83">
        <f>HYPERLINK("https://creighton-primo.hosted.exlibrisgroup.com/primo-explore/search?tab=default_tab&amp;search_scope=EVERYTHING&amp;vid=01CRU&amp;lang=en_US&amp;offset=0&amp;query=any,contains,991001854579702656","Catalog Record")</f>
        <v/>
      </c>
      <c r="AV83">
        <f>HYPERLINK("http://www.worldcat.org/oclc/27817174","WorldCat Record")</f>
        <v/>
      </c>
      <c r="AW83" t="inlineStr">
        <is>
          <t>889448559:eng</t>
        </is>
      </c>
      <c r="AX83" t="inlineStr">
        <is>
          <t>27817174</t>
        </is>
      </c>
      <c r="AY83" t="inlineStr">
        <is>
          <t>991001854579702656</t>
        </is>
      </c>
      <c r="AZ83" t="inlineStr">
        <is>
          <t>991001854579702656</t>
        </is>
      </c>
      <c r="BA83" t="inlineStr">
        <is>
          <t>2260895390002656</t>
        </is>
      </c>
      <c r="BB83" t="inlineStr">
        <is>
          <t>BOOK</t>
        </is>
      </c>
      <c r="BD83" t="inlineStr">
        <is>
          <t>9780125450720</t>
        </is>
      </c>
      <c r="BE83" t="inlineStr">
        <is>
          <t>32285001404945</t>
        </is>
      </c>
      <c r="BF83" t="inlineStr">
        <is>
          <t>893232319</t>
        </is>
      </c>
    </row>
    <row r="84">
      <c r="B84" t="inlineStr">
        <is>
          <t>CURAL</t>
        </is>
      </c>
      <c r="C84" t="inlineStr">
        <is>
          <t>SHELVES</t>
        </is>
      </c>
      <c r="D84" t="inlineStr">
        <is>
          <t>QP188.P55 B494 1988</t>
        </is>
      </c>
      <c r="E84" t="inlineStr">
        <is>
          <t>0                      QP 0188000P  55                 B  494         1988</t>
        </is>
      </c>
      <c r="F84" t="inlineStr">
        <is>
          <t>The pineal : endocrine and nonendocrine function / by Sue Binkley.</t>
        </is>
      </c>
      <c r="H84" t="inlineStr">
        <is>
          <t>No</t>
        </is>
      </c>
      <c r="I84" t="inlineStr">
        <is>
          <t>1</t>
        </is>
      </c>
      <c r="J84" t="inlineStr">
        <is>
          <t>No</t>
        </is>
      </c>
      <c r="K84" t="inlineStr">
        <is>
          <t>No</t>
        </is>
      </c>
      <c r="L84" t="inlineStr">
        <is>
          <t>0</t>
        </is>
      </c>
      <c r="M84" t="inlineStr">
        <is>
          <t>Tatem, Sue Binkley, 1944-</t>
        </is>
      </c>
      <c r="N84" t="inlineStr">
        <is>
          <t>Englewood Cliffs, N.J. : Prentice Hall, 1988.</t>
        </is>
      </c>
      <c r="O84" t="inlineStr">
        <is>
          <t>1988</t>
        </is>
      </c>
      <c r="Q84" t="inlineStr">
        <is>
          <t>eng</t>
        </is>
      </c>
      <c r="R84" t="inlineStr">
        <is>
          <t>nju</t>
        </is>
      </c>
      <c r="S84" t="inlineStr">
        <is>
          <t>Prentice Hall endocrinology series</t>
        </is>
      </c>
      <c r="T84" t="inlineStr">
        <is>
          <t xml:space="preserve">QP </t>
        </is>
      </c>
      <c r="U84" t="n">
        <v>2</v>
      </c>
      <c r="V84" t="n">
        <v>2</v>
      </c>
      <c r="W84" t="inlineStr">
        <is>
          <t>1995-06-07</t>
        </is>
      </c>
      <c r="X84" t="inlineStr">
        <is>
          <t>1995-06-07</t>
        </is>
      </c>
      <c r="Y84" t="inlineStr">
        <is>
          <t>1993-02-26</t>
        </is>
      </c>
      <c r="Z84" t="inlineStr">
        <is>
          <t>1993-02-26</t>
        </is>
      </c>
      <c r="AA84" t="n">
        <v>148</v>
      </c>
      <c r="AB84" t="n">
        <v>120</v>
      </c>
      <c r="AC84" t="n">
        <v>121</v>
      </c>
      <c r="AD84" t="n">
        <v>3</v>
      </c>
      <c r="AE84" t="n">
        <v>3</v>
      </c>
      <c r="AF84" t="n">
        <v>7</v>
      </c>
      <c r="AG84" t="n">
        <v>7</v>
      </c>
      <c r="AH84" t="n">
        <v>2</v>
      </c>
      <c r="AI84" t="n">
        <v>2</v>
      </c>
      <c r="AJ84" t="n">
        <v>1</v>
      </c>
      <c r="AK84" t="n">
        <v>1</v>
      </c>
      <c r="AL84" t="n">
        <v>5</v>
      </c>
      <c r="AM84" t="n">
        <v>5</v>
      </c>
      <c r="AN84" t="n">
        <v>2</v>
      </c>
      <c r="AO84" t="n">
        <v>2</v>
      </c>
      <c r="AP84" t="n">
        <v>0</v>
      </c>
      <c r="AQ84" t="n">
        <v>0</v>
      </c>
      <c r="AR84" t="inlineStr">
        <is>
          <t>No</t>
        </is>
      </c>
      <c r="AS84" t="inlineStr">
        <is>
          <t>Yes</t>
        </is>
      </c>
      <c r="AT84">
        <f>HYPERLINK("http://catalog.hathitrust.org/Record/004406897","HathiTrust Record")</f>
        <v/>
      </c>
      <c r="AU84">
        <f>HYPERLINK("https://creighton-primo.hosted.exlibrisgroup.com/primo-explore/search?tab=default_tab&amp;search_scope=EVERYTHING&amp;vid=01CRU&amp;lang=en_US&amp;offset=0&amp;query=any,contains,991001097229702656","Catalog Record")</f>
        <v/>
      </c>
      <c r="AV84">
        <f>HYPERLINK("http://www.worldcat.org/oclc/16276731","WorldCat Record")</f>
        <v/>
      </c>
      <c r="AW84" t="inlineStr">
        <is>
          <t>889507068:eng</t>
        </is>
      </c>
      <c r="AX84" t="inlineStr">
        <is>
          <t>16276731</t>
        </is>
      </c>
      <c r="AY84" t="inlineStr">
        <is>
          <t>991001097229702656</t>
        </is>
      </c>
      <c r="AZ84" t="inlineStr">
        <is>
          <t>991001097229702656</t>
        </is>
      </c>
      <c r="BA84" t="inlineStr">
        <is>
          <t>2262051930002656</t>
        </is>
      </c>
      <c r="BB84" t="inlineStr">
        <is>
          <t>BOOK</t>
        </is>
      </c>
      <c r="BD84" t="inlineStr">
        <is>
          <t>9780136761815</t>
        </is>
      </c>
      <c r="BE84" t="inlineStr">
        <is>
          <t>32285001560225</t>
        </is>
      </c>
      <c r="BF84" t="inlineStr">
        <is>
          <t>893885040</t>
        </is>
      </c>
    </row>
    <row r="85">
      <c r="B85" t="inlineStr">
        <is>
          <t>CURAL</t>
        </is>
      </c>
      <c r="C85" t="inlineStr">
        <is>
          <t>SHELVES</t>
        </is>
      </c>
      <c r="D85" t="inlineStr">
        <is>
          <t>QP211 .H37 2006</t>
        </is>
      </c>
      <c r="E85" t="inlineStr">
        <is>
          <t>0                      QP 0211000H  37          2006</t>
        </is>
      </c>
      <c r="F85" t="inlineStr">
        <is>
          <t>Taking the piss : a potted history of pee / Adam Hart-Davis &amp; Emily Troscianko ; with illustrations by Jolyon Troscianko.</t>
        </is>
      </c>
      <c r="H85" t="inlineStr">
        <is>
          <t>No</t>
        </is>
      </c>
      <c r="I85" t="inlineStr">
        <is>
          <t>1</t>
        </is>
      </c>
      <c r="J85" t="inlineStr">
        <is>
          <t>No</t>
        </is>
      </c>
      <c r="K85" t="inlineStr">
        <is>
          <t>No</t>
        </is>
      </c>
      <c r="L85" t="inlineStr">
        <is>
          <t>0</t>
        </is>
      </c>
      <c r="M85" t="inlineStr">
        <is>
          <t>Hart-Davis, Adam.</t>
        </is>
      </c>
      <c r="N85" t="inlineStr">
        <is>
          <t>Stroud : Chalford, 2006.</t>
        </is>
      </c>
      <c r="O85" t="inlineStr">
        <is>
          <t>2006</t>
        </is>
      </c>
      <c r="Q85" t="inlineStr">
        <is>
          <t>eng</t>
        </is>
      </c>
      <c r="R85" t="inlineStr">
        <is>
          <t>enk</t>
        </is>
      </c>
      <c r="T85" t="inlineStr">
        <is>
          <t xml:space="preserve">QP </t>
        </is>
      </c>
      <c r="U85" t="n">
        <v>2</v>
      </c>
      <c r="V85" t="n">
        <v>2</v>
      </c>
      <c r="W85" t="inlineStr">
        <is>
          <t>2009-09-18</t>
        </is>
      </c>
      <c r="X85" t="inlineStr">
        <is>
          <t>2009-09-18</t>
        </is>
      </c>
      <c r="Y85" t="inlineStr">
        <is>
          <t>2007-11-13</t>
        </is>
      </c>
      <c r="Z85" t="inlineStr">
        <is>
          <t>2007-11-13</t>
        </is>
      </c>
      <c r="AA85" t="n">
        <v>46</v>
      </c>
      <c r="AB85" t="n">
        <v>29</v>
      </c>
      <c r="AC85" t="n">
        <v>29</v>
      </c>
      <c r="AD85" t="n">
        <v>1</v>
      </c>
      <c r="AE85" t="n">
        <v>1</v>
      </c>
      <c r="AF85" t="n">
        <v>0</v>
      </c>
      <c r="AG85" t="n">
        <v>0</v>
      </c>
      <c r="AH85" t="n">
        <v>0</v>
      </c>
      <c r="AI85" t="n">
        <v>0</v>
      </c>
      <c r="AJ85" t="n">
        <v>0</v>
      </c>
      <c r="AK85" t="n">
        <v>0</v>
      </c>
      <c r="AL85" t="n">
        <v>0</v>
      </c>
      <c r="AM85" t="n">
        <v>0</v>
      </c>
      <c r="AN85" t="n">
        <v>0</v>
      </c>
      <c r="AO85" t="n">
        <v>0</v>
      </c>
      <c r="AP85" t="n">
        <v>0</v>
      </c>
      <c r="AQ85" t="n">
        <v>0</v>
      </c>
      <c r="AR85" t="inlineStr">
        <is>
          <t>No</t>
        </is>
      </c>
      <c r="AS85" t="inlineStr">
        <is>
          <t>No</t>
        </is>
      </c>
      <c r="AU85">
        <f>HYPERLINK("https://creighton-primo.hosted.exlibrisgroup.com/primo-explore/search?tab=default_tab&amp;search_scope=EVERYTHING&amp;vid=01CRU&amp;lang=en_US&amp;offset=0&amp;query=any,contains,991005143449702656","Catalog Record")</f>
        <v/>
      </c>
      <c r="AV85">
        <f>HYPERLINK("http://www.worldcat.org/oclc/71542948","WorldCat Record")</f>
        <v/>
      </c>
      <c r="AW85" t="inlineStr">
        <is>
          <t>58449035:eng</t>
        </is>
      </c>
      <c r="AX85" t="inlineStr">
        <is>
          <t>71542948</t>
        </is>
      </c>
      <c r="AY85" t="inlineStr">
        <is>
          <t>991005143449702656</t>
        </is>
      </c>
      <c r="AZ85" t="inlineStr">
        <is>
          <t>991005143449702656</t>
        </is>
      </c>
      <c r="BA85" t="inlineStr">
        <is>
          <t>2266918740002656</t>
        </is>
      </c>
      <c r="BB85" t="inlineStr">
        <is>
          <t>BOOK</t>
        </is>
      </c>
      <c r="BD85" t="inlineStr">
        <is>
          <t>9781845883515</t>
        </is>
      </c>
      <c r="BE85" t="inlineStr">
        <is>
          <t>32285005366843</t>
        </is>
      </c>
      <c r="BF85" t="inlineStr">
        <is>
          <t>893533256</t>
        </is>
      </c>
    </row>
    <row r="86">
      <c r="B86" t="inlineStr">
        <is>
          <t>CURAL</t>
        </is>
      </c>
      <c r="C86" t="inlineStr">
        <is>
          <t>SHELVES</t>
        </is>
      </c>
      <c r="D86" t="inlineStr">
        <is>
          <t>QP231 .F74 1985</t>
        </is>
      </c>
      <c r="E86" t="inlineStr">
        <is>
          <t>0                      QP 0231000F  74          1985</t>
        </is>
      </c>
      <c r="F86" t="inlineStr">
        <is>
          <t>Crying : the mystery of tears / William H. Frey II, with Muriel Langseth.</t>
        </is>
      </c>
      <c r="H86" t="inlineStr">
        <is>
          <t>No</t>
        </is>
      </c>
      <c r="I86" t="inlineStr">
        <is>
          <t>1</t>
        </is>
      </c>
      <c r="J86" t="inlineStr">
        <is>
          <t>No</t>
        </is>
      </c>
      <c r="K86" t="inlineStr">
        <is>
          <t>No</t>
        </is>
      </c>
      <c r="L86" t="inlineStr">
        <is>
          <t>0</t>
        </is>
      </c>
      <c r="M86" t="inlineStr">
        <is>
          <t>Frey, William H., 1947-</t>
        </is>
      </c>
      <c r="N86" t="inlineStr">
        <is>
          <t>Minneapolis, Minn. : Winston Press, c1985.</t>
        </is>
      </c>
      <c r="O86" t="inlineStr">
        <is>
          <t>1985</t>
        </is>
      </c>
      <c r="Q86" t="inlineStr">
        <is>
          <t>eng</t>
        </is>
      </c>
      <c r="R86" t="inlineStr">
        <is>
          <t>mnu</t>
        </is>
      </c>
      <c r="T86" t="inlineStr">
        <is>
          <t xml:space="preserve">QP </t>
        </is>
      </c>
      <c r="U86" t="n">
        <v>1</v>
      </c>
      <c r="V86" t="n">
        <v>1</v>
      </c>
      <c r="W86" t="inlineStr">
        <is>
          <t>1993-02-17</t>
        </is>
      </c>
      <c r="X86" t="inlineStr">
        <is>
          <t>1993-02-17</t>
        </is>
      </c>
      <c r="Y86" t="inlineStr">
        <is>
          <t>1990-07-03</t>
        </is>
      </c>
      <c r="Z86" t="inlineStr">
        <is>
          <t>1990-07-03</t>
        </is>
      </c>
      <c r="AA86" t="n">
        <v>246</v>
      </c>
      <c r="AB86" t="n">
        <v>229</v>
      </c>
      <c r="AC86" t="n">
        <v>235</v>
      </c>
      <c r="AD86" t="n">
        <v>2</v>
      </c>
      <c r="AE86" t="n">
        <v>2</v>
      </c>
      <c r="AF86" t="n">
        <v>5</v>
      </c>
      <c r="AG86" t="n">
        <v>5</v>
      </c>
      <c r="AH86" t="n">
        <v>2</v>
      </c>
      <c r="AI86" t="n">
        <v>2</v>
      </c>
      <c r="AJ86" t="n">
        <v>2</v>
      </c>
      <c r="AK86" t="n">
        <v>2</v>
      </c>
      <c r="AL86" t="n">
        <v>3</v>
      </c>
      <c r="AM86" t="n">
        <v>3</v>
      </c>
      <c r="AN86" t="n">
        <v>0</v>
      </c>
      <c r="AO86" t="n">
        <v>0</v>
      </c>
      <c r="AP86" t="n">
        <v>0</v>
      </c>
      <c r="AQ86" t="n">
        <v>0</v>
      </c>
      <c r="AR86" t="inlineStr">
        <is>
          <t>No</t>
        </is>
      </c>
      <c r="AS86" t="inlineStr">
        <is>
          <t>Yes</t>
        </is>
      </c>
      <c r="AT86">
        <f>HYPERLINK("http://catalog.hathitrust.org/Record/000435259","HathiTrust Record")</f>
        <v/>
      </c>
      <c r="AU86">
        <f>HYPERLINK("https://creighton-primo.hosted.exlibrisgroup.com/primo-explore/search?tab=default_tab&amp;search_scope=EVERYTHING&amp;vid=01CRU&amp;lang=en_US&amp;offset=0&amp;query=any,contains,991000746879702656","Catalog Record")</f>
        <v/>
      </c>
      <c r="AV86">
        <f>HYPERLINK("http://www.worldcat.org/oclc/12864514","WorldCat Record")</f>
        <v/>
      </c>
      <c r="AW86" t="inlineStr">
        <is>
          <t>5489584:eng</t>
        </is>
      </c>
      <c r="AX86" t="inlineStr">
        <is>
          <t>12864514</t>
        </is>
      </c>
      <c r="AY86" t="inlineStr">
        <is>
          <t>991000746879702656</t>
        </is>
      </c>
      <c r="AZ86" t="inlineStr">
        <is>
          <t>991000746879702656</t>
        </is>
      </c>
      <c r="BA86" t="inlineStr">
        <is>
          <t>2257634470002656</t>
        </is>
      </c>
      <c r="BB86" t="inlineStr">
        <is>
          <t>BOOK</t>
        </is>
      </c>
      <c r="BD86" t="inlineStr">
        <is>
          <t>9780866838290</t>
        </is>
      </c>
      <c r="BE86" t="inlineStr">
        <is>
          <t>32285000220904</t>
        </is>
      </c>
      <c r="BF86" t="inlineStr">
        <is>
          <t>893689993</t>
        </is>
      </c>
    </row>
    <row r="87">
      <c r="B87" t="inlineStr">
        <is>
          <t>CURAL</t>
        </is>
      </c>
      <c r="C87" t="inlineStr">
        <is>
          <t>SHELVES</t>
        </is>
      </c>
      <c r="D87" t="inlineStr">
        <is>
          <t>QP246 .S94</t>
        </is>
      </c>
      <c r="E87" t="inlineStr">
        <is>
          <t>0                      QP 0246000S  94</t>
        </is>
      </c>
      <c r="F87" t="inlineStr">
        <is>
          <t>Hypothalamic control of lactation [by] F. G. Sulman, in collaboration with M. Ben-David [and others]</t>
        </is>
      </c>
      <c r="H87" t="inlineStr">
        <is>
          <t>No</t>
        </is>
      </c>
      <c r="I87" t="inlineStr">
        <is>
          <t>1</t>
        </is>
      </c>
      <c r="J87" t="inlineStr">
        <is>
          <t>No</t>
        </is>
      </c>
      <c r="K87" t="inlineStr">
        <is>
          <t>No</t>
        </is>
      </c>
      <c r="L87" t="inlineStr">
        <is>
          <t>0</t>
        </is>
      </c>
      <c r="M87" t="inlineStr">
        <is>
          <t>Sulman, Felix Gad, 1907-</t>
        </is>
      </c>
      <c r="N87" t="inlineStr">
        <is>
          <t>Berlin, New York, Springer-Verlag, 1970.</t>
        </is>
      </c>
      <c r="O87" t="inlineStr">
        <is>
          <t>1970</t>
        </is>
      </c>
      <c r="Q87" t="inlineStr">
        <is>
          <t>eng</t>
        </is>
      </c>
      <c r="R87" t="inlineStr">
        <is>
          <t xml:space="preserve">gw </t>
        </is>
      </c>
      <c r="S87" t="inlineStr">
        <is>
          <t>Monographs on endocrinology ; v. 3</t>
        </is>
      </c>
      <c r="T87" t="inlineStr">
        <is>
          <t xml:space="preserve">QP </t>
        </is>
      </c>
      <c r="U87" t="n">
        <v>4</v>
      </c>
      <c r="V87" t="n">
        <v>4</v>
      </c>
      <c r="W87" t="inlineStr">
        <is>
          <t>2000-03-20</t>
        </is>
      </c>
      <c r="X87" t="inlineStr">
        <is>
          <t>2000-03-20</t>
        </is>
      </c>
      <c r="Y87" t="inlineStr">
        <is>
          <t>1997-08-06</t>
        </is>
      </c>
      <c r="Z87" t="inlineStr">
        <is>
          <t>1997-08-06</t>
        </is>
      </c>
      <c r="AA87" t="n">
        <v>260</v>
      </c>
      <c r="AB87" t="n">
        <v>201</v>
      </c>
      <c r="AC87" t="n">
        <v>251</v>
      </c>
      <c r="AD87" t="n">
        <v>3</v>
      </c>
      <c r="AE87" t="n">
        <v>3</v>
      </c>
      <c r="AF87" t="n">
        <v>7</v>
      </c>
      <c r="AG87" t="n">
        <v>10</v>
      </c>
      <c r="AH87" t="n">
        <v>0</v>
      </c>
      <c r="AI87" t="n">
        <v>2</v>
      </c>
      <c r="AJ87" t="n">
        <v>3</v>
      </c>
      <c r="AK87" t="n">
        <v>5</v>
      </c>
      <c r="AL87" t="n">
        <v>3</v>
      </c>
      <c r="AM87" t="n">
        <v>3</v>
      </c>
      <c r="AN87" t="n">
        <v>2</v>
      </c>
      <c r="AO87" t="n">
        <v>2</v>
      </c>
      <c r="AP87" t="n">
        <v>0</v>
      </c>
      <c r="AQ87" t="n">
        <v>0</v>
      </c>
      <c r="AR87" t="inlineStr">
        <is>
          <t>No</t>
        </is>
      </c>
      <c r="AS87" t="inlineStr">
        <is>
          <t>Yes</t>
        </is>
      </c>
      <c r="AT87">
        <f>HYPERLINK("http://catalog.hathitrust.org/Record/001554173","HathiTrust Record")</f>
        <v/>
      </c>
      <c r="AU87">
        <f>HYPERLINK("https://creighton-primo.hosted.exlibrisgroup.com/primo-explore/search?tab=default_tab&amp;search_scope=EVERYTHING&amp;vid=01CRU&amp;lang=en_US&amp;offset=0&amp;query=any,contains,991000609399702656","Catalog Record")</f>
        <v/>
      </c>
      <c r="AV87">
        <f>HYPERLINK("http://www.worldcat.org/oclc/100166","WorldCat Record")</f>
        <v/>
      </c>
      <c r="AW87" t="inlineStr">
        <is>
          <t>1166855:eng</t>
        </is>
      </c>
      <c r="AX87" t="inlineStr">
        <is>
          <t>100166</t>
        </is>
      </c>
      <c r="AY87" t="inlineStr">
        <is>
          <t>991000609399702656</t>
        </is>
      </c>
      <c r="AZ87" t="inlineStr">
        <is>
          <t>991000609399702656</t>
        </is>
      </c>
      <c r="BA87" t="inlineStr">
        <is>
          <t>2258339580002656</t>
        </is>
      </c>
      <c r="BB87" t="inlineStr">
        <is>
          <t>BOOK</t>
        </is>
      </c>
      <c r="BD87" t="inlineStr">
        <is>
          <t>9780433289913</t>
        </is>
      </c>
      <c r="BE87" t="inlineStr">
        <is>
          <t>32285003013074</t>
        </is>
      </c>
      <c r="BF87" t="inlineStr">
        <is>
          <t>893695988</t>
        </is>
      </c>
    </row>
    <row r="88">
      <c r="B88" t="inlineStr">
        <is>
          <t>CURAL</t>
        </is>
      </c>
      <c r="C88" t="inlineStr">
        <is>
          <t>SHELVES</t>
        </is>
      </c>
      <c r="D88" t="inlineStr">
        <is>
          <t>QP249 .H53 1986</t>
        </is>
      </c>
      <c r="E88" t="inlineStr">
        <is>
          <t>0                      QP 0249000H  53          1986</t>
        </is>
      </c>
      <c r="F88" t="inlineStr">
        <is>
          <t>Body fluid and kidney physiology / S.B. Hladky, T.J. Rink.</t>
        </is>
      </c>
      <c r="H88" t="inlineStr">
        <is>
          <t>No</t>
        </is>
      </c>
      <c r="I88" t="inlineStr">
        <is>
          <t>1</t>
        </is>
      </c>
      <c r="J88" t="inlineStr">
        <is>
          <t>No</t>
        </is>
      </c>
      <c r="K88" t="inlineStr">
        <is>
          <t>No</t>
        </is>
      </c>
      <c r="L88" t="inlineStr">
        <is>
          <t>0</t>
        </is>
      </c>
      <c r="M88" t="inlineStr">
        <is>
          <t>Hladky, S. B.</t>
        </is>
      </c>
      <c r="N88" t="inlineStr">
        <is>
          <t>London : Edward Arnold, 1986.</t>
        </is>
      </c>
      <c r="O88" t="inlineStr">
        <is>
          <t>1986</t>
        </is>
      </c>
      <c r="Q88" t="inlineStr">
        <is>
          <t>eng</t>
        </is>
      </c>
      <c r="R88" t="inlineStr">
        <is>
          <t>enk</t>
        </is>
      </c>
      <c r="S88" t="inlineStr">
        <is>
          <t>Physiological principles in medicine, 0260-2946</t>
        </is>
      </c>
      <c r="T88" t="inlineStr">
        <is>
          <t xml:space="preserve">QP </t>
        </is>
      </c>
      <c r="U88" t="n">
        <v>2</v>
      </c>
      <c r="V88" t="n">
        <v>2</v>
      </c>
      <c r="W88" t="inlineStr">
        <is>
          <t>1993-12-14</t>
        </is>
      </c>
      <c r="X88" t="inlineStr">
        <is>
          <t>1993-12-14</t>
        </is>
      </c>
      <c r="Y88" t="inlineStr">
        <is>
          <t>1992-12-22</t>
        </is>
      </c>
      <c r="Z88" t="inlineStr">
        <is>
          <t>1992-12-22</t>
        </is>
      </c>
      <c r="AA88" t="n">
        <v>147</v>
      </c>
      <c r="AB88" t="n">
        <v>80</v>
      </c>
      <c r="AC88" t="n">
        <v>80</v>
      </c>
      <c r="AD88" t="n">
        <v>2</v>
      </c>
      <c r="AE88" t="n">
        <v>2</v>
      </c>
      <c r="AF88" t="n">
        <v>3</v>
      </c>
      <c r="AG88" t="n">
        <v>3</v>
      </c>
      <c r="AH88" t="n">
        <v>1</v>
      </c>
      <c r="AI88" t="n">
        <v>1</v>
      </c>
      <c r="AJ88" t="n">
        <v>0</v>
      </c>
      <c r="AK88" t="n">
        <v>0</v>
      </c>
      <c r="AL88" t="n">
        <v>2</v>
      </c>
      <c r="AM88" t="n">
        <v>2</v>
      </c>
      <c r="AN88" t="n">
        <v>1</v>
      </c>
      <c r="AO88" t="n">
        <v>1</v>
      </c>
      <c r="AP88" t="n">
        <v>0</v>
      </c>
      <c r="AQ88" t="n">
        <v>0</v>
      </c>
      <c r="AR88" t="inlineStr">
        <is>
          <t>No</t>
        </is>
      </c>
      <c r="AS88" t="inlineStr">
        <is>
          <t>No</t>
        </is>
      </c>
      <c r="AU88">
        <f>HYPERLINK("https://creighton-primo.hosted.exlibrisgroup.com/primo-explore/search?tab=default_tab&amp;search_scope=EVERYTHING&amp;vid=01CRU&amp;lang=en_US&amp;offset=0&amp;query=any,contains,991000713599702656","Catalog Record")</f>
        <v/>
      </c>
      <c r="AV88">
        <f>HYPERLINK("http://www.worldcat.org/oclc/15518679","WorldCat Record")</f>
        <v/>
      </c>
      <c r="AW88" t="inlineStr">
        <is>
          <t>10146392:eng</t>
        </is>
      </c>
      <c r="AX88" t="inlineStr">
        <is>
          <t>15518679</t>
        </is>
      </c>
      <c r="AY88" t="inlineStr">
        <is>
          <t>991000713599702656</t>
        </is>
      </c>
      <c r="AZ88" t="inlineStr">
        <is>
          <t>991000713599702656</t>
        </is>
      </c>
      <c r="BA88" t="inlineStr">
        <is>
          <t>2261026690002656</t>
        </is>
      </c>
      <c r="BB88" t="inlineStr">
        <is>
          <t>BOOK</t>
        </is>
      </c>
      <c r="BD88" t="inlineStr">
        <is>
          <t>9780713144116</t>
        </is>
      </c>
      <c r="BE88" t="inlineStr">
        <is>
          <t>32285001471209</t>
        </is>
      </c>
      <c r="BF88" t="inlineStr">
        <is>
          <t>893345913</t>
        </is>
      </c>
    </row>
    <row r="89">
      <c r="B89" t="inlineStr">
        <is>
          <t>CURAL</t>
        </is>
      </c>
      <c r="C89" t="inlineStr">
        <is>
          <t>SHELVES</t>
        </is>
      </c>
      <c r="D89" t="inlineStr">
        <is>
          <t>QP249 .S39 1987</t>
        </is>
      </c>
      <c r="E89" t="inlineStr">
        <is>
          <t>0                      QP 0249000S  39          1987</t>
        </is>
      </c>
      <c r="F89" t="inlineStr">
        <is>
          <t>Organogenesis of the kidney / Lauri Saxén.</t>
        </is>
      </c>
      <c r="H89" t="inlineStr">
        <is>
          <t>No</t>
        </is>
      </c>
      <c r="I89" t="inlineStr">
        <is>
          <t>1</t>
        </is>
      </c>
      <c r="J89" t="inlineStr">
        <is>
          <t>No</t>
        </is>
      </c>
      <c r="K89" t="inlineStr">
        <is>
          <t>No</t>
        </is>
      </c>
      <c r="L89" t="inlineStr">
        <is>
          <t>0</t>
        </is>
      </c>
      <c r="M89" t="inlineStr">
        <is>
          <t>Saxén, Lauri.</t>
        </is>
      </c>
      <c r="N89" t="inlineStr">
        <is>
          <t>Cambridge [Cambridgeshire] ; New York : Cambridge University Press, 1987.</t>
        </is>
      </c>
      <c r="O89" t="inlineStr">
        <is>
          <t>1987</t>
        </is>
      </c>
      <c r="Q89" t="inlineStr">
        <is>
          <t>eng</t>
        </is>
      </c>
      <c r="R89" t="inlineStr">
        <is>
          <t>enk</t>
        </is>
      </c>
      <c r="S89" t="inlineStr">
        <is>
          <t>Developmental and cell biology series ; 19</t>
        </is>
      </c>
      <c r="T89" t="inlineStr">
        <is>
          <t xml:space="preserve">QP </t>
        </is>
      </c>
      <c r="U89" t="n">
        <v>3</v>
      </c>
      <c r="V89" t="n">
        <v>3</v>
      </c>
      <c r="W89" t="inlineStr">
        <is>
          <t>2004-02-28</t>
        </is>
      </c>
      <c r="X89" t="inlineStr">
        <is>
          <t>2004-02-28</t>
        </is>
      </c>
      <c r="Y89" t="inlineStr">
        <is>
          <t>1990-07-26</t>
        </is>
      </c>
      <c r="Z89" t="inlineStr">
        <is>
          <t>1990-07-26</t>
        </is>
      </c>
      <c r="AA89" t="n">
        <v>190</v>
      </c>
      <c r="AB89" t="n">
        <v>132</v>
      </c>
      <c r="AC89" t="n">
        <v>143</v>
      </c>
      <c r="AD89" t="n">
        <v>2</v>
      </c>
      <c r="AE89" t="n">
        <v>2</v>
      </c>
      <c r="AF89" t="n">
        <v>4</v>
      </c>
      <c r="AG89" t="n">
        <v>4</v>
      </c>
      <c r="AH89" t="n">
        <v>0</v>
      </c>
      <c r="AI89" t="n">
        <v>0</v>
      </c>
      <c r="AJ89" t="n">
        <v>2</v>
      </c>
      <c r="AK89" t="n">
        <v>2</v>
      </c>
      <c r="AL89" t="n">
        <v>1</v>
      </c>
      <c r="AM89" t="n">
        <v>1</v>
      </c>
      <c r="AN89" t="n">
        <v>1</v>
      </c>
      <c r="AO89" t="n">
        <v>1</v>
      </c>
      <c r="AP89" t="n">
        <v>0</v>
      </c>
      <c r="AQ89" t="n">
        <v>0</v>
      </c>
      <c r="AR89" t="inlineStr">
        <is>
          <t>No</t>
        </is>
      </c>
      <c r="AS89" t="inlineStr">
        <is>
          <t>No</t>
        </is>
      </c>
      <c r="AU89">
        <f>HYPERLINK("https://creighton-primo.hosted.exlibrisgroup.com/primo-explore/search?tab=default_tab&amp;search_scope=EVERYTHING&amp;vid=01CRU&amp;lang=en_US&amp;offset=0&amp;query=any,contains,991000889809702656","Catalog Record")</f>
        <v/>
      </c>
      <c r="AV89">
        <f>HYPERLINK("http://www.worldcat.org/oclc/13903725","WorldCat Record")</f>
        <v/>
      </c>
      <c r="AW89" t="inlineStr">
        <is>
          <t>6880063:eng</t>
        </is>
      </c>
      <c r="AX89" t="inlineStr">
        <is>
          <t>13903725</t>
        </is>
      </c>
      <c r="AY89" t="inlineStr">
        <is>
          <t>991000889809702656</t>
        </is>
      </c>
      <c r="AZ89" t="inlineStr">
        <is>
          <t>991000889809702656</t>
        </is>
      </c>
      <c r="BA89" t="inlineStr">
        <is>
          <t>2270144570002656</t>
        </is>
      </c>
      <c r="BB89" t="inlineStr">
        <is>
          <t>BOOK</t>
        </is>
      </c>
      <c r="BD89" t="inlineStr">
        <is>
          <t>9780521301527</t>
        </is>
      </c>
      <c r="BE89" t="inlineStr">
        <is>
          <t>32285000240738</t>
        </is>
      </c>
      <c r="BF89" t="inlineStr">
        <is>
          <t>893346066</t>
        </is>
      </c>
    </row>
    <row r="90">
      <c r="B90" t="inlineStr">
        <is>
          <t>CURAL</t>
        </is>
      </c>
      <c r="C90" t="inlineStr">
        <is>
          <t>SHELVES</t>
        </is>
      </c>
      <c r="D90" t="inlineStr">
        <is>
          <t>QP251 .A68 1964</t>
        </is>
      </c>
      <c r="E90" t="inlineStr">
        <is>
          <t>0                      QP 0251000A  68          1964</t>
        </is>
      </c>
      <c r="F90" t="inlineStr">
        <is>
          <t>Intersexuality in vertebrates including man, edited by C.N. Armstrong and A.J. Marshall.</t>
        </is>
      </c>
      <c r="H90" t="inlineStr">
        <is>
          <t>No</t>
        </is>
      </c>
      <c r="I90" t="inlineStr">
        <is>
          <t>1</t>
        </is>
      </c>
      <c r="J90" t="inlineStr">
        <is>
          <t>No</t>
        </is>
      </c>
      <c r="K90" t="inlineStr">
        <is>
          <t>No</t>
        </is>
      </c>
      <c r="L90" t="inlineStr">
        <is>
          <t>0</t>
        </is>
      </c>
      <c r="M90" t="inlineStr">
        <is>
          <t>Armstrong, C. N., editor.</t>
        </is>
      </c>
      <c r="N90" t="inlineStr">
        <is>
          <t>London, New York, Academic Press, 1964.</t>
        </is>
      </c>
      <c r="O90" t="inlineStr">
        <is>
          <t>1964</t>
        </is>
      </c>
      <c r="Q90" t="inlineStr">
        <is>
          <t>eng</t>
        </is>
      </c>
      <c r="R90" t="inlineStr">
        <is>
          <t>enk</t>
        </is>
      </c>
      <c r="T90" t="inlineStr">
        <is>
          <t xml:space="preserve">QP </t>
        </is>
      </c>
      <c r="U90" t="n">
        <v>1</v>
      </c>
      <c r="V90" t="n">
        <v>1</v>
      </c>
      <c r="W90" t="inlineStr">
        <is>
          <t>2008-04-01</t>
        </is>
      </c>
      <c r="X90" t="inlineStr">
        <is>
          <t>2008-04-01</t>
        </is>
      </c>
      <c r="Y90" t="inlineStr">
        <is>
          <t>1997-08-06</t>
        </is>
      </c>
      <c r="Z90" t="inlineStr">
        <is>
          <t>1997-08-06</t>
        </is>
      </c>
      <c r="AA90" t="n">
        <v>459</v>
      </c>
      <c r="AB90" t="n">
        <v>340</v>
      </c>
      <c r="AC90" t="n">
        <v>349</v>
      </c>
      <c r="AD90" t="n">
        <v>3</v>
      </c>
      <c r="AE90" t="n">
        <v>3</v>
      </c>
      <c r="AF90" t="n">
        <v>13</v>
      </c>
      <c r="AG90" t="n">
        <v>13</v>
      </c>
      <c r="AH90" t="n">
        <v>6</v>
      </c>
      <c r="AI90" t="n">
        <v>6</v>
      </c>
      <c r="AJ90" t="n">
        <v>2</v>
      </c>
      <c r="AK90" t="n">
        <v>2</v>
      </c>
      <c r="AL90" t="n">
        <v>7</v>
      </c>
      <c r="AM90" t="n">
        <v>7</v>
      </c>
      <c r="AN90" t="n">
        <v>2</v>
      </c>
      <c r="AO90" t="n">
        <v>2</v>
      </c>
      <c r="AP90" t="n">
        <v>0</v>
      </c>
      <c r="AQ90" t="n">
        <v>0</v>
      </c>
      <c r="AR90" t="inlineStr">
        <is>
          <t>No</t>
        </is>
      </c>
      <c r="AS90" t="inlineStr">
        <is>
          <t>Yes</t>
        </is>
      </c>
      <c r="AT90">
        <f>HYPERLINK("http://catalog.hathitrust.org/Record/001554185","HathiTrust Record")</f>
        <v/>
      </c>
      <c r="AU90">
        <f>HYPERLINK("https://creighton-primo.hosted.exlibrisgroup.com/primo-explore/search?tab=default_tab&amp;search_scope=EVERYTHING&amp;vid=01CRU&amp;lang=en_US&amp;offset=0&amp;query=any,contains,991002984439702656","Catalog Record")</f>
        <v/>
      </c>
      <c r="AV90">
        <f>HYPERLINK("http://www.worldcat.org/oclc/556830","WorldCat Record")</f>
        <v/>
      </c>
      <c r="AW90" t="inlineStr">
        <is>
          <t>1619950:eng</t>
        </is>
      </c>
      <c r="AX90" t="inlineStr">
        <is>
          <t>556830</t>
        </is>
      </c>
      <c r="AY90" t="inlineStr">
        <is>
          <t>991002984439702656</t>
        </is>
      </c>
      <c r="AZ90" t="inlineStr">
        <is>
          <t>991002984439702656</t>
        </is>
      </c>
      <c r="BA90" t="inlineStr">
        <is>
          <t>2259936590002656</t>
        </is>
      </c>
      <c r="BB90" t="inlineStr">
        <is>
          <t>BOOK</t>
        </is>
      </c>
      <c r="BE90" t="inlineStr">
        <is>
          <t>32285003013090</t>
        </is>
      </c>
      <c r="BF90" t="inlineStr">
        <is>
          <t>893329803</t>
        </is>
      </c>
    </row>
    <row r="91">
      <c r="B91" t="inlineStr">
        <is>
          <t>CURAL</t>
        </is>
      </c>
      <c r="C91" t="inlineStr">
        <is>
          <t>SHELVES</t>
        </is>
      </c>
      <c r="D91" t="inlineStr">
        <is>
          <t>QP251 .B27</t>
        </is>
      </c>
      <c r="E91" t="inlineStr">
        <is>
          <t>0                      QP 0251000B  27</t>
        </is>
      </c>
      <c r="F91" t="inlineStr">
        <is>
          <t>Reproductive biology / editors: Howard Balin [and] Stanley Glasser.</t>
        </is>
      </c>
      <c r="H91" t="inlineStr">
        <is>
          <t>No</t>
        </is>
      </c>
      <c r="I91" t="inlineStr">
        <is>
          <t>1</t>
        </is>
      </c>
      <c r="J91" t="inlineStr">
        <is>
          <t>No</t>
        </is>
      </c>
      <c r="K91" t="inlineStr">
        <is>
          <t>No</t>
        </is>
      </c>
      <c r="L91" t="inlineStr">
        <is>
          <t>0</t>
        </is>
      </c>
      <c r="M91" t="inlineStr">
        <is>
          <t>Balin, Howard.</t>
        </is>
      </c>
      <c r="N91" t="inlineStr">
        <is>
          <t>Amsterdam : Excerpta Medica, 1972.</t>
        </is>
      </c>
      <c r="O91" t="inlineStr">
        <is>
          <t>1972</t>
        </is>
      </c>
      <c r="Q91" t="inlineStr">
        <is>
          <t>eng</t>
        </is>
      </c>
      <c r="R91" t="inlineStr">
        <is>
          <t xml:space="preserve">ne </t>
        </is>
      </c>
      <c r="T91" t="inlineStr">
        <is>
          <t xml:space="preserve">QP </t>
        </is>
      </c>
      <c r="U91" t="n">
        <v>3</v>
      </c>
      <c r="V91" t="n">
        <v>3</v>
      </c>
      <c r="W91" t="inlineStr">
        <is>
          <t>2008-04-01</t>
        </is>
      </c>
      <c r="X91" t="inlineStr">
        <is>
          <t>2008-04-01</t>
        </is>
      </c>
      <c r="Y91" t="inlineStr">
        <is>
          <t>1994-12-12</t>
        </is>
      </c>
      <c r="Z91" t="inlineStr">
        <is>
          <t>1994-12-12</t>
        </is>
      </c>
      <c r="AA91" t="n">
        <v>203</v>
      </c>
      <c r="AB91" t="n">
        <v>135</v>
      </c>
      <c r="AC91" t="n">
        <v>137</v>
      </c>
      <c r="AD91" t="n">
        <v>3</v>
      </c>
      <c r="AE91" t="n">
        <v>3</v>
      </c>
      <c r="AF91" t="n">
        <v>3</v>
      </c>
      <c r="AG91" t="n">
        <v>3</v>
      </c>
      <c r="AH91" t="n">
        <v>0</v>
      </c>
      <c r="AI91" t="n">
        <v>0</v>
      </c>
      <c r="AJ91" t="n">
        <v>2</v>
      </c>
      <c r="AK91" t="n">
        <v>2</v>
      </c>
      <c r="AL91" t="n">
        <v>0</v>
      </c>
      <c r="AM91" t="n">
        <v>0</v>
      </c>
      <c r="AN91" t="n">
        <v>1</v>
      </c>
      <c r="AO91" t="n">
        <v>1</v>
      </c>
      <c r="AP91" t="n">
        <v>0</v>
      </c>
      <c r="AQ91" t="n">
        <v>0</v>
      </c>
      <c r="AR91" t="inlineStr">
        <is>
          <t>No</t>
        </is>
      </c>
      <c r="AS91" t="inlineStr">
        <is>
          <t>Yes</t>
        </is>
      </c>
      <c r="AT91">
        <f>HYPERLINK("http://catalog.hathitrust.org/Record/001576785","HathiTrust Record")</f>
        <v/>
      </c>
      <c r="AU91">
        <f>HYPERLINK("https://creighton-primo.hosted.exlibrisgroup.com/primo-explore/search?tab=default_tab&amp;search_scope=EVERYTHING&amp;vid=01CRU&amp;lang=en_US&amp;offset=0&amp;query=any,contains,991005265169702656","Catalog Record")</f>
        <v/>
      </c>
      <c r="AV91">
        <f>HYPERLINK("http://www.worldcat.org/oclc/672583","WorldCat Record")</f>
        <v/>
      </c>
      <c r="AW91" t="inlineStr">
        <is>
          <t>353755520:eng</t>
        </is>
      </c>
      <c r="AX91" t="inlineStr">
        <is>
          <t>672583</t>
        </is>
      </c>
      <c r="AY91" t="inlineStr">
        <is>
          <t>991005265169702656</t>
        </is>
      </c>
      <c r="AZ91" t="inlineStr">
        <is>
          <t>991005265169702656</t>
        </is>
      </c>
      <c r="BA91" t="inlineStr">
        <is>
          <t>2267939840002656</t>
        </is>
      </c>
      <c r="BB91" t="inlineStr">
        <is>
          <t>BOOK</t>
        </is>
      </c>
      <c r="BD91" t="inlineStr">
        <is>
          <t>9789021920313</t>
        </is>
      </c>
      <c r="BE91" t="inlineStr">
        <is>
          <t>32285001981363</t>
        </is>
      </c>
      <c r="BF91" t="inlineStr">
        <is>
          <t>893628651</t>
        </is>
      </c>
    </row>
    <row r="92">
      <c r="B92" t="inlineStr">
        <is>
          <t>CURAL</t>
        </is>
      </c>
      <c r="C92" t="inlineStr">
        <is>
          <t>SHELVES</t>
        </is>
      </c>
      <c r="D92" t="inlineStr">
        <is>
          <t>QP251 .B6 1990</t>
        </is>
      </c>
      <c r="E92" t="inlineStr">
        <is>
          <t>0                      QP 0251000B  6           1990</t>
        </is>
      </c>
      <c r="F92" t="inlineStr">
        <is>
          <t>Births and power : social change and the politics of reproduction / edited by W. Penn Handwerker.</t>
        </is>
      </c>
      <c r="H92" t="inlineStr">
        <is>
          <t>No</t>
        </is>
      </c>
      <c r="I92" t="inlineStr">
        <is>
          <t>1</t>
        </is>
      </c>
      <c r="J92" t="inlineStr">
        <is>
          <t>No</t>
        </is>
      </c>
      <c r="K92" t="inlineStr">
        <is>
          <t>No</t>
        </is>
      </c>
      <c r="L92" t="inlineStr">
        <is>
          <t>0</t>
        </is>
      </c>
      <c r="N92" t="inlineStr">
        <is>
          <t>Boulder : Westview Press, 1990.</t>
        </is>
      </c>
      <c r="O92" t="inlineStr">
        <is>
          <t>1990</t>
        </is>
      </c>
      <c r="Q92" t="inlineStr">
        <is>
          <t>eng</t>
        </is>
      </c>
      <c r="R92" t="inlineStr">
        <is>
          <t>cou</t>
        </is>
      </c>
      <c r="T92" t="inlineStr">
        <is>
          <t xml:space="preserve">QP </t>
        </is>
      </c>
      <c r="U92" t="n">
        <v>3</v>
      </c>
      <c r="V92" t="n">
        <v>3</v>
      </c>
      <c r="W92" t="inlineStr">
        <is>
          <t>1999-10-06</t>
        </is>
      </c>
      <c r="X92" t="inlineStr">
        <is>
          <t>1999-10-06</t>
        </is>
      </c>
      <c r="Y92" t="inlineStr">
        <is>
          <t>1990-08-01</t>
        </is>
      </c>
      <c r="Z92" t="inlineStr">
        <is>
          <t>1990-08-01</t>
        </is>
      </c>
      <c r="AA92" t="n">
        <v>333</v>
      </c>
      <c r="AB92" t="n">
        <v>247</v>
      </c>
      <c r="AC92" t="n">
        <v>269</v>
      </c>
      <c r="AD92" t="n">
        <v>3</v>
      </c>
      <c r="AE92" t="n">
        <v>3</v>
      </c>
      <c r="AF92" t="n">
        <v>11</v>
      </c>
      <c r="AG92" t="n">
        <v>11</v>
      </c>
      <c r="AH92" t="n">
        <v>1</v>
      </c>
      <c r="AI92" t="n">
        <v>1</v>
      </c>
      <c r="AJ92" t="n">
        <v>4</v>
      </c>
      <c r="AK92" t="n">
        <v>4</v>
      </c>
      <c r="AL92" t="n">
        <v>6</v>
      </c>
      <c r="AM92" t="n">
        <v>6</v>
      </c>
      <c r="AN92" t="n">
        <v>2</v>
      </c>
      <c r="AO92" t="n">
        <v>2</v>
      </c>
      <c r="AP92" t="n">
        <v>1</v>
      </c>
      <c r="AQ92" t="n">
        <v>1</v>
      </c>
      <c r="AR92" t="inlineStr">
        <is>
          <t>No</t>
        </is>
      </c>
      <c r="AS92" t="inlineStr">
        <is>
          <t>Yes</t>
        </is>
      </c>
      <c r="AT92">
        <f>HYPERLINK("http://catalog.hathitrust.org/Record/001946558","HathiTrust Record")</f>
        <v/>
      </c>
      <c r="AU92">
        <f>HYPERLINK("https://creighton-primo.hosted.exlibrisgroup.com/primo-explore/search?tab=default_tab&amp;search_scope=EVERYTHING&amp;vid=01CRU&amp;lang=en_US&amp;offset=0&amp;query=any,contains,991001626969702656","Catalog Record")</f>
        <v/>
      </c>
      <c r="AV92">
        <f>HYPERLINK("http://www.worldcat.org/oclc/20853241","WorldCat Record")</f>
        <v/>
      </c>
      <c r="AW92" t="inlineStr">
        <is>
          <t>864039985:eng</t>
        </is>
      </c>
      <c r="AX92" t="inlineStr">
        <is>
          <t>20853241</t>
        </is>
      </c>
      <c r="AY92" t="inlineStr">
        <is>
          <t>991001626969702656</t>
        </is>
      </c>
      <c r="AZ92" t="inlineStr">
        <is>
          <t>991001626969702656</t>
        </is>
      </c>
      <c r="BA92" t="inlineStr">
        <is>
          <t>2271678370002656</t>
        </is>
      </c>
      <c r="BB92" t="inlineStr">
        <is>
          <t>BOOK</t>
        </is>
      </c>
      <c r="BD92" t="inlineStr">
        <is>
          <t>9780813377872</t>
        </is>
      </c>
      <c r="BE92" t="inlineStr">
        <is>
          <t>32285000241405</t>
        </is>
      </c>
      <c r="BF92" t="inlineStr">
        <is>
          <t>893408240</t>
        </is>
      </c>
    </row>
    <row r="93">
      <c r="B93" t="inlineStr">
        <is>
          <t>CURAL</t>
        </is>
      </c>
      <c r="C93" t="inlineStr">
        <is>
          <t>SHELVES</t>
        </is>
      </c>
      <c r="D93" t="inlineStr">
        <is>
          <t>QP251 .B727</t>
        </is>
      </c>
      <c r="E93" t="inlineStr">
        <is>
          <t>0                      QP 0251000B  727</t>
        </is>
      </c>
      <c r="F93" t="inlineStr">
        <is>
          <t>Modes of reproduction in fishes [by] Charles M. Breder, Jr., and Donn Eric Rosen.</t>
        </is>
      </c>
      <c r="H93" t="inlineStr">
        <is>
          <t>No</t>
        </is>
      </c>
      <c r="I93" t="inlineStr">
        <is>
          <t>1</t>
        </is>
      </c>
      <c r="J93" t="inlineStr">
        <is>
          <t>No</t>
        </is>
      </c>
      <c r="K93" t="inlineStr">
        <is>
          <t>No</t>
        </is>
      </c>
      <c r="L93" t="inlineStr">
        <is>
          <t>0</t>
        </is>
      </c>
      <c r="M93" t="inlineStr">
        <is>
          <t>Breder, Charles M. (Charles Marcus), 1897-1983.</t>
        </is>
      </c>
      <c r="N93" t="inlineStr">
        <is>
          <t>New York, Published for the American Museum of Natural History by the Natural History Press, Garden City, N.Y., 1966.</t>
        </is>
      </c>
      <c r="O93" t="inlineStr">
        <is>
          <t>1966</t>
        </is>
      </c>
      <c r="P93" t="inlineStr">
        <is>
          <t>[1st ed.].</t>
        </is>
      </c>
      <c r="Q93" t="inlineStr">
        <is>
          <t>eng</t>
        </is>
      </c>
      <c r="R93" t="inlineStr">
        <is>
          <t>nyu</t>
        </is>
      </c>
      <c r="T93" t="inlineStr">
        <is>
          <t xml:space="preserve">QP </t>
        </is>
      </c>
      <c r="U93" t="n">
        <v>1</v>
      </c>
      <c r="V93" t="n">
        <v>1</v>
      </c>
      <c r="W93" t="inlineStr">
        <is>
          <t>2004-02-24</t>
        </is>
      </c>
      <c r="X93" t="inlineStr">
        <is>
          <t>2004-02-24</t>
        </is>
      </c>
      <c r="Y93" t="inlineStr">
        <is>
          <t>1997-08-06</t>
        </is>
      </c>
      <c r="Z93" t="inlineStr">
        <is>
          <t>1997-08-06</t>
        </is>
      </c>
      <c r="AA93" t="n">
        <v>373</v>
      </c>
      <c r="AB93" t="n">
        <v>331</v>
      </c>
      <c r="AC93" t="n">
        <v>370</v>
      </c>
      <c r="AD93" t="n">
        <v>6</v>
      </c>
      <c r="AE93" t="n">
        <v>6</v>
      </c>
      <c r="AF93" t="n">
        <v>14</v>
      </c>
      <c r="AG93" t="n">
        <v>14</v>
      </c>
      <c r="AH93" t="n">
        <v>3</v>
      </c>
      <c r="AI93" t="n">
        <v>3</v>
      </c>
      <c r="AJ93" t="n">
        <v>2</v>
      </c>
      <c r="AK93" t="n">
        <v>2</v>
      </c>
      <c r="AL93" t="n">
        <v>5</v>
      </c>
      <c r="AM93" t="n">
        <v>5</v>
      </c>
      <c r="AN93" t="n">
        <v>5</v>
      </c>
      <c r="AO93" t="n">
        <v>5</v>
      </c>
      <c r="AP93" t="n">
        <v>0</v>
      </c>
      <c r="AQ93" t="n">
        <v>0</v>
      </c>
      <c r="AR93" t="inlineStr">
        <is>
          <t>No</t>
        </is>
      </c>
      <c r="AS93" t="inlineStr">
        <is>
          <t>Yes</t>
        </is>
      </c>
      <c r="AT93">
        <f>HYPERLINK("http://catalog.hathitrust.org/Record/001508209","HathiTrust Record")</f>
        <v/>
      </c>
      <c r="AU93">
        <f>HYPERLINK("https://creighton-primo.hosted.exlibrisgroup.com/primo-explore/search?tab=default_tab&amp;search_scope=EVERYTHING&amp;vid=01CRU&amp;lang=en_US&amp;offset=0&amp;query=any,contains,991002984809702656","Catalog Record")</f>
        <v/>
      </c>
      <c r="AV93">
        <f>HYPERLINK("http://www.worldcat.org/oclc/557027","WorldCat Record")</f>
        <v/>
      </c>
      <c r="AW93" t="inlineStr">
        <is>
          <t>1620911:eng</t>
        </is>
      </c>
      <c r="AX93" t="inlineStr">
        <is>
          <t>557027</t>
        </is>
      </c>
      <c r="AY93" t="inlineStr">
        <is>
          <t>991002984809702656</t>
        </is>
      </c>
      <c r="AZ93" t="inlineStr">
        <is>
          <t>991002984809702656</t>
        </is>
      </c>
      <c r="BA93" t="inlineStr">
        <is>
          <t>2261299550002656</t>
        </is>
      </c>
      <c r="BB93" t="inlineStr">
        <is>
          <t>BOOK</t>
        </is>
      </c>
      <c r="BE93" t="inlineStr">
        <is>
          <t>32285003013108</t>
        </is>
      </c>
      <c r="BF93" t="inlineStr">
        <is>
          <t>893348201</t>
        </is>
      </c>
    </row>
    <row r="94">
      <c r="B94" t="inlineStr">
        <is>
          <t>CURAL</t>
        </is>
      </c>
      <c r="C94" t="inlineStr">
        <is>
          <t>SHELVES</t>
        </is>
      </c>
      <c r="D94" t="inlineStr">
        <is>
          <t>QP251 .C78 1985</t>
        </is>
      </c>
      <c r="E94" t="inlineStr">
        <is>
          <t>0                      QP 0251000C  78          1985</t>
        </is>
      </c>
      <c r="F94" t="inlineStr">
        <is>
          <t>The mother machine : reproductive technologies from artificial insemination to artificial wombs / Gena Corea.</t>
        </is>
      </c>
      <c r="H94" t="inlineStr">
        <is>
          <t>No</t>
        </is>
      </c>
      <c r="I94" t="inlineStr">
        <is>
          <t>1</t>
        </is>
      </c>
      <c r="J94" t="inlineStr">
        <is>
          <t>No</t>
        </is>
      </c>
      <c r="K94" t="inlineStr">
        <is>
          <t>No</t>
        </is>
      </c>
      <c r="L94" t="inlineStr">
        <is>
          <t>0</t>
        </is>
      </c>
      <c r="M94" t="inlineStr">
        <is>
          <t>Corea, Gena.</t>
        </is>
      </c>
      <c r="N94" t="inlineStr">
        <is>
          <t>New York : Harper &amp; Row, c1985.</t>
        </is>
      </c>
      <c r="O94" t="inlineStr">
        <is>
          <t>1985</t>
        </is>
      </c>
      <c r="P94" t="inlineStr">
        <is>
          <t>1st ed.</t>
        </is>
      </c>
      <c r="Q94" t="inlineStr">
        <is>
          <t>eng</t>
        </is>
      </c>
      <c r="R94" t="inlineStr">
        <is>
          <t>nyu</t>
        </is>
      </c>
      <c r="T94" t="inlineStr">
        <is>
          <t xml:space="preserve">QP </t>
        </is>
      </c>
      <c r="U94" t="n">
        <v>8</v>
      </c>
      <c r="V94" t="n">
        <v>8</v>
      </c>
      <c r="W94" t="inlineStr">
        <is>
          <t>2002-11-11</t>
        </is>
      </c>
      <c r="X94" t="inlineStr">
        <is>
          <t>2002-11-11</t>
        </is>
      </c>
      <c r="Y94" t="inlineStr">
        <is>
          <t>1990-04-04</t>
        </is>
      </c>
      <c r="Z94" t="inlineStr">
        <is>
          <t>1990-04-04</t>
        </is>
      </c>
      <c r="AA94" t="n">
        <v>879</v>
      </c>
      <c r="AB94" t="n">
        <v>775</v>
      </c>
      <c r="AC94" t="n">
        <v>846</v>
      </c>
      <c r="AD94" t="n">
        <v>4</v>
      </c>
      <c r="AE94" t="n">
        <v>5</v>
      </c>
      <c r="AF94" t="n">
        <v>19</v>
      </c>
      <c r="AG94" t="n">
        <v>23</v>
      </c>
      <c r="AH94" t="n">
        <v>7</v>
      </c>
      <c r="AI94" t="n">
        <v>8</v>
      </c>
      <c r="AJ94" t="n">
        <v>3</v>
      </c>
      <c r="AK94" t="n">
        <v>4</v>
      </c>
      <c r="AL94" t="n">
        <v>11</v>
      </c>
      <c r="AM94" t="n">
        <v>13</v>
      </c>
      <c r="AN94" t="n">
        <v>2</v>
      </c>
      <c r="AO94" t="n">
        <v>3</v>
      </c>
      <c r="AP94" t="n">
        <v>1</v>
      </c>
      <c r="AQ94" t="n">
        <v>1</v>
      </c>
      <c r="AR94" t="inlineStr">
        <is>
          <t>No</t>
        </is>
      </c>
      <c r="AS94" t="inlineStr">
        <is>
          <t>Yes</t>
        </is>
      </c>
      <c r="AT94">
        <f>HYPERLINK("http://catalog.hathitrust.org/Record/000462780","HathiTrust Record")</f>
        <v/>
      </c>
      <c r="AU94">
        <f>HYPERLINK("https://creighton-primo.hosted.exlibrisgroup.com/primo-explore/search?tab=default_tab&amp;search_scope=EVERYTHING&amp;vid=01CRU&amp;lang=en_US&amp;offset=0&amp;query=any,contains,991000484379702656","Catalog Record")</f>
        <v/>
      </c>
      <c r="AV94">
        <f>HYPERLINK("http://www.worldcat.org/oclc/11068031","WorldCat Record")</f>
        <v/>
      </c>
      <c r="AW94" t="inlineStr">
        <is>
          <t>3838803:eng</t>
        </is>
      </c>
      <c r="AX94" t="inlineStr">
        <is>
          <t>11068031</t>
        </is>
      </c>
      <c r="AY94" t="inlineStr">
        <is>
          <t>991000484379702656</t>
        </is>
      </c>
      <c r="AZ94" t="inlineStr">
        <is>
          <t>991000484379702656</t>
        </is>
      </c>
      <c r="BA94" t="inlineStr">
        <is>
          <t>2261685270002656</t>
        </is>
      </c>
      <c r="BB94" t="inlineStr">
        <is>
          <t>BOOK</t>
        </is>
      </c>
      <c r="BD94" t="inlineStr">
        <is>
          <t>9780060153908</t>
        </is>
      </c>
      <c r="BE94" t="inlineStr">
        <is>
          <t>32285000110014</t>
        </is>
      </c>
      <c r="BF94" t="inlineStr">
        <is>
          <t>893508824</t>
        </is>
      </c>
    </row>
    <row r="95">
      <c r="B95" t="inlineStr">
        <is>
          <t>CURAL</t>
        </is>
      </c>
      <c r="C95" t="inlineStr">
        <is>
          <t>SHELVES</t>
        </is>
      </c>
      <c r="D95" t="inlineStr">
        <is>
          <t>QP251 .C8</t>
        </is>
      </c>
      <c r="E95" t="inlineStr">
        <is>
          <t>0                      QP 0251000C  8</t>
        </is>
      </c>
      <c r="F95" t="inlineStr">
        <is>
          <t>The hormones in human reproduction [by] George W. Corner.</t>
        </is>
      </c>
      <c r="H95" t="inlineStr">
        <is>
          <t>No</t>
        </is>
      </c>
      <c r="I95" t="inlineStr">
        <is>
          <t>1</t>
        </is>
      </c>
      <c r="J95" t="inlineStr">
        <is>
          <t>No</t>
        </is>
      </c>
      <c r="K95" t="inlineStr">
        <is>
          <t>No</t>
        </is>
      </c>
      <c r="L95" t="inlineStr">
        <is>
          <t>0</t>
        </is>
      </c>
      <c r="M95" t="inlineStr">
        <is>
          <t>Corner, George W. (George Washington), 1889-1981.</t>
        </is>
      </c>
      <c r="N95" t="inlineStr">
        <is>
          <t>Princeton, Princeton University Press; London, H. Milford, Oxford University Press, 1942.</t>
        </is>
      </c>
      <c r="O95" t="inlineStr">
        <is>
          <t>1942</t>
        </is>
      </c>
      <c r="Q95" t="inlineStr">
        <is>
          <t>eng</t>
        </is>
      </c>
      <c r="R95" t="inlineStr">
        <is>
          <t>nju</t>
        </is>
      </c>
      <c r="T95" t="inlineStr">
        <is>
          <t xml:space="preserve">QP </t>
        </is>
      </c>
      <c r="U95" t="n">
        <v>1</v>
      </c>
      <c r="V95" t="n">
        <v>1</v>
      </c>
      <c r="W95" t="inlineStr">
        <is>
          <t>2003-09-29</t>
        </is>
      </c>
      <c r="X95" t="inlineStr">
        <is>
          <t>2003-09-29</t>
        </is>
      </c>
      <c r="Y95" t="inlineStr">
        <is>
          <t>1997-08-06</t>
        </is>
      </c>
      <c r="Z95" t="inlineStr">
        <is>
          <t>1997-08-06</t>
        </is>
      </c>
      <c r="AA95" t="n">
        <v>182</v>
      </c>
      <c r="AB95" t="n">
        <v>171</v>
      </c>
      <c r="AC95" t="n">
        <v>573</v>
      </c>
      <c r="AD95" t="n">
        <v>3</v>
      </c>
      <c r="AE95" t="n">
        <v>5</v>
      </c>
      <c r="AF95" t="n">
        <v>6</v>
      </c>
      <c r="AG95" t="n">
        <v>24</v>
      </c>
      <c r="AH95" t="n">
        <v>1</v>
      </c>
      <c r="AI95" t="n">
        <v>9</v>
      </c>
      <c r="AJ95" t="n">
        <v>1</v>
      </c>
      <c r="AK95" t="n">
        <v>8</v>
      </c>
      <c r="AL95" t="n">
        <v>3</v>
      </c>
      <c r="AM95" t="n">
        <v>11</v>
      </c>
      <c r="AN95" t="n">
        <v>1</v>
      </c>
      <c r="AO95" t="n">
        <v>3</v>
      </c>
      <c r="AP95" t="n">
        <v>0</v>
      </c>
      <c r="AQ95" t="n">
        <v>0</v>
      </c>
      <c r="AR95" t="inlineStr">
        <is>
          <t>No</t>
        </is>
      </c>
      <c r="AS95" t="inlineStr">
        <is>
          <t>No</t>
        </is>
      </c>
      <c r="AU95">
        <f>HYPERLINK("https://creighton-primo.hosted.exlibrisgroup.com/primo-explore/search?tab=default_tab&amp;search_scope=EVERYTHING&amp;vid=01CRU&amp;lang=en_US&amp;offset=0&amp;query=any,contains,991005266469702656","Catalog Record")</f>
        <v/>
      </c>
      <c r="AV95">
        <f>HYPERLINK("http://www.worldcat.org/oclc/972361","WorldCat Record")</f>
        <v/>
      </c>
      <c r="AW95" t="inlineStr">
        <is>
          <t>16420073:eng</t>
        </is>
      </c>
      <c r="AX95" t="inlineStr">
        <is>
          <t>972361</t>
        </is>
      </c>
      <c r="AY95" t="inlineStr">
        <is>
          <t>991005266469702656</t>
        </is>
      </c>
      <c r="AZ95" t="inlineStr">
        <is>
          <t>991005266469702656</t>
        </is>
      </c>
      <c r="BA95" t="inlineStr">
        <is>
          <t>2258927290002656</t>
        </is>
      </c>
      <c r="BB95" t="inlineStr">
        <is>
          <t>BOOK</t>
        </is>
      </c>
      <c r="BE95" t="inlineStr">
        <is>
          <t>32285003013132</t>
        </is>
      </c>
      <c r="BF95" t="inlineStr">
        <is>
          <t>893326497</t>
        </is>
      </c>
    </row>
    <row r="96">
      <c r="B96" t="inlineStr">
        <is>
          <t>CURAL</t>
        </is>
      </c>
      <c r="C96" t="inlineStr">
        <is>
          <t>SHELVES</t>
        </is>
      </c>
      <c r="D96" t="inlineStr">
        <is>
          <t>QP251 .C95 1954</t>
        </is>
      </c>
      <c r="E96" t="inlineStr">
        <is>
          <t>0                      QP 0251000C  95          1954</t>
        </is>
      </c>
      <c r="F96" t="inlineStr">
        <is>
          <t>Sex determination.</t>
        </is>
      </c>
      <c r="H96" t="inlineStr">
        <is>
          <t>No</t>
        </is>
      </c>
      <c r="I96" t="inlineStr">
        <is>
          <t>1</t>
        </is>
      </c>
      <c r="J96" t="inlineStr">
        <is>
          <t>No</t>
        </is>
      </c>
      <c r="K96" t="inlineStr">
        <is>
          <t>No</t>
        </is>
      </c>
      <c r="L96" t="inlineStr">
        <is>
          <t>0</t>
        </is>
      </c>
      <c r="M96" t="inlineStr">
        <is>
          <t>Crew, F. A. E. (Francis Albert Eley), 1888-1973.</t>
        </is>
      </c>
      <c r="N96" t="inlineStr">
        <is>
          <t>London, Methuen [1954]</t>
        </is>
      </c>
      <c r="O96" t="inlineStr">
        <is>
          <t>1954</t>
        </is>
      </c>
      <c r="P96" t="inlineStr">
        <is>
          <t>[3d ed., rev.]</t>
        </is>
      </c>
      <c r="Q96" t="inlineStr">
        <is>
          <t>eng</t>
        </is>
      </c>
      <c r="R96" t="inlineStr">
        <is>
          <t xml:space="preserve">xx </t>
        </is>
      </c>
      <c r="S96" t="inlineStr">
        <is>
          <t>Methuen's monographs on biological subjects</t>
        </is>
      </c>
      <c r="T96" t="inlineStr">
        <is>
          <t xml:space="preserve">QP </t>
        </is>
      </c>
      <c r="U96" t="n">
        <v>1</v>
      </c>
      <c r="V96" t="n">
        <v>1</v>
      </c>
      <c r="W96" t="inlineStr">
        <is>
          <t>2006-03-28</t>
        </is>
      </c>
      <c r="X96" t="inlineStr">
        <is>
          <t>2006-03-28</t>
        </is>
      </c>
      <c r="Y96" t="inlineStr">
        <is>
          <t>1997-08-06</t>
        </is>
      </c>
      <c r="Z96" t="inlineStr">
        <is>
          <t>1997-08-06</t>
        </is>
      </c>
      <c r="AA96" t="n">
        <v>158</v>
      </c>
      <c r="AB96" t="n">
        <v>119</v>
      </c>
      <c r="AC96" t="n">
        <v>325</v>
      </c>
      <c r="AD96" t="n">
        <v>2</v>
      </c>
      <c r="AE96" t="n">
        <v>3</v>
      </c>
      <c r="AF96" t="n">
        <v>3</v>
      </c>
      <c r="AG96" t="n">
        <v>8</v>
      </c>
      <c r="AH96" t="n">
        <v>1</v>
      </c>
      <c r="AI96" t="n">
        <v>3</v>
      </c>
      <c r="AJ96" t="n">
        <v>0</v>
      </c>
      <c r="AK96" t="n">
        <v>2</v>
      </c>
      <c r="AL96" t="n">
        <v>1</v>
      </c>
      <c r="AM96" t="n">
        <v>5</v>
      </c>
      <c r="AN96" t="n">
        <v>1</v>
      </c>
      <c r="AO96" t="n">
        <v>1</v>
      </c>
      <c r="AP96" t="n">
        <v>0</v>
      </c>
      <c r="AQ96" t="n">
        <v>0</v>
      </c>
      <c r="AR96" t="inlineStr">
        <is>
          <t>No</t>
        </is>
      </c>
      <c r="AS96" t="inlineStr">
        <is>
          <t>Yes</t>
        </is>
      </c>
      <c r="AT96">
        <f>HYPERLINK("http://catalog.hathitrust.org/Record/001554208","HathiTrust Record")</f>
        <v/>
      </c>
      <c r="AU96">
        <f>HYPERLINK("https://creighton-primo.hosted.exlibrisgroup.com/primo-explore/search?tab=default_tab&amp;search_scope=EVERYTHING&amp;vid=01CRU&amp;lang=en_US&amp;offset=0&amp;query=any,contains,991000951349702656","Catalog Record")</f>
        <v/>
      </c>
      <c r="AV96">
        <f>HYPERLINK("http://www.worldcat.org/oclc/14677889","WorldCat Record")</f>
        <v/>
      </c>
      <c r="AW96" t="inlineStr">
        <is>
          <t>1960475:eng</t>
        </is>
      </c>
      <c r="AX96" t="inlineStr">
        <is>
          <t>14677889</t>
        </is>
      </c>
      <c r="AY96" t="inlineStr">
        <is>
          <t>991000951349702656</t>
        </is>
      </c>
      <c r="AZ96" t="inlineStr">
        <is>
          <t>991000951349702656</t>
        </is>
      </c>
      <c r="BA96" t="inlineStr">
        <is>
          <t>2265368090002656</t>
        </is>
      </c>
      <c r="BB96" t="inlineStr">
        <is>
          <t>BOOK</t>
        </is>
      </c>
      <c r="BE96" t="inlineStr">
        <is>
          <t>32285003013140</t>
        </is>
      </c>
      <c r="BF96" t="inlineStr">
        <is>
          <t>893791021</t>
        </is>
      </c>
    </row>
    <row r="97">
      <c r="B97" t="inlineStr">
        <is>
          <t>CURAL</t>
        </is>
      </c>
      <c r="C97" t="inlineStr">
        <is>
          <t>SHELVES</t>
        </is>
      </c>
      <c r="D97" t="inlineStr">
        <is>
          <t>QP251 .E35 1966</t>
        </is>
      </c>
      <c r="E97" t="inlineStr">
        <is>
          <t>0                      QP 0251000E  35          1966</t>
        </is>
      </c>
      <c r="F97" t="inlineStr">
        <is>
          <t>Reproduction in the female mammal; proceedings. Edited by G. E. Lamming and E. C. Amoroso.</t>
        </is>
      </c>
      <c r="H97" t="inlineStr">
        <is>
          <t>No</t>
        </is>
      </c>
      <c r="I97" t="inlineStr">
        <is>
          <t>1</t>
        </is>
      </c>
      <c r="J97" t="inlineStr">
        <is>
          <t>No</t>
        </is>
      </c>
      <c r="K97" t="inlineStr">
        <is>
          <t>No</t>
        </is>
      </c>
      <c r="L97" t="inlineStr">
        <is>
          <t>0</t>
        </is>
      </c>
      <c r="M97" t="inlineStr">
        <is>
          <t>Easter School in Agricultural Science (13th : 1966 : University of Nottingham)</t>
        </is>
      </c>
      <c r="N97" t="inlineStr">
        <is>
          <t>New York, Plenum Press [c1967]</t>
        </is>
      </c>
      <c r="O97" t="inlineStr">
        <is>
          <t>1967</t>
        </is>
      </c>
      <c r="Q97" t="inlineStr">
        <is>
          <t>eng</t>
        </is>
      </c>
      <c r="R97" t="inlineStr">
        <is>
          <t>nyu</t>
        </is>
      </c>
      <c r="T97" t="inlineStr">
        <is>
          <t xml:space="preserve">QP </t>
        </is>
      </c>
      <c r="U97" t="n">
        <v>2</v>
      </c>
      <c r="V97" t="n">
        <v>2</v>
      </c>
      <c r="W97" t="inlineStr">
        <is>
          <t>2000-04-26</t>
        </is>
      </c>
      <c r="X97" t="inlineStr">
        <is>
          <t>2000-04-26</t>
        </is>
      </c>
      <c r="Y97" t="inlineStr">
        <is>
          <t>1997-08-06</t>
        </is>
      </c>
      <c r="Z97" t="inlineStr">
        <is>
          <t>1997-08-06</t>
        </is>
      </c>
      <c r="AA97" t="n">
        <v>187</v>
      </c>
      <c r="AB97" t="n">
        <v>162</v>
      </c>
      <c r="AC97" t="n">
        <v>169</v>
      </c>
      <c r="AD97" t="n">
        <v>2</v>
      </c>
      <c r="AE97" t="n">
        <v>2</v>
      </c>
      <c r="AF97" t="n">
        <v>7</v>
      </c>
      <c r="AG97" t="n">
        <v>7</v>
      </c>
      <c r="AH97" t="n">
        <v>3</v>
      </c>
      <c r="AI97" t="n">
        <v>3</v>
      </c>
      <c r="AJ97" t="n">
        <v>2</v>
      </c>
      <c r="AK97" t="n">
        <v>2</v>
      </c>
      <c r="AL97" t="n">
        <v>5</v>
      </c>
      <c r="AM97" t="n">
        <v>5</v>
      </c>
      <c r="AN97" t="n">
        <v>1</v>
      </c>
      <c r="AO97" t="n">
        <v>1</v>
      </c>
      <c r="AP97" t="n">
        <v>0</v>
      </c>
      <c r="AQ97" t="n">
        <v>0</v>
      </c>
      <c r="AR97" t="inlineStr">
        <is>
          <t>No</t>
        </is>
      </c>
      <c r="AS97" t="inlineStr">
        <is>
          <t>Yes</t>
        </is>
      </c>
      <c r="AT97">
        <f>HYPERLINK("http://catalog.hathitrust.org/Record/001554211","HathiTrust Record")</f>
        <v/>
      </c>
      <c r="AU97">
        <f>HYPERLINK("https://creighton-primo.hosted.exlibrisgroup.com/primo-explore/search?tab=default_tab&amp;search_scope=EVERYTHING&amp;vid=01CRU&amp;lang=en_US&amp;offset=0&amp;query=any,contains,991005264379702656","Catalog Record")</f>
        <v/>
      </c>
      <c r="AV97">
        <f>HYPERLINK("http://www.worldcat.org/oclc/953644","WorldCat Record")</f>
        <v/>
      </c>
      <c r="AW97" t="inlineStr">
        <is>
          <t>3943391149:eng</t>
        </is>
      </c>
      <c r="AX97" t="inlineStr">
        <is>
          <t>953644</t>
        </is>
      </c>
      <c r="AY97" t="inlineStr">
        <is>
          <t>991005264379702656</t>
        </is>
      </c>
      <c r="AZ97" t="inlineStr">
        <is>
          <t>991005264379702656</t>
        </is>
      </c>
      <c r="BA97" t="inlineStr">
        <is>
          <t>2258397710002656</t>
        </is>
      </c>
      <c r="BB97" t="inlineStr">
        <is>
          <t>BOOK</t>
        </is>
      </c>
      <c r="BE97" t="inlineStr">
        <is>
          <t>32285003013157</t>
        </is>
      </c>
      <c r="BF97" t="inlineStr">
        <is>
          <t>893707551</t>
        </is>
      </c>
    </row>
    <row r="98">
      <c r="B98" t="inlineStr">
        <is>
          <t>CURAL</t>
        </is>
      </c>
      <c r="C98" t="inlineStr">
        <is>
          <t>SHELVES</t>
        </is>
      </c>
      <c r="D98" t="inlineStr">
        <is>
          <t>QP251 .E42 2004</t>
        </is>
      </c>
      <c r="E98" t="inlineStr">
        <is>
          <t>0                      QP 0251000E  42          2004</t>
        </is>
      </c>
      <c r="F98" t="inlineStr">
        <is>
          <t>Why we do it : rethinking sex and the selfish gene / Niles Eldredge.</t>
        </is>
      </c>
      <c r="H98" t="inlineStr">
        <is>
          <t>No</t>
        </is>
      </c>
      <c r="I98" t="inlineStr">
        <is>
          <t>1</t>
        </is>
      </c>
      <c r="J98" t="inlineStr">
        <is>
          <t>No</t>
        </is>
      </c>
      <c r="K98" t="inlineStr">
        <is>
          <t>No</t>
        </is>
      </c>
      <c r="L98" t="inlineStr">
        <is>
          <t>0</t>
        </is>
      </c>
      <c r="M98" t="inlineStr">
        <is>
          <t>Eldredge, Niles.</t>
        </is>
      </c>
      <c r="N98" t="inlineStr">
        <is>
          <t>New York : Norton, c2004.</t>
        </is>
      </c>
      <c r="O98" t="inlineStr">
        <is>
          <t>2004</t>
        </is>
      </c>
      <c r="P98" t="inlineStr">
        <is>
          <t>1st ed.</t>
        </is>
      </c>
      <c r="Q98" t="inlineStr">
        <is>
          <t>eng</t>
        </is>
      </c>
      <c r="R98" t="inlineStr">
        <is>
          <t>nyu</t>
        </is>
      </c>
      <c r="T98" t="inlineStr">
        <is>
          <t xml:space="preserve">QP </t>
        </is>
      </c>
      <c r="U98" t="n">
        <v>5</v>
      </c>
      <c r="V98" t="n">
        <v>5</v>
      </c>
      <c r="W98" t="inlineStr">
        <is>
          <t>2008-11-17</t>
        </is>
      </c>
      <c r="X98" t="inlineStr">
        <is>
          <t>2008-11-17</t>
        </is>
      </c>
      <c r="Y98" t="inlineStr">
        <is>
          <t>2005-04-18</t>
        </is>
      </c>
      <c r="Z98" t="inlineStr">
        <is>
          <t>2005-04-18</t>
        </is>
      </c>
      <c r="AA98" t="n">
        <v>779</v>
      </c>
      <c r="AB98" t="n">
        <v>672</v>
      </c>
      <c r="AC98" t="n">
        <v>676</v>
      </c>
      <c r="AD98" t="n">
        <v>6</v>
      </c>
      <c r="AE98" t="n">
        <v>6</v>
      </c>
      <c r="AF98" t="n">
        <v>19</v>
      </c>
      <c r="AG98" t="n">
        <v>19</v>
      </c>
      <c r="AH98" t="n">
        <v>5</v>
      </c>
      <c r="AI98" t="n">
        <v>5</v>
      </c>
      <c r="AJ98" t="n">
        <v>5</v>
      </c>
      <c r="AK98" t="n">
        <v>5</v>
      </c>
      <c r="AL98" t="n">
        <v>8</v>
      </c>
      <c r="AM98" t="n">
        <v>8</v>
      </c>
      <c r="AN98" t="n">
        <v>4</v>
      </c>
      <c r="AO98" t="n">
        <v>4</v>
      </c>
      <c r="AP98" t="n">
        <v>0</v>
      </c>
      <c r="AQ98" t="n">
        <v>0</v>
      </c>
      <c r="AR98" t="inlineStr">
        <is>
          <t>No</t>
        </is>
      </c>
      <c r="AS98" t="inlineStr">
        <is>
          <t>No</t>
        </is>
      </c>
      <c r="AU98">
        <f>HYPERLINK("https://creighton-primo.hosted.exlibrisgroup.com/primo-explore/search?tab=default_tab&amp;search_scope=EVERYTHING&amp;vid=01CRU&amp;lang=en_US&amp;offset=0&amp;query=any,contains,991004518499702656","Catalog Record")</f>
        <v/>
      </c>
      <c r="AV98">
        <f>HYPERLINK("http://www.worldcat.org/oclc/53970701","WorldCat Record")</f>
        <v/>
      </c>
      <c r="AW98" t="inlineStr">
        <is>
          <t>1010525:eng</t>
        </is>
      </c>
      <c r="AX98" t="inlineStr">
        <is>
          <t>53970701</t>
        </is>
      </c>
      <c r="AY98" t="inlineStr">
        <is>
          <t>991004518499702656</t>
        </is>
      </c>
      <c r="AZ98" t="inlineStr">
        <is>
          <t>991004518499702656</t>
        </is>
      </c>
      <c r="BA98" t="inlineStr">
        <is>
          <t>2267912100002656</t>
        </is>
      </c>
      <c r="BB98" t="inlineStr">
        <is>
          <t>BOOK</t>
        </is>
      </c>
      <c r="BD98" t="inlineStr">
        <is>
          <t>9780393050820</t>
        </is>
      </c>
      <c r="BE98" t="inlineStr">
        <is>
          <t>32285005031181</t>
        </is>
      </c>
      <c r="BF98" t="inlineStr">
        <is>
          <t>893788796</t>
        </is>
      </c>
    </row>
    <row r="99">
      <c r="B99" t="inlineStr">
        <is>
          <t>CURAL</t>
        </is>
      </c>
      <c r="C99" t="inlineStr">
        <is>
          <t>SHELVES</t>
        </is>
      </c>
      <c r="D99" t="inlineStr">
        <is>
          <t>QP251 .G54 1990</t>
        </is>
      </c>
      <c r="E99" t="inlineStr">
        <is>
          <t>0                      QP 0251000G  54          1990</t>
        </is>
      </c>
      <c r="F99" t="inlineStr">
        <is>
          <t>The Gift of life : the proceedings of a national conference on the Vatican instruction on reproductive ethics and technology / [edited by] Marilyn Wallace, Thomas W. Hilgers.</t>
        </is>
      </c>
      <c r="H99" t="inlineStr">
        <is>
          <t>No</t>
        </is>
      </c>
      <c r="I99" t="inlineStr">
        <is>
          <t>1</t>
        </is>
      </c>
      <c r="J99" t="inlineStr">
        <is>
          <t>No</t>
        </is>
      </c>
      <c r="K99" t="inlineStr">
        <is>
          <t>No</t>
        </is>
      </c>
      <c r="L99" t="inlineStr">
        <is>
          <t>0</t>
        </is>
      </c>
      <c r="N99" t="inlineStr">
        <is>
          <t>Omaha, Nebraska : Pope Paul VI Institute Press, c1990.</t>
        </is>
      </c>
      <c r="O99" t="inlineStr">
        <is>
          <t>1990</t>
        </is>
      </c>
      <c r="Q99" t="inlineStr">
        <is>
          <t>eng</t>
        </is>
      </c>
      <c r="R99" t="inlineStr">
        <is>
          <t>nbu</t>
        </is>
      </c>
      <c r="T99" t="inlineStr">
        <is>
          <t xml:space="preserve">QP </t>
        </is>
      </c>
      <c r="U99" t="n">
        <v>14</v>
      </c>
      <c r="V99" t="n">
        <v>14</v>
      </c>
      <c r="W99" t="inlineStr">
        <is>
          <t>2005-02-24</t>
        </is>
      </c>
      <c r="X99" t="inlineStr">
        <is>
          <t>2005-02-24</t>
        </is>
      </c>
      <c r="Y99" t="inlineStr">
        <is>
          <t>1990-08-29</t>
        </is>
      </c>
      <c r="Z99" t="inlineStr">
        <is>
          <t>1990-08-29</t>
        </is>
      </c>
      <c r="AA99" t="n">
        <v>194</v>
      </c>
      <c r="AB99" t="n">
        <v>188</v>
      </c>
      <c r="AC99" t="n">
        <v>195</v>
      </c>
      <c r="AD99" t="n">
        <v>2</v>
      </c>
      <c r="AE99" t="n">
        <v>2</v>
      </c>
      <c r="AF99" t="n">
        <v>31</v>
      </c>
      <c r="AG99" t="n">
        <v>31</v>
      </c>
      <c r="AH99" t="n">
        <v>12</v>
      </c>
      <c r="AI99" t="n">
        <v>12</v>
      </c>
      <c r="AJ99" t="n">
        <v>8</v>
      </c>
      <c r="AK99" t="n">
        <v>8</v>
      </c>
      <c r="AL99" t="n">
        <v>22</v>
      </c>
      <c r="AM99" t="n">
        <v>22</v>
      </c>
      <c r="AN99" t="n">
        <v>0</v>
      </c>
      <c r="AO99" t="n">
        <v>0</v>
      </c>
      <c r="AP99" t="n">
        <v>0</v>
      </c>
      <c r="AQ99" t="n">
        <v>0</v>
      </c>
      <c r="AR99" t="inlineStr">
        <is>
          <t>No</t>
        </is>
      </c>
      <c r="AS99" t="inlineStr">
        <is>
          <t>Yes</t>
        </is>
      </c>
      <c r="AT99">
        <f>HYPERLINK("http://catalog.hathitrust.org/Record/002712195","HathiTrust Record")</f>
        <v/>
      </c>
      <c r="AU99">
        <f>HYPERLINK("https://creighton-primo.hosted.exlibrisgroup.com/primo-explore/search?tab=default_tab&amp;search_scope=EVERYTHING&amp;vid=01CRU&amp;lang=en_US&amp;offset=0&amp;query=any,contains,991001743199702656","Catalog Record")</f>
        <v/>
      </c>
      <c r="AV99">
        <f>HYPERLINK("http://www.worldcat.org/oclc/22115805","WorldCat Record")</f>
        <v/>
      </c>
      <c r="AW99" t="inlineStr">
        <is>
          <t>23178232:eng</t>
        </is>
      </c>
      <c r="AX99" t="inlineStr">
        <is>
          <t>22115805</t>
        </is>
      </c>
      <c r="AY99" t="inlineStr">
        <is>
          <t>991001743199702656</t>
        </is>
      </c>
      <c r="AZ99" t="inlineStr">
        <is>
          <t>991001743199702656</t>
        </is>
      </c>
      <c r="BA99" t="inlineStr">
        <is>
          <t>2266339960002656</t>
        </is>
      </c>
      <c r="BB99" t="inlineStr">
        <is>
          <t>BOOK</t>
        </is>
      </c>
      <c r="BD99" t="inlineStr">
        <is>
          <t>9780962648502</t>
        </is>
      </c>
      <c r="BE99" t="inlineStr">
        <is>
          <t>32285000275296</t>
        </is>
      </c>
      <c r="BF99" t="inlineStr">
        <is>
          <t>893414437</t>
        </is>
      </c>
    </row>
    <row r="100">
      <c r="B100" t="inlineStr">
        <is>
          <t>CURAL</t>
        </is>
      </c>
      <c r="C100" t="inlineStr">
        <is>
          <t>SHELVES</t>
        </is>
      </c>
      <c r="D100" t="inlineStr">
        <is>
          <t>QP251 .I63 1973</t>
        </is>
      </c>
      <c r="E100" t="inlineStr">
        <is>
          <t>0                      QP 0251000I  63          1973</t>
        </is>
      </c>
      <c r="F100" t="inlineStr">
        <is>
          <t>Physiology and genetics of reproduction : [proceedings] / edited by Elsimar M. Coutinho and Fritz Fuchs.</t>
        </is>
      </c>
      <c r="H100" t="inlineStr">
        <is>
          <t>Yes</t>
        </is>
      </c>
      <c r="I100" t="inlineStr">
        <is>
          <t>1</t>
        </is>
      </c>
      <c r="J100" t="inlineStr">
        <is>
          <t>No</t>
        </is>
      </c>
      <c r="K100" t="inlineStr">
        <is>
          <t>No</t>
        </is>
      </c>
      <c r="L100" t="inlineStr">
        <is>
          <t>0</t>
        </is>
      </c>
      <c r="M100" t="inlineStr">
        <is>
          <t>International Latin American Symposium (13th : 1973 : Salvador, Brazil)</t>
        </is>
      </c>
      <c r="N100" t="inlineStr">
        <is>
          <t>New York : Plenum Press, [1974]</t>
        </is>
      </c>
      <c r="O100" t="inlineStr">
        <is>
          <t>1974</t>
        </is>
      </c>
      <c r="Q100" t="inlineStr">
        <is>
          <t>eng</t>
        </is>
      </c>
      <c r="R100" t="inlineStr">
        <is>
          <t>nyu</t>
        </is>
      </c>
      <c r="S100" t="inlineStr">
        <is>
          <t>Basic life sciences ; v. 4</t>
        </is>
      </c>
      <c r="T100" t="inlineStr">
        <is>
          <t xml:space="preserve">QP </t>
        </is>
      </c>
      <c r="U100" t="n">
        <v>4</v>
      </c>
      <c r="V100" t="n">
        <v>4</v>
      </c>
      <c r="W100" t="inlineStr">
        <is>
          <t>2008-02-21</t>
        </is>
      </c>
      <c r="X100" t="inlineStr">
        <is>
          <t>2008-02-21</t>
        </is>
      </c>
      <c r="Y100" t="inlineStr">
        <is>
          <t>1994-12-12</t>
        </is>
      </c>
      <c r="Z100" t="inlineStr">
        <is>
          <t>1994-12-12</t>
        </is>
      </c>
      <c r="AA100" t="n">
        <v>273</v>
      </c>
      <c r="AB100" t="n">
        <v>206</v>
      </c>
      <c r="AC100" t="n">
        <v>208</v>
      </c>
      <c r="AD100" t="n">
        <v>2</v>
      </c>
      <c r="AE100" t="n">
        <v>2</v>
      </c>
      <c r="AF100" t="n">
        <v>6</v>
      </c>
      <c r="AG100" t="n">
        <v>6</v>
      </c>
      <c r="AH100" t="n">
        <v>0</v>
      </c>
      <c r="AI100" t="n">
        <v>0</v>
      </c>
      <c r="AJ100" t="n">
        <v>4</v>
      </c>
      <c r="AK100" t="n">
        <v>4</v>
      </c>
      <c r="AL100" t="n">
        <v>3</v>
      </c>
      <c r="AM100" t="n">
        <v>3</v>
      </c>
      <c r="AN100" t="n">
        <v>1</v>
      </c>
      <c r="AO100" t="n">
        <v>1</v>
      </c>
      <c r="AP100" t="n">
        <v>0</v>
      </c>
      <c r="AQ100" t="n">
        <v>0</v>
      </c>
      <c r="AR100" t="inlineStr">
        <is>
          <t>No</t>
        </is>
      </c>
      <c r="AS100" t="inlineStr">
        <is>
          <t>Yes</t>
        </is>
      </c>
      <c r="AT100">
        <f>HYPERLINK("http://catalog.hathitrust.org/Record/001576788","HathiTrust Record")</f>
        <v/>
      </c>
      <c r="AU100">
        <f>HYPERLINK("https://creighton-primo.hosted.exlibrisgroup.com/primo-explore/search?tab=default_tab&amp;search_scope=EVERYTHING&amp;vid=01CRU&amp;lang=en_US&amp;offset=0&amp;query=any,contains,991003495579702656","Catalog Record")</f>
        <v/>
      </c>
      <c r="AV100">
        <f>HYPERLINK("http://www.worldcat.org/oclc/1046037","WorldCat Record")</f>
        <v/>
      </c>
      <c r="AW100" t="inlineStr">
        <is>
          <t>116221276:eng</t>
        </is>
      </c>
      <c r="AX100" t="inlineStr">
        <is>
          <t>1046037</t>
        </is>
      </c>
      <c r="AY100" t="inlineStr">
        <is>
          <t>991003495579702656</t>
        </is>
      </c>
      <c r="AZ100" t="inlineStr">
        <is>
          <t>991003495579702656</t>
        </is>
      </c>
      <c r="BA100" t="inlineStr">
        <is>
          <t>2266865920002656</t>
        </is>
      </c>
      <c r="BB100" t="inlineStr">
        <is>
          <t>BOOK</t>
        </is>
      </c>
      <c r="BD100" t="inlineStr">
        <is>
          <t>9780306365911</t>
        </is>
      </c>
      <c r="BE100" t="inlineStr">
        <is>
          <t>32285001981348</t>
        </is>
      </c>
      <c r="BF100" t="inlineStr">
        <is>
          <t>893793656</t>
        </is>
      </c>
    </row>
    <row r="101">
      <c r="B101" t="inlineStr">
        <is>
          <t>CURAL</t>
        </is>
      </c>
      <c r="C101" t="inlineStr">
        <is>
          <t>SHELVES</t>
        </is>
      </c>
      <c r="D101" t="inlineStr">
        <is>
          <t>QP251 .J46 1982</t>
        </is>
      </c>
      <c r="E101" t="inlineStr">
        <is>
          <t>0                      QP 0251000J  46          1982</t>
        </is>
      </c>
      <c r="F101" t="inlineStr">
        <is>
          <t>Reproduction : the cycle of life / by Karen Jensen and the editors of U.S. News Books.</t>
        </is>
      </c>
      <c r="H101" t="inlineStr">
        <is>
          <t>No</t>
        </is>
      </c>
      <c r="I101" t="inlineStr">
        <is>
          <t>1</t>
        </is>
      </c>
      <c r="J101" t="inlineStr">
        <is>
          <t>No</t>
        </is>
      </c>
      <c r="K101" t="inlineStr">
        <is>
          <t>No</t>
        </is>
      </c>
      <c r="L101" t="inlineStr">
        <is>
          <t>0</t>
        </is>
      </c>
      <c r="M101" t="inlineStr">
        <is>
          <t>Jensen, Karen, 1957-</t>
        </is>
      </c>
      <c r="N101" t="inlineStr">
        <is>
          <t>Washington, D.C. : U.S. News Books, 1982.</t>
        </is>
      </c>
      <c r="O101" t="inlineStr">
        <is>
          <t>1982</t>
        </is>
      </c>
      <c r="Q101" t="inlineStr">
        <is>
          <t>eng</t>
        </is>
      </c>
      <c r="R101" t="inlineStr">
        <is>
          <t>dcu</t>
        </is>
      </c>
      <c r="S101" t="inlineStr">
        <is>
          <t>The Human body</t>
        </is>
      </c>
      <c r="T101" t="inlineStr">
        <is>
          <t xml:space="preserve">QP </t>
        </is>
      </c>
      <c r="U101" t="n">
        <v>11</v>
      </c>
      <c r="V101" t="n">
        <v>11</v>
      </c>
      <c r="W101" t="inlineStr">
        <is>
          <t>2008-02-21</t>
        </is>
      </c>
      <c r="X101" t="inlineStr">
        <is>
          <t>2008-02-21</t>
        </is>
      </c>
      <c r="Y101" t="inlineStr">
        <is>
          <t>1992-04-24</t>
        </is>
      </c>
      <c r="Z101" t="inlineStr">
        <is>
          <t>1992-04-24</t>
        </is>
      </c>
      <c r="AA101" t="n">
        <v>677</v>
      </c>
      <c r="AB101" t="n">
        <v>649</v>
      </c>
      <c r="AC101" t="n">
        <v>772</v>
      </c>
      <c r="AD101" t="n">
        <v>6</v>
      </c>
      <c r="AE101" t="n">
        <v>9</v>
      </c>
      <c r="AF101" t="n">
        <v>14</v>
      </c>
      <c r="AG101" t="n">
        <v>15</v>
      </c>
      <c r="AH101" t="n">
        <v>5</v>
      </c>
      <c r="AI101" t="n">
        <v>5</v>
      </c>
      <c r="AJ101" t="n">
        <v>2</v>
      </c>
      <c r="AK101" t="n">
        <v>2</v>
      </c>
      <c r="AL101" t="n">
        <v>6</v>
      </c>
      <c r="AM101" t="n">
        <v>6</v>
      </c>
      <c r="AN101" t="n">
        <v>3</v>
      </c>
      <c r="AO101" t="n">
        <v>4</v>
      </c>
      <c r="AP101" t="n">
        <v>0</v>
      </c>
      <c r="AQ101" t="n">
        <v>0</v>
      </c>
      <c r="AR101" t="inlineStr">
        <is>
          <t>No</t>
        </is>
      </c>
      <c r="AS101" t="inlineStr">
        <is>
          <t>No</t>
        </is>
      </c>
      <c r="AU101">
        <f>HYPERLINK("https://creighton-primo.hosted.exlibrisgroup.com/primo-explore/search?tab=default_tab&amp;search_scope=EVERYTHING&amp;vid=01CRU&amp;lang=en_US&amp;offset=0&amp;query=any,contains,991005226359702656","Catalog Record")</f>
        <v/>
      </c>
      <c r="AV101">
        <f>HYPERLINK("http://www.worldcat.org/oclc/8282975","WorldCat Record")</f>
        <v/>
      </c>
      <c r="AW101" t="inlineStr">
        <is>
          <t>31169620:eng</t>
        </is>
      </c>
      <c r="AX101" t="inlineStr">
        <is>
          <t>8282975</t>
        </is>
      </c>
      <c r="AY101" t="inlineStr">
        <is>
          <t>991005226359702656</t>
        </is>
      </c>
      <c r="AZ101" t="inlineStr">
        <is>
          <t>991005226359702656</t>
        </is>
      </c>
      <c r="BA101" t="inlineStr">
        <is>
          <t>2268682470002656</t>
        </is>
      </c>
      <c r="BB101" t="inlineStr">
        <is>
          <t>BOOK</t>
        </is>
      </c>
      <c r="BD101" t="inlineStr">
        <is>
          <t>9780891936060</t>
        </is>
      </c>
      <c r="BE101" t="inlineStr">
        <is>
          <t>32285001071470</t>
        </is>
      </c>
      <c r="BF101" t="inlineStr">
        <is>
          <t>893896097</t>
        </is>
      </c>
    </row>
    <row r="102">
      <c r="B102" t="inlineStr">
        <is>
          <t>CURAL</t>
        </is>
      </c>
      <c r="C102" t="inlineStr">
        <is>
          <t>SHELVES</t>
        </is>
      </c>
      <c r="D102" t="inlineStr">
        <is>
          <t>QP251 .J635 1984</t>
        </is>
      </c>
      <c r="E102" t="inlineStr">
        <is>
          <t>0                      QP 0251000J  635         1984</t>
        </is>
      </c>
      <c r="F102" t="inlineStr">
        <is>
          <t>Human reproduction and sexual behavior / Richard E. Jones.</t>
        </is>
      </c>
      <c r="H102" t="inlineStr">
        <is>
          <t>No</t>
        </is>
      </c>
      <c r="I102" t="inlineStr">
        <is>
          <t>1</t>
        </is>
      </c>
      <c r="J102" t="inlineStr">
        <is>
          <t>No</t>
        </is>
      </c>
      <c r="K102" t="inlineStr">
        <is>
          <t>No</t>
        </is>
      </c>
      <c r="L102" t="inlineStr">
        <is>
          <t>0</t>
        </is>
      </c>
      <c r="M102" t="inlineStr">
        <is>
          <t>Jones, Richard E. (Richard Evan), 1940-</t>
        </is>
      </c>
      <c r="N102" t="inlineStr">
        <is>
          <t>Englewood Cliffs, N.J. : Prentice-Hall, c1984.</t>
        </is>
      </c>
      <c r="O102" t="inlineStr">
        <is>
          <t>1984</t>
        </is>
      </c>
      <c r="Q102" t="inlineStr">
        <is>
          <t>eng</t>
        </is>
      </c>
      <c r="R102" t="inlineStr">
        <is>
          <t>nju</t>
        </is>
      </c>
      <c r="T102" t="inlineStr">
        <is>
          <t xml:space="preserve">QP </t>
        </is>
      </c>
      <c r="U102" t="n">
        <v>30</v>
      </c>
      <c r="V102" t="n">
        <v>30</v>
      </c>
      <c r="W102" t="inlineStr">
        <is>
          <t>2008-02-21</t>
        </is>
      </c>
      <c r="X102" t="inlineStr">
        <is>
          <t>2008-02-21</t>
        </is>
      </c>
      <c r="Y102" t="inlineStr">
        <is>
          <t>1992-04-06</t>
        </is>
      </c>
      <c r="Z102" t="inlineStr">
        <is>
          <t>1992-04-06</t>
        </is>
      </c>
      <c r="AA102" t="n">
        <v>298</v>
      </c>
      <c r="AB102" t="n">
        <v>262</v>
      </c>
      <c r="AC102" t="n">
        <v>262</v>
      </c>
      <c r="AD102" t="n">
        <v>1</v>
      </c>
      <c r="AE102" t="n">
        <v>1</v>
      </c>
      <c r="AF102" t="n">
        <v>12</v>
      </c>
      <c r="AG102" t="n">
        <v>12</v>
      </c>
      <c r="AH102" t="n">
        <v>5</v>
      </c>
      <c r="AI102" t="n">
        <v>5</v>
      </c>
      <c r="AJ102" t="n">
        <v>5</v>
      </c>
      <c r="AK102" t="n">
        <v>5</v>
      </c>
      <c r="AL102" t="n">
        <v>7</v>
      </c>
      <c r="AM102" t="n">
        <v>7</v>
      </c>
      <c r="AN102" t="n">
        <v>0</v>
      </c>
      <c r="AO102" t="n">
        <v>0</v>
      </c>
      <c r="AP102" t="n">
        <v>0</v>
      </c>
      <c r="AQ102" t="n">
        <v>0</v>
      </c>
      <c r="AR102" t="inlineStr">
        <is>
          <t>No</t>
        </is>
      </c>
      <c r="AS102" t="inlineStr">
        <is>
          <t>No</t>
        </is>
      </c>
      <c r="AU102">
        <f>HYPERLINK("https://creighton-primo.hosted.exlibrisgroup.com/primo-explore/search?tab=default_tab&amp;search_scope=EVERYTHING&amp;vid=01CRU&amp;lang=en_US&amp;offset=0&amp;query=any,contains,991000182169702656","Catalog Record")</f>
        <v/>
      </c>
      <c r="AV102">
        <f>HYPERLINK("http://www.worldcat.org/oclc/9392294","WorldCat Record")</f>
        <v/>
      </c>
      <c r="AW102" t="inlineStr">
        <is>
          <t>43079084:eng</t>
        </is>
      </c>
      <c r="AX102" t="inlineStr">
        <is>
          <t>9392294</t>
        </is>
      </c>
      <c r="AY102" t="inlineStr">
        <is>
          <t>991000182169702656</t>
        </is>
      </c>
      <c r="AZ102" t="inlineStr">
        <is>
          <t>991000182169702656</t>
        </is>
      </c>
      <c r="BA102" t="inlineStr">
        <is>
          <t>2266461610002656</t>
        </is>
      </c>
      <c r="BB102" t="inlineStr">
        <is>
          <t>BOOK</t>
        </is>
      </c>
      <c r="BD102" t="inlineStr">
        <is>
          <t>9780134475240</t>
        </is>
      </c>
      <c r="BE102" t="inlineStr">
        <is>
          <t>32285001049591</t>
        </is>
      </c>
      <c r="BF102" t="inlineStr">
        <is>
          <t>893502320</t>
        </is>
      </c>
    </row>
    <row r="103">
      <c r="B103" t="inlineStr">
        <is>
          <t>CURAL</t>
        </is>
      </c>
      <c r="C103" t="inlineStr">
        <is>
          <t>SHELVES</t>
        </is>
      </c>
      <c r="D103" t="inlineStr">
        <is>
          <t>QP251 .L37 1987</t>
        </is>
      </c>
      <c r="E103" t="inlineStr">
        <is>
          <t>0                      QP 0251000L  37          1987</t>
        </is>
      </c>
      <c r="F103" t="inlineStr">
        <is>
          <t>In search of parenthood : coping with infertility and high-tech conception / Judith N. Lasker and Susan Borg.</t>
        </is>
      </c>
      <c r="H103" t="inlineStr">
        <is>
          <t>No</t>
        </is>
      </c>
      <c r="I103" t="inlineStr">
        <is>
          <t>1</t>
        </is>
      </c>
      <c r="J103" t="inlineStr">
        <is>
          <t>No</t>
        </is>
      </c>
      <c r="K103" t="inlineStr">
        <is>
          <t>No</t>
        </is>
      </c>
      <c r="L103" t="inlineStr">
        <is>
          <t>0</t>
        </is>
      </c>
      <c r="M103" t="inlineStr">
        <is>
          <t>Lasker, Judith, 1947-</t>
        </is>
      </c>
      <c r="N103" t="inlineStr">
        <is>
          <t>Boston : Beacon Press, c1987.</t>
        </is>
      </c>
      <c r="O103" t="inlineStr">
        <is>
          <t>1987</t>
        </is>
      </c>
      <c r="Q103" t="inlineStr">
        <is>
          <t>eng</t>
        </is>
      </c>
      <c r="R103" t="inlineStr">
        <is>
          <t>mau</t>
        </is>
      </c>
      <c r="T103" t="inlineStr">
        <is>
          <t xml:space="preserve">QP </t>
        </is>
      </c>
      <c r="U103" t="n">
        <v>4</v>
      </c>
      <c r="V103" t="n">
        <v>4</v>
      </c>
      <c r="W103" t="inlineStr">
        <is>
          <t>1992-03-23</t>
        </is>
      </c>
      <c r="X103" t="inlineStr">
        <is>
          <t>1992-03-23</t>
        </is>
      </c>
      <c r="Y103" t="inlineStr">
        <is>
          <t>1991-12-11</t>
        </is>
      </c>
      <c r="Z103" t="inlineStr">
        <is>
          <t>1991-12-11</t>
        </is>
      </c>
      <c r="AA103" t="n">
        <v>599</v>
      </c>
      <c r="AB103" t="n">
        <v>545</v>
      </c>
      <c r="AC103" t="n">
        <v>829</v>
      </c>
      <c r="AD103" t="n">
        <v>2</v>
      </c>
      <c r="AE103" t="n">
        <v>2</v>
      </c>
      <c r="AF103" t="n">
        <v>12</v>
      </c>
      <c r="AG103" t="n">
        <v>26</v>
      </c>
      <c r="AH103" t="n">
        <v>5</v>
      </c>
      <c r="AI103" t="n">
        <v>12</v>
      </c>
      <c r="AJ103" t="n">
        <v>2</v>
      </c>
      <c r="AK103" t="n">
        <v>7</v>
      </c>
      <c r="AL103" t="n">
        <v>6</v>
      </c>
      <c r="AM103" t="n">
        <v>14</v>
      </c>
      <c r="AN103" t="n">
        <v>1</v>
      </c>
      <c r="AO103" t="n">
        <v>1</v>
      </c>
      <c r="AP103" t="n">
        <v>1</v>
      </c>
      <c r="AQ103" t="n">
        <v>1</v>
      </c>
      <c r="AR103" t="inlineStr">
        <is>
          <t>No</t>
        </is>
      </c>
      <c r="AS103" t="inlineStr">
        <is>
          <t>Yes</t>
        </is>
      </c>
      <c r="AT103">
        <f>HYPERLINK("http://catalog.hathitrust.org/Record/000843138","HathiTrust Record")</f>
        <v/>
      </c>
      <c r="AU103">
        <f>HYPERLINK("https://creighton-primo.hosted.exlibrisgroup.com/primo-explore/search?tab=default_tab&amp;search_scope=EVERYTHING&amp;vid=01CRU&amp;lang=en_US&amp;offset=0&amp;query=any,contains,991001032199702656","Catalog Record")</f>
        <v/>
      </c>
      <c r="AV103">
        <f>HYPERLINK("http://www.worldcat.org/oclc/15519697","WorldCat Record")</f>
        <v/>
      </c>
      <c r="AW103" t="inlineStr">
        <is>
          <t>10173217:eng</t>
        </is>
      </c>
      <c r="AX103" t="inlineStr">
        <is>
          <t>15519697</t>
        </is>
      </c>
      <c r="AY103" t="inlineStr">
        <is>
          <t>991001032199702656</t>
        </is>
      </c>
      <c r="AZ103" t="inlineStr">
        <is>
          <t>991001032199702656</t>
        </is>
      </c>
      <c r="BA103" t="inlineStr">
        <is>
          <t>2265247140002656</t>
        </is>
      </c>
      <c r="BB103" t="inlineStr">
        <is>
          <t>BOOK</t>
        </is>
      </c>
      <c r="BD103" t="inlineStr">
        <is>
          <t>9780807027066</t>
        </is>
      </c>
      <c r="BE103" t="inlineStr">
        <is>
          <t>32285000900778</t>
        </is>
      </c>
      <c r="BF103" t="inlineStr">
        <is>
          <t>893596128</t>
        </is>
      </c>
    </row>
    <row r="104">
      <c r="B104" t="inlineStr">
        <is>
          <t>CURAL</t>
        </is>
      </c>
      <c r="C104" t="inlineStr">
        <is>
          <t>SHELVES</t>
        </is>
      </c>
      <c r="D104" t="inlineStr">
        <is>
          <t>QP251 .L4213</t>
        </is>
      </c>
      <c r="E104" t="inlineStr">
        <is>
          <t>0                      QP 0251000L  4213</t>
        </is>
      </c>
      <c r="F104" t="inlineStr">
        <is>
          <t>Human fertility : the basic components / Henri Leridon ; translated by Judith F. Helzner. --</t>
        </is>
      </c>
      <c r="H104" t="inlineStr">
        <is>
          <t>No</t>
        </is>
      </c>
      <c r="I104" t="inlineStr">
        <is>
          <t>1</t>
        </is>
      </c>
      <c r="J104" t="inlineStr">
        <is>
          <t>No</t>
        </is>
      </c>
      <c r="K104" t="inlineStr">
        <is>
          <t>No</t>
        </is>
      </c>
      <c r="L104" t="inlineStr">
        <is>
          <t>0</t>
        </is>
      </c>
      <c r="M104" t="inlineStr">
        <is>
          <t>Léridon, Henri.</t>
        </is>
      </c>
      <c r="N104" t="inlineStr">
        <is>
          <t>Chicago : University of Chicago Press, 1977.</t>
        </is>
      </c>
      <c r="O104" t="inlineStr">
        <is>
          <t>1977</t>
        </is>
      </c>
      <c r="Q104" t="inlineStr">
        <is>
          <t>eng</t>
        </is>
      </c>
      <c r="R104" t="inlineStr">
        <is>
          <t>ilu</t>
        </is>
      </c>
      <c r="T104" t="inlineStr">
        <is>
          <t xml:space="preserve">QP </t>
        </is>
      </c>
      <c r="U104" t="n">
        <v>4</v>
      </c>
      <c r="V104" t="n">
        <v>4</v>
      </c>
      <c r="W104" t="inlineStr">
        <is>
          <t>2008-02-21</t>
        </is>
      </c>
      <c r="X104" t="inlineStr">
        <is>
          <t>2008-02-21</t>
        </is>
      </c>
      <c r="Y104" t="inlineStr">
        <is>
          <t>1993-02-26</t>
        </is>
      </c>
      <c r="Z104" t="inlineStr">
        <is>
          <t>1993-02-26</t>
        </is>
      </c>
      <c r="AA104" t="n">
        <v>382</v>
      </c>
      <c r="AB104" t="n">
        <v>319</v>
      </c>
      <c r="AC104" t="n">
        <v>319</v>
      </c>
      <c r="AD104" t="n">
        <v>3</v>
      </c>
      <c r="AE104" t="n">
        <v>3</v>
      </c>
      <c r="AF104" t="n">
        <v>9</v>
      </c>
      <c r="AG104" t="n">
        <v>9</v>
      </c>
      <c r="AH104" t="n">
        <v>2</v>
      </c>
      <c r="AI104" t="n">
        <v>2</v>
      </c>
      <c r="AJ104" t="n">
        <v>3</v>
      </c>
      <c r="AK104" t="n">
        <v>3</v>
      </c>
      <c r="AL104" t="n">
        <v>4</v>
      </c>
      <c r="AM104" t="n">
        <v>4</v>
      </c>
      <c r="AN104" t="n">
        <v>2</v>
      </c>
      <c r="AO104" t="n">
        <v>2</v>
      </c>
      <c r="AP104" t="n">
        <v>0</v>
      </c>
      <c r="AQ104" t="n">
        <v>0</v>
      </c>
      <c r="AR104" t="inlineStr">
        <is>
          <t>No</t>
        </is>
      </c>
      <c r="AS104" t="inlineStr">
        <is>
          <t>No</t>
        </is>
      </c>
      <c r="AU104">
        <f>HYPERLINK("https://creighton-primo.hosted.exlibrisgroup.com/primo-explore/search?tab=default_tab&amp;search_scope=EVERYTHING&amp;vid=01CRU&amp;lang=en_US&amp;offset=0&amp;query=any,contains,991004244219702656","Catalog Record")</f>
        <v/>
      </c>
      <c r="AV104">
        <f>HYPERLINK("http://www.worldcat.org/oclc/2797816","WorldCat Record")</f>
        <v/>
      </c>
      <c r="AW104" t="inlineStr">
        <is>
          <t>3901152151:eng</t>
        </is>
      </c>
      <c r="AX104" t="inlineStr">
        <is>
          <t>2797816</t>
        </is>
      </c>
      <c r="AY104" t="inlineStr">
        <is>
          <t>991004244219702656</t>
        </is>
      </c>
      <c r="AZ104" t="inlineStr">
        <is>
          <t>991004244219702656</t>
        </is>
      </c>
      <c r="BA104" t="inlineStr">
        <is>
          <t>2265595640002656</t>
        </is>
      </c>
      <c r="BB104" t="inlineStr">
        <is>
          <t>BOOK</t>
        </is>
      </c>
      <c r="BD104" t="inlineStr">
        <is>
          <t>9780226472973</t>
        </is>
      </c>
      <c r="BE104" t="inlineStr">
        <is>
          <t>32285001560308</t>
        </is>
      </c>
      <c r="BF104" t="inlineStr">
        <is>
          <t>893875858</t>
        </is>
      </c>
    </row>
    <row r="105">
      <c r="B105" t="inlineStr">
        <is>
          <t>CURAL</t>
        </is>
      </c>
      <c r="C105" t="inlineStr">
        <is>
          <t>SHELVES</t>
        </is>
      </c>
      <c r="D105" t="inlineStr">
        <is>
          <t>QP251 .M278 1987</t>
        </is>
      </c>
      <c r="E105" t="inlineStr">
        <is>
          <t>0                      QP 0251000M  278         1987</t>
        </is>
      </c>
      <c r="F105" t="inlineStr">
        <is>
          <t>Made to order : the myth of reproductive and genetic progress / edited by Patricia Spallone and Deborah Lynn Steinberg.</t>
        </is>
      </c>
      <c r="H105" t="inlineStr">
        <is>
          <t>No</t>
        </is>
      </c>
      <c r="I105" t="inlineStr">
        <is>
          <t>1</t>
        </is>
      </c>
      <c r="J105" t="inlineStr">
        <is>
          <t>No</t>
        </is>
      </c>
      <c r="K105" t="inlineStr">
        <is>
          <t>No</t>
        </is>
      </c>
      <c r="L105" t="inlineStr">
        <is>
          <t>0</t>
        </is>
      </c>
      <c r="N105" t="inlineStr">
        <is>
          <t>Oxford [Oxfordshire] ; New York : Pergamon Press, 1987.</t>
        </is>
      </c>
      <c r="O105" t="inlineStr">
        <is>
          <t>1987</t>
        </is>
      </c>
      <c r="P105" t="inlineStr">
        <is>
          <t>1st ed.</t>
        </is>
      </c>
      <c r="Q105" t="inlineStr">
        <is>
          <t>eng</t>
        </is>
      </c>
      <c r="R105" t="inlineStr">
        <is>
          <t>enk</t>
        </is>
      </c>
      <c r="S105" t="inlineStr">
        <is>
          <t>The Athene series</t>
        </is>
      </c>
      <c r="T105" t="inlineStr">
        <is>
          <t xml:space="preserve">QP </t>
        </is>
      </c>
      <c r="U105" t="n">
        <v>8</v>
      </c>
      <c r="V105" t="n">
        <v>8</v>
      </c>
      <c r="W105" t="inlineStr">
        <is>
          <t>1995-06-22</t>
        </is>
      </c>
      <c r="X105" t="inlineStr">
        <is>
          <t>1995-06-22</t>
        </is>
      </c>
      <c r="Y105" t="inlineStr">
        <is>
          <t>1992-04-24</t>
        </is>
      </c>
      <c r="Z105" t="inlineStr">
        <is>
          <t>1992-04-24</t>
        </is>
      </c>
      <c r="AA105" t="n">
        <v>478</v>
      </c>
      <c r="AB105" t="n">
        <v>341</v>
      </c>
      <c r="AC105" t="n">
        <v>351</v>
      </c>
      <c r="AD105" t="n">
        <v>1</v>
      </c>
      <c r="AE105" t="n">
        <v>1</v>
      </c>
      <c r="AF105" t="n">
        <v>15</v>
      </c>
      <c r="AG105" t="n">
        <v>15</v>
      </c>
      <c r="AH105" t="n">
        <v>6</v>
      </c>
      <c r="AI105" t="n">
        <v>6</v>
      </c>
      <c r="AJ105" t="n">
        <v>5</v>
      </c>
      <c r="AK105" t="n">
        <v>5</v>
      </c>
      <c r="AL105" t="n">
        <v>8</v>
      </c>
      <c r="AM105" t="n">
        <v>8</v>
      </c>
      <c r="AN105" t="n">
        <v>0</v>
      </c>
      <c r="AO105" t="n">
        <v>0</v>
      </c>
      <c r="AP105" t="n">
        <v>1</v>
      </c>
      <c r="AQ105" t="n">
        <v>1</v>
      </c>
      <c r="AR105" t="inlineStr">
        <is>
          <t>No</t>
        </is>
      </c>
      <c r="AS105" t="inlineStr">
        <is>
          <t>No</t>
        </is>
      </c>
      <c r="AU105">
        <f>HYPERLINK("https://creighton-primo.hosted.exlibrisgroup.com/primo-explore/search?tab=default_tab&amp;search_scope=EVERYTHING&amp;vid=01CRU&amp;lang=en_US&amp;offset=0&amp;query=any,contains,991001016099702656","Catalog Record")</f>
        <v/>
      </c>
      <c r="AV105">
        <f>HYPERLINK("http://www.worldcat.org/oclc/15317773","WorldCat Record")</f>
        <v/>
      </c>
      <c r="AW105" t="inlineStr">
        <is>
          <t>836713530:eng</t>
        </is>
      </c>
      <c r="AX105" t="inlineStr">
        <is>
          <t>15317773</t>
        </is>
      </c>
      <c r="AY105" t="inlineStr">
        <is>
          <t>991001016099702656</t>
        </is>
      </c>
      <c r="AZ105" t="inlineStr">
        <is>
          <t>991001016099702656</t>
        </is>
      </c>
      <c r="BA105" t="inlineStr">
        <is>
          <t>2256401100002656</t>
        </is>
      </c>
      <c r="BB105" t="inlineStr">
        <is>
          <t>BOOK</t>
        </is>
      </c>
      <c r="BD105" t="inlineStr">
        <is>
          <t>9780080349534</t>
        </is>
      </c>
      <c r="BE105" t="inlineStr">
        <is>
          <t>32285001086064</t>
        </is>
      </c>
      <c r="BF105" t="inlineStr">
        <is>
          <t>893589948</t>
        </is>
      </c>
    </row>
    <row r="106">
      <c r="B106" t="inlineStr">
        <is>
          <t>CURAL</t>
        </is>
      </c>
      <c r="C106" t="inlineStr">
        <is>
          <t>SHELVES</t>
        </is>
      </c>
      <c r="D106" t="inlineStr">
        <is>
          <t>QP251 .M32</t>
        </is>
      </c>
      <c r="E106" t="inlineStr">
        <is>
          <t>0                      QP 0251000M  32</t>
        </is>
      </c>
      <c r="F106" t="inlineStr">
        <is>
          <t>Physiology of reproduction, edited by A. S. Parkes.</t>
        </is>
      </c>
      <c r="G106" t="inlineStr">
        <is>
          <t>V.1 PT.2</t>
        </is>
      </c>
      <c r="H106" t="inlineStr">
        <is>
          <t>Yes</t>
        </is>
      </c>
      <c r="I106" t="inlineStr">
        <is>
          <t>1</t>
        </is>
      </c>
      <c r="J106" t="inlineStr">
        <is>
          <t>No</t>
        </is>
      </c>
      <c r="K106" t="inlineStr">
        <is>
          <t>No</t>
        </is>
      </c>
      <c r="L106" t="inlineStr">
        <is>
          <t>0</t>
        </is>
      </c>
      <c r="M106" t="inlineStr">
        <is>
          <t>Marshall, F. H. A. (Francis Hugh Adam), 1878-1949.</t>
        </is>
      </c>
      <c r="N106" t="inlineStr">
        <is>
          <t>London, New York, Longmans, Green [1952-</t>
        </is>
      </c>
      <c r="O106" t="inlineStr">
        <is>
          <t>1952</t>
        </is>
      </c>
      <c r="P106" t="inlineStr">
        <is>
          <t>[3d ed.]</t>
        </is>
      </c>
      <c r="Q106" t="inlineStr">
        <is>
          <t>eng</t>
        </is>
      </c>
      <c r="R106" t="inlineStr">
        <is>
          <t>enk</t>
        </is>
      </c>
      <c r="T106" t="inlineStr">
        <is>
          <t xml:space="preserve">QP </t>
        </is>
      </c>
      <c r="U106" t="n">
        <v>0</v>
      </c>
      <c r="V106" t="n">
        <v>2</v>
      </c>
      <c r="X106" t="inlineStr">
        <is>
          <t>2000-04-26</t>
        </is>
      </c>
      <c r="Y106" t="inlineStr">
        <is>
          <t>1997-08-06</t>
        </is>
      </c>
      <c r="Z106" t="inlineStr">
        <is>
          <t>1997-08-06</t>
        </is>
      </c>
      <c r="AA106" t="n">
        <v>208</v>
      </c>
      <c r="AB106" t="n">
        <v>179</v>
      </c>
      <c r="AC106" t="n">
        <v>326</v>
      </c>
      <c r="AD106" t="n">
        <v>2</v>
      </c>
      <c r="AE106" t="n">
        <v>4</v>
      </c>
      <c r="AF106" t="n">
        <v>3</v>
      </c>
      <c r="AG106" t="n">
        <v>8</v>
      </c>
      <c r="AH106" t="n">
        <v>0</v>
      </c>
      <c r="AI106" t="n">
        <v>0</v>
      </c>
      <c r="AJ106" t="n">
        <v>2</v>
      </c>
      <c r="AK106" t="n">
        <v>3</v>
      </c>
      <c r="AL106" t="n">
        <v>2</v>
      </c>
      <c r="AM106" t="n">
        <v>5</v>
      </c>
      <c r="AN106" t="n">
        <v>1</v>
      </c>
      <c r="AO106" t="n">
        <v>2</v>
      </c>
      <c r="AP106" t="n">
        <v>0</v>
      </c>
      <c r="AQ106" t="n">
        <v>0</v>
      </c>
      <c r="AR106" t="inlineStr">
        <is>
          <t>No</t>
        </is>
      </c>
      <c r="AS106" t="inlineStr">
        <is>
          <t>Yes</t>
        </is>
      </c>
      <c r="AT106">
        <f>HYPERLINK("http://catalog.hathitrust.org/Record/000202753","HathiTrust Record")</f>
        <v/>
      </c>
      <c r="AU106">
        <f>HYPERLINK("https://creighton-primo.hosted.exlibrisgroup.com/primo-explore/search?tab=default_tab&amp;search_scope=EVERYTHING&amp;vid=01CRU&amp;lang=en_US&amp;offset=0&amp;query=any,contains,991003318749702656","Catalog Record")</f>
        <v/>
      </c>
      <c r="AV106">
        <f>HYPERLINK("http://www.worldcat.org/oclc/845240","WorldCat Record")</f>
        <v/>
      </c>
      <c r="AW106" t="inlineStr">
        <is>
          <t>2811553306:eng</t>
        </is>
      </c>
      <c r="AX106" t="inlineStr">
        <is>
          <t>845240</t>
        </is>
      </c>
      <c r="AY106" t="inlineStr">
        <is>
          <t>991003318749702656</t>
        </is>
      </c>
      <c r="AZ106" t="inlineStr">
        <is>
          <t>991003318749702656</t>
        </is>
      </c>
      <c r="BA106" t="inlineStr">
        <is>
          <t>2271441900002656</t>
        </is>
      </c>
      <c r="BB106" t="inlineStr">
        <is>
          <t>BOOK</t>
        </is>
      </c>
      <c r="BE106" t="inlineStr">
        <is>
          <t>32285003013223</t>
        </is>
      </c>
      <c r="BF106" t="inlineStr">
        <is>
          <t>893805667</t>
        </is>
      </c>
    </row>
    <row r="107">
      <c r="B107" t="inlineStr">
        <is>
          <t>CURAL</t>
        </is>
      </c>
      <c r="C107" t="inlineStr">
        <is>
          <t>SHELVES</t>
        </is>
      </c>
      <c r="D107" t="inlineStr">
        <is>
          <t>QP251 .M32</t>
        </is>
      </c>
      <c r="E107" t="inlineStr">
        <is>
          <t>0                      QP 0251000M  32</t>
        </is>
      </c>
      <c r="F107" t="inlineStr">
        <is>
          <t>Physiology of reproduction, edited by A. S. Parkes.</t>
        </is>
      </c>
      <c r="G107" t="inlineStr">
        <is>
          <t>V.3</t>
        </is>
      </c>
      <c r="H107" t="inlineStr">
        <is>
          <t>Yes</t>
        </is>
      </c>
      <c r="I107" t="inlineStr">
        <is>
          <t>1</t>
        </is>
      </c>
      <c r="J107" t="inlineStr">
        <is>
          <t>No</t>
        </is>
      </c>
      <c r="K107" t="inlineStr">
        <is>
          <t>No</t>
        </is>
      </c>
      <c r="L107" t="inlineStr">
        <is>
          <t>0</t>
        </is>
      </c>
      <c r="M107" t="inlineStr">
        <is>
          <t>Marshall, F. H. A. (Francis Hugh Adam), 1878-1949.</t>
        </is>
      </c>
      <c r="N107" t="inlineStr">
        <is>
          <t>London, New York, Longmans, Green [1952-</t>
        </is>
      </c>
      <c r="O107" t="inlineStr">
        <is>
          <t>1952</t>
        </is>
      </c>
      <c r="P107" t="inlineStr">
        <is>
          <t>[3d ed.]</t>
        </is>
      </c>
      <c r="Q107" t="inlineStr">
        <is>
          <t>eng</t>
        </is>
      </c>
      <c r="R107" t="inlineStr">
        <is>
          <t>enk</t>
        </is>
      </c>
      <c r="T107" t="inlineStr">
        <is>
          <t xml:space="preserve">QP </t>
        </is>
      </c>
      <c r="U107" t="n">
        <v>2</v>
      </c>
      <c r="V107" t="n">
        <v>2</v>
      </c>
      <c r="W107" t="inlineStr">
        <is>
          <t>2000-04-26</t>
        </is>
      </c>
      <c r="X107" t="inlineStr">
        <is>
          <t>2000-04-26</t>
        </is>
      </c>
      <c r="Y107" t="inlineStr">
        <is>
          <t>1997-08-06</t>
        </is>
      </c>
      <c r="Z107" t="inlineStr">
        <is>
          <t>1997-08-06</t>
        </is>
      </c>
      <c r="AA107" t="n">
        <v>208</v>
      </c>
      <c r="AB107" t="n">
        <v>179</v>
      </c>
      <c r="AC107" t="n">
        <v>326</v>
      </c>
      <c r="AD107" t="n">
        <v>2</v>
      </c>
      <c r="AE107" t="n">
        <v>4</v>
      </c>
      <c r="AF107" t="n">
        <v>3</v>
      </c>
      <c r="AG107" t="n">
        <v>8</v>
      </c>
      <c r="AH107" t="n">
        <v>0</v>
      </c>
      <c r="AI107" t="n">
        <v>0</v>
      </c>
      <c r="AJ107" t="n">
        <v>2</v>
      </c>
      <c r="AK107" t="n">
        <v>3</v>
      </c>
      <c r="AL107" t="n">
        <v>2</v>
      </c>
      <c r="AM107" t="n">
        <v>5</v>
      </c>
      <c r="AN107" t="n">
        <v>1</v>
      </c>
      <c r="AO107" t="n">
        <v>2</v>
      </c>
      <c r="AP107" t="n">
        <v>0</v>
      </c>
      <c r="AQ107" t="n">
        <v>0</v>
      </c>
      <c r="AR107" t="inlineStr">
        <is>
          <t>No</t>
        </is>
      </c>
      <c r="AS107" t="inlineStr">
        <is>
          <t>Yes</t>
        </is>
      </c>
      <c r="AT107">
        <f>HYPERLINK("http://catalog.hathitrust.org/Record/000202753","HathiTrust Record")</f>
        <v/>
      </c>
      <c r="AU107">
        <f>HYPERLINK("https://creighton-primo.hosted.exlibrisgroup.com/primo-explore/search?tab=default_tab&amp;search_scope=EVERYTHING&amp;vid=01CRU&amp;lang=en_US&amp;offset=0&amp;query=any,contains,991003318749702656","Catalog Record")</f>
        <v/>
      </c>
      <c r="AV107">
        <f>HYPERLINK("http://www.worldcat.org/oclc/845240","WorldCat Record")</f>
        <v/>
      </c>
      <c r="AW107" t="inlineStr">
        <is>
          <t>2811553306:eng</t>
        </is>
      </c>
      <c r="AX107" t="inlineStr">
        <is>
          <t>845240</t>
        </is>
      </c>
      <c r="AY107" t="inlineStr">
        <is>
          <t>991003318749702656</t>
        </is>
      </c>
      <c r="AZ107" t="inlineStr">
        <is>
          <t>991003318749702656</t>
        </is>
      </c>
      <c r="BA107" t="inlineStr">
        <is>
          <t>2271441900002656</t>
        </is>
      </c>
      <c r="BB107" t="inlineStr">
        <is>
          <t>BOOK</t>
        </is>
      </c>
      <c r="BE107" t="inlineStr">
        <is>
          <t>32285003013249</t>
        </is>
      </c>
      <c r="BF107" t="inlineStr">
        <is>
          <t>893805665</t>
        </is>
      </c>
    </row>
    <row r="108">
      <c r="B108" t="inlineStr">
        <is>
          <t>CURAL</t>
        </is>
      </c>
      <c r="C108" t="inlineStr">
        <is>
          <t>SHELVES</t>
        </is>
      </c>
      <c r="D108" t="inlineStr">
        <is>
          <t>QP251 .M32</t>
        </is>
      </c>
      <c r="E108" t="inlineStr">
        <is>
          <t>0                      QP 0251000M  32</t>
        </is>
      </c>
      <c r="F108" t="inlineStr">
        <is>
          <t>Physiology of reproduction, edited by A. S. Parkes.</t>
        </is>
      </c>
      <c r="G108" t="inlineStr">
        <is>
          <t>V.2</t>
        </is>
      </c>
      <c r="H108" t="inlineStr">
        <is>
          <t>Yes</t>
        </is>
      </c>
      <c r="I108" t="inlineStr">
        <is>
          <t>1</t>
        </is>
      </c>
      <c r="J108" t="inlineStr">
        <is>
          <t>No</t>
        </is>
      </c>
      <c r="K108" t="inlineStr">
        <is>
          <t>No</t>
        </is>
      </c>
      <c r="L108" t="inlineStr">
        <is>
          <t>0</t>
        </is>
      </c>
      <c r="M108" t="inlineStr">
        <is>
          <t>Marshall, F. H. A. (Francis Hugh Adam), 1878-1949.</t>
        </is>
      </c>
      <c r="N108" t="inlineStr">
        <is>
          <t>London, New York, Longmans, Green [1952-</t>
        </is>
      </c>
      <c r="O108" t="inlineStr">
        <is>
          <t>1952</t>
        </is>
      </c>
      <c r="P108" t="inlineStr">
        <is>
          <t>[3d ed.]</t>
        </is>
      </c>
      <c r="Q108" t="inlineStr">
        <is>
          <t>eng</t>
        </is>
      </c>
      <c r="R108" t="inlineStr">
        <is>
          <t>enk</t>
        </is>
      </c>
      <c r="T108" t="inlineStr">
        <is>
          <t xml:space="preserve">QP </t>
        </is>
      </c>
      <c r="U108" t="n">
        <v>0</v>
      </c>
      <c r="V108" t="n">
        <v>2</v>
      </c>
      <c r="X108" t="inlineStr">
        <is>
          <t>2000-04-26</t>
        </is>
      </c>
      <c r="Y108" t="inlineStr">
        <is>
          <t>1997-08-06</t>
        </is>
      </c>
      <c r="Z108" t="inlineStr">
        <is>
          <t>1997-08-06</t>
        </is>
      </c>
      <c r="AA108" t="n">
        <v>208</v>
      </c>
      <c r="AB108" t="n">
        <v>179</v>
      </c>
      <c r="AC108" t="n">
        <v>326</v>
      </c>
      <c r="AD108" t="n">
        <v>2</v>
      </c>
      <c r="AE108" t="n">
        <v>4</v>
      </c>
      <c r="AF108" t="n">
        <v>3</v>
      </c>
      <c r="AG108" t="n">
        <v>8</v>
      </c>
      <c r="AH108" t="n">
        <v>0</v>
      </c>
      <c r="AI108" t="n">
        <v>0</v>
      </c>
      <c r="AJ108" t="n">
        <v>2</v>
      </c>
      <c r="AK108" t="n">
        <v>3</v>
      </c>
      <c r="AL108" t="n">
        <v>2</v>
      </c>
      <c r="AM108" t="n">
        <v>5</v>
      </c>
      <c r="AN108" t="n">
        <v>1</v>
      </c>
      <c r="AO108" t="n">
        <v>2</v>
      </c>
      <c r="AP108" t="n">
        <v>0</v>
      </c>
      <c r="AQ108" t="n">
        <v>0</v>
      </c>
      <c r="AR108" t="inlineStr">
        <is>
          <t>No</t>
        </is>
      </c>
      <c r="AS108" t="inlineStr">
        <is>
          <t>Yes</t>
        </is>
      </c>
      <c r="AT108">
        <f>HYPERLINK("http://catalog.hathitrust.org/Record/000202753","HathiTrust Record")</f>
        <v/>
      </c>
      <c r="AU108">
        <f>HYPERLINK("https://creighton-primo.hosted.exlibrisgroup.com/primo-explore/search?tab=default_tab&amp;search_scope=EVERYTHING&amp;vid=01CRU&amp;lang=en_US&amp;offset=0&amp;query=any,contains,991003318749702656","Catalog Record")</f>
        <v/>
      </c>
      <c r="AV108">
        <f>HYPERLINK("http://www.worldcat.org/oclc/845240","WorldCat Record")</f>
        <v/>
      </c>
      <c r="AW108" t="inlineStr">
        <is>
          <t>2811553306:eng</t>
        </is>
      </c>
      <c r="AX108" t="inlineStr">
        <is>
          <t>845240</t>
        </is>
      </c>
      <c r="AY108" t="inlineStr">
        <is>
          <t>991003318749702656</t>
        </is>
      </c>
      <c r="AZ108" t="inlineStr">
        <is>
          <t>991003318749702656</t>
        </is>
      </c>
      <c r="BA108" t="inlineStr">
        <is>
          <t>2271441900002656</t>
        </is>
      </c>
      <c r="BB108" t="inlineStr">
        <is>
          <t>BOOK</t>
        </is>
      </c>
      <c r="BE108" t="inlineStr">
        <is>
          <t>32285003013231</t>
        </is>
      </c>
      <c r="BF108" t="inlineStr">
        <is>
          <t>893805666</t>
        </is>
      </c>
    </row>
    <row r="109">
      <c r="B109" t="inlineStr">
        <is>
          <t>CURAL</t>
        </is>
      </c>
      <c r="C109" t="inlineStr">
        <is>
          <t>SHELVES</t>
        </is>
      </c>
      <c r="D109" t="inlineStr">
        <is>
          <t>QP251 .M32</t>
        </is>
      </c>
      <c r="E109" t="inlineStr">
        <is>
          <t>0                      QP 0251000M  32</t>
        </is>
      </c>
      <c r="F109" t="inlineStr">
        <is>
          <t>Physiology of reproduction, edited by A. S. Parkes.</t>
        </is>
      </c>
      <c r="G109" t="inlineStr">
        <is>
          <t>V.1 PT.1</t>
        </is>
      </c>
      <c r="H109" t="inlineStr">
        <is>
          <t>Yes</t>
        </is>
      </c>
      <c r="I109" t="inlineStr">
        <is>
          <t>1</t>
        </is>
      </c>
      <c r="J109" t="inlineStr">
        <is>
          <t>No</t>
        </is>
      </c>
      <c r="K109" t="inlineStr">
        <is>
          <t>No</t>
        </is>
      </c>
      <c r="L109" t="inlineStr">
        <is>
          <t>0</t>
        </is>
      </c>
      <c r="M109" t="inlineStr">
        <is>
          <t>Marshall, F. H. A. (Francis Hugh Adam), 1878-1949.</t>
        </is>
      </c>
      <c r="N109" t="inlineStr">
        <is>
          <t>London, New York, Longmans, Green [1952-</t>
        </is>
      </c>
      <c r="O109" t="inlineStr">
        <is>
          <t>1952</t>
        </is>
      </c>
      <c r="P109" t="inlineStr">
        <is>
          <t>[3d ed.]</t>
        </is>
      </c>
      <c r="Q109" t="inlineStr">
        <is>
          <t>eng</t>
        </is>
      </c>
      <c r="R109" t="inlineStr">
        <is>
          <t>enk</t>
        </is>
      </c>
      <c r="T109" t="inlineStr">
        <is>
          <t xml:space="preserve">QP </t>
        </is>
      </c>
      <c r="U109" t="n">
        <v>0</v>
      </c>
      <c r="V109" t="n">
        <v>2</v>
      </c>
      <c r="X109" t="inlineStr">
        <is>
          <t>2000-04-26</t>
        </is>
      </c>
      <c r="Y109" t="inlineStr">
        <is>
          <t>1997-08-06</t>
        </is>
      </c>
      <c r="Z109" t="inlineStr">
        <is>
          <t>1997-08-06</t>
        </is>
      </c>
      <c r="AA109" t="n">
        <v>208</v>
      </c>
      <c r="AB109" t="n">
        <v>179</v>
      </c>
      <c r="AC109" t="n">
        <v>326</v>
      </c>
      <c r="AD109" t="n">
        <v>2</v>
      </c>
      <c r="AE109" t="n">
        <v>4</v>
      </c>
      <c r="AF109" t="n">
        <v>3</v>
      </c>
      <c r="AG109" t="n">
        <v>8</v>
      </c>
      <c r="AH109" t="n">
        <v>0</v>
      </c>
      <c r="AI109" t="n">
        <v>0</v>
      </c>
      <c r="AJ109" t="n">
        <v>2</v>
      </c>
      <c r="AK109" t="n">
        <v>3</v>
      </c>
      <c r="AL109" t="n">
        <v>2</v>
      </c>
      <c r="AM109" t="n">
        <v>5</v>
      </c>
      <c r="AN109" t="n">
        <v>1</v>
      </c>
      <c r="AO109" t="n">
        <v>2</v>
      </c>
      <c r="AP109" t="n">
        <v>0</v>
      </c>
      <c r="AQ109" t="n">
        <v>0</v>
      </c>
      <c r="AR109" t="inlineStr">
        <is>
          <t>No</t>
        </is>
      </c>
      <c r="AS109" t="inlineStr">
        <is>
          <t>Yes</t>
        </is>
      </c>
      <c r="AT109">
        <f>HYPERLINK("http://catalog.hathitrust.org/Record/000202753","HathiTrust Record")</f>
        <v/>
      </c>
      <c r="AU109">
        <f>HYPERLINK("https://creighton-primo.hosted.exlibrisgroup.com/primo-explore/search?tab=default_tab&amp;search_scope=EVERYTHING&amp;vid=01CRU&amp;lang=en_US&amp;offset=0&amp;query=any,contains,991003318749702656","Catalog Record")</f>
        <v/>
      </c>
      <c r="AV109">
        <f>HYPERLINK("http://www.worldcat.org/oclc/845240","WorldCat Record")</f>
        <v/>
      </c>
      <c r="AW109" t="inlineStr">
        <is>
          <t>2811553306:eng</t>
        </is>
      </c>
      <c r="AX109" t="inlineStr">
        <is>
          <t>845240</t>
        </is>
      </c>
      <c r="AY109" t="inlineStr">
        <is>
          <t>991003318749702656</t>
        </is>
      </c>
      <c r="AZ109" t="inlineStr">
        <is>
          <t>991003318749702656</t>
        </is>
      </c>
      <c r="BA109" t="inlineStr">
        <is>
          <t>2271441900002656</t>
        </is>
      </c>
      <c r="BB109" t="inlineStr">
        <is>
          <t>BOOK</t>
        </is>
      </c>
      <c r="BE109" t="inlineStr">
        <is>
          <t>32285003013215</t>
        </is>
      </c>
      <c r="BF109" t="inlineStr">
        <is>
          <t>893780851</t>
        </is>
      </c>
    </row>
    <row r="110">
      <c r="B110" t="inlineStr">
        <is>
          <t>CURAL</t>
        </is>
      </c>
      <c r="C110" t="inlineStr">
        <is>
          <t>SHELVES</t>
        </is>
      </c>
      <c r="D110" t="inlineStr">
        <is>
          <t>QP251 .O83 1987</t>
        </is>
      </c>
      <c r="E110" t="inlineStr">
        <is>
          <t>0                      QP 0251000O  83          1987</t>
        </is>
      </c>
      <c r="F110" t="inlineStr">
        <is>
          <t>Ethics and human reproduction : a feminist analysis / Christine Overall.</t>
        </is>
      </c>
      <c r="H110" t="inlineStr">
        <is>
          <t>No</t>
        </is>
      </c>
      <c r="I110" t="inlineStr">
        <is>
          <t>1</t>
        </is>
      </c>
      <c r="J110" t="inlineStr">
        <is>
          <t>No</t>
        </is>
      </c>
      <c r="K110" t="inlineStr">
        <is>
          <t>No</t>
        </is>
      </c>
      <c r="L110" t="inlineStr">
        <is>
          <t>0</t>
        </is>
      </c>
      <c r="M110" t="inlineStr">
        <is>
          <t>Overall, Christine, 1949-</t>
        </is>
      </c>
      <c r="N110" t="inlineStr">
        <is>
          <t>Boston : Allen &amp; Unwin, c1987.</t>
        </is>
      </c>
      <c r="O110" t="inlineStr">
        <is>
          <t>1987</t>
        </is>
      </c>
      <c r="Q110" t="inlineStr">
        <is>
          <t>eng</t>
        </is>
      </c>
      <c r="R110" t="inlineStr">
        <is>
          <t>mau</t>
        </is>
      </c>
      <c r="T110" t="inlineStr">
        <is>
          <t xml:space="preserve">QP </t>
        </is>
      </c>
      <c r="U110" t="n">
        <v>13</v>
      </c>
      <c r="V110" t="n">
        <v>13</v>
      </c>
      <c r="W110" t="inlineStr">
        <is>
          <t>2002-09-23</t>
        </is>
      </c>
      <c r="X110" t="inlineStr">
        <is>
          <t>2002-09-23</t>
        </is>
      </c>
      <c r="Y110" t="inlineStr">
        <is>
          <t>1993-02-26</t>
        </is>
      </c>
      <c r="Z110" t="inlineStr">
        <is>
          <t>1993-02-26</t>
        </is>
      </c>
      <c r="AA110" t="n">
        <v>611</v>
      </c>
      <c r="AB110" t="n">
        <v>480</v>
      </c>
      <c r="AC110" t="n">
        <v>534</v>
      </c>
      <c r="AD110" t="n">
        <v>3</v>
      </c>
      <c r="AE110" t="n">
        <v>4</v>
      </c>
      <c r="AF110" t="n">
        <v>28</v>
      </c>
      <c r="AG110" t="n">
        <v>30</v>
      </c>
      <c r="AH110" t="n">
        <v>12</v>
      </c>
      <c r="AI110" t="n">
        <v>12</v>
      </c>
      <c r="AJ110" t="n">
        <v>6</v>
      </c>
      <c r="AK110" t="n">
        <v>7</v>
      </c>
      <c r="AL110" t="n">
        <v>13</v>
      </c>
      <c r="AM110" t="n">
        <v>14</v>
      </c>
      <c r="AN110" t="n">
        <v>2</v>
      </c>
      <c r="AO110" t="n">
        <v>3</v>
      </c>
      <c r="AP110" t="n">
        <v>2</v>
      </c>
      <c r="AQ110" t="n">
        <v>2</v>
      </c>
      <c r="AR110" t="inlineStr">
        <is>
          <t>No</t>
        </is>
      </c>
      <c r="AS110" t="inlineStr">
        <is>
          <t>No</t>
        </is>
      </c>
      <c r="AU110">
        <f>HYPERLINK("https://creighton-primo.hosted.exlibrisgroup.com/primo-explore/search?tab=default_tab&amp;search_scope=EVERYTHING&amp;vid=01CRU&amp;lang=en_US&amp;offset=0&amp;query=any,contains,991001014649702656","Catalog Record")</f>
        <v/>
      </c>
      <c r="AV110">
        <f>HYPERLINK("http://www.worldcat.org/oclc/15316629","WorldCat Record")</f>
        <v/>
      </c>
      <c r="AW110" t="inlineStr">
        <is>
          <t>836682648:eng</t>
        </is>
      </c>
      <c r="AX110" t="inlineStr">
        <is>
          <t>15316629</t>
        </is>
      </c>
      <c r="AY110" t="inlineStr">
        <is>
          <t>991001014649702656</t>
        </is>
      </c>
      <c r="AZ110" t="inlineStr">
        <is>
          <t>991001014649702656</t>
        </is>
      </c>
      <c r="BA110" t="inlineStr">
        <is>
          <t>2258574190002656</t>
        </is>
      </c>
      <c r="BB110" t="inlineStr">
        <is>
          <t>BOOK</t>
        </is>
      </c>
      <c r="BD110" t="inlineStr">
        <is>
          <t>9780044970101</t>
        </is>
      </c>
      <c r="BE110" t="inlineStr">
        <is>
          <t>32285001560324</t>
        </is>
      </c>
      <c r="BF110" t="inlineStr">
        <is>
          <t>893432522</t>
        </is>
      </c>
    </row>
    <row r="111">
      <c r="B111" t="inlineStr">
        <is>
          <t>CURAL</t>
        </is>
      </c>
      <c r="C111" t="inlineStr">
        <is>
          <t>SHELVES</t>
        </is>
      </c>
      <c r="D111" t="inlineStr">
        <is>
          <t>QP251 .O84 1993</t>
        </is>
      </c>
      <c r="E111" t="inlineStr">
        <is>
          <t>0                      QP 0251000O  84          1993</t>
        </is>
      </c>
      <c r="F111" t="inlineStr">
        <is>
          <t>Human reproduction : principles, practices, policies / Christine Overall.</t>
        </is>
      </c>
      <c r="H111" t="inlineStr">
        <is>
          <t>No</t>
        </is>
      </c>
      <c r="I111" t="inlineStr">
        <is>
          <t>1</t>
        </is>
      </c>
      <c r="J111" t="inlineStr">
        <is>
          <t>No</t>
        </is>
      </c>
      <c r="K111" t="inlineStr">
        <is>
          <t>No</t>
        </is>
      </c>
      <c r="L111" t="inlineStr">
        <is>
          <t>0</t>
        </is>
      </c>
      <c r="M111" t="inlineStr">
        <is>
          <t>Overall, Christine, 1949-</t>
        </is>
      </c>
      <c r="N111" t="inlineStr">
        <is>
          <t>Toronto : Oxford University Press, 1993.</t>
        </is>
      </c>
      <c r="O111" t="inlineStr">
        <is>
          <t>1993</t>
        </is>
      </c>
      <c r="Q111" t="inlineStr">
        <is>
          <t>eng</t>
        </is>
      </c>
      <c r="R111" t="inlineStr">
        <is>
          <t>onc</t>
        </is>
      </c>
      <c r="T111" t="inlineStr">
        <is>
          <t xml:space="preserve">QP </t>
        </is>
      </c>
      <c r="U111" t="n">
        <v>16</v>
      </c>
      <c r="V111" t="n">
        <v>16</v>
      </c>
      <c r="W111" t="inlineStr">
        <is>
          <t>2008-02-07</t>
        </is>
      </c>
      <c r="X111" t="inlineStr">
        <is>
          <t>2008-02-07</t>
        </is>
      </c>
      <c r="Y111" t="inlineStr">
        <is>
          <t>1997-03-18</t>
        </is>
      </c>
      <c r="Z111" t="inlineStr">
        <is>
          <t>1997-03-18</t>
        </is>
      </c>
      <c r="AA111" t="n">
        <v>428</v>
      </c>
      <c r="AB111" t="n">
        <v>314</v>
      </c>
      <c r="AC111" t="n">
        <v>316</v>
      </c>
      <c r="AD111" t="n">
        <v>2</v>
      </c>
      <c r="AE111" t="n">
        <v>2</v>
      </c>
      <c r="AF111" t="n">
        <v>16</v>
      </c>
      <c r="AG111" t="n">
        <v>16</v>
      </c>
      <c r="AH111" t="n">
        <v>3</v>
      </c>
      <c r="AI111" t="n">
        <v>3</v>
      </c>
      <c r="AJ111" t="n">
        <v>5</v>
      </c>
      <c r="AK111" t="n">
        <v>5</v>
      </c>
      <c r="AL111" t="n">
        <v>9</v>
      </c>
      <c r="AM111" t="n">
        <v>9</v>
      </c>
      <c r="AN111" t="n">
        <v>1</v>
      </c>
      <c r="AO111" t="n">
        <v>1</v>
      </c>
      <c r="AP111" t="n">
        <v>2</v>
      </c>
      <c r="AQ111" t="n">
        <v>2</v>
      </c>
      <c r="AR111" t="inlineStr">
        <is>
          <t>No</t>
        </is>
      </c>
      <c r="AS111" t="inlineStr">
        <is>
          <t>Yes</t>
        </is>
      </c>
      <c r="AT111">
        <f>HYPERLINK("http://catalog.hathitrust.org/Record/002867067","HathiTrust Record")</f>
        <v/>
      </c>
      <c r="AU111">
        <f>HYPERLINK("https://creighton-primo.hosted.exlibrisgroup.com/primo-explore/search?tab=default_tab&amp;search_scope=EVERYTHING&amp;vid=01CRU&amp;lang=en_US&amp;offset=0&amp;query=any,contains,991002299179702656","Catalog Record")</f>
        <v/>
      </c>
      <c r="AV111">
        <f>HYPERLINK("http://www.worldcat.org/oclc/29844195","WorldCat Record")</f>
        <v/>
      </c>
      <c r="AW111" t="inlineStr">
        <is>
          <t>836743150:eng</t>
        </is>
      </c>
      <c r="AX111" t="inlineStr">
        <is>
          <t>29844195</t>
        </is>
      </c>
      <c r="AY111" t="inlineStr">
        <is>
          <t>991002299179702656</t>
        </is>
      </c>
      <c r="AZ111" t="inlineStr">
        <is>
          <t>991002299179702656</t>
        </is>
      </c>
      <c r="BA111" t="inlineStr">
        <is>
          <t>2264951970002656</t>
        </is>
      </c>
      <c r="BB111" t="inlineStr">
        <is>
          <t>BOOK</t>
        </is>
      </c>
      <c r="BD111" t="inlineStr">
        <is>
          <t>9780195409611</t>
        </is>
      </c>
      <c r="BE111" t="inlineStr">
        <is>
          <t>32285002443900</t>
        </is>
      </c>
      <c r="BF111" t="inlineStr">
        <is>
          <t>893597273</t>
        </is>
      </c>
    </row>
    <row r="112">
      <c r="B112" t="inlineStr">
        <is>
          <t>CURAL</t>
        </is>
      </c>
      <c r="C112" t="inlineStr">
        <is>
          <t>SHELVES</t>
        </is>
      </c>
      <c r="D112" t="inlineStr">
        <is>
          <t>QP251 .P47</t>
        </is>
      </c>
      <c r="E112" t="inlineStr">
        <is>
          <t>0                      QP 0251000P  47</t>
        </is>
      </c>
      <c r="F112" t="inlineStr">
        <is>
          <t>Estrogens and brain function : neural analysis of a hormone-controlled mammalian reporductive behavior / Donald W. Pfaff.</t>
        </is>
      </c>
      <c r="H112" t="inlineStr">
        <is>
          <t>No</t>
        </is>
      </c>
      <c r="I112" t="inlineStr">
        <is>
          <t>1</t>
        </is>
      </c>
      <c r="J112" t="inlineStr">
        <is>
          <t>No</t>
        </is>
      </c>
      <c r="K112" t="inlineStr">
        <is>
          <t>No</t>
        </is>
      </c>
      <c r="L112" t="inlineStr">
        <is>
          <t>0</t>
        </is>
      </c>
      <c r="M112" t="inlineStr">
        <is>
          <t>Pfaff, Donald W., 1939-</t>
        </is>
      </c>
      <c r="N112" t="inlineStr">
        <is>
          <t>New York : Springer-Verlag, c1980.</t>
        </is>
      </c>
      <c r="O112" t="inlineStr">
        <is>
          <t>1980</t>
        </is>
      </c>
      <c r="Q112" t="inlineStr">
        <is>
          <t>eng</t>
        </is>
      </c>
      <c r="R112" t="inlineStr">
        <is>
          <t>nyu</t>
        </is>
      </c>
      <c r="T112" t="inlineStr">
        <is>
          <t xml:space="preserve">QP </t>
        </is>
      </c>
      <c r="U112" t="n">
        <v>11</v>
      </c>
      <c r="V112" t="n">
        <v>11</v>
      </c>
      <c r="W112" t="inlineStr">
        <is>
          <t>2000-04-26</t>
        </is>
      </c>
      <c r="X112" t="inlineStr">
        <is>
          <t>2000-04-26</t>
        </is>
      </c>
      <c r="Y112" t="inlineStr">
        <is>
          <t>1993-02-26</t>
        </is>
      </c>
      <c r="Z112" t="inlineStr">
        <is>
          <t>1993-02-26</t>
        </is>
      </c>
      <c r="AA112" t="n">
        <v>323</v>
      </c>
      <c r="AB112" t="n">
        <v>253</v>
      </c>
      <c r="AC112" t="n">
        <v>274</v>
      </c>
      <c r="AD112" t="n">
        <v>3</v>
      </c>
      <c r="AE112" t="n">
        <v>3</v>
      </c>
      <c r="AF112" t="n">
        <v>10</v>
      </c>
      <c r="AG112" t="n">
        <v>11</v>
      </c>
      <c r="AH112" t="n">
        <v>1</v>
      </c>
      <c r="AI112" t="n">
        <v>2</v>
      </c>
      <c r="AJ112" t="n">
        <v>3</v>
      </c>
      <c r="AK112" t="n">
        <v>3</v>
      </c>
      <c r="AL112" t="n">
        <v>5</v>
      </c>
      <c r="AM112" t="n">
        <v>5</v>
      </c>
      <c r="AN112" t="n">
        <v>2</v>
      </c>
      <c r="AO112" t="n">
        <v>2</v>
      </c>
      <c r="AP112" t="n">
        <v>0</v>
      </c>
      <c r="AQ112" t="n">
        <v>0</v>
      </c>
      <c r="AR112" t="inlineStr">
        <is>
          <t>No</t>
        </is>
      </c>
      <c r="AS112" t="inlineStr">
        <is>
          <t>Yes</t>
        </is>
      </c>
      <c r="AT112">
        <f>HYPERLINK("http://catalog.hathitrust.org/Record/000720700","HathiTrust Record")</f>
        <v/>
      </c>
      <c r="AU112">
        <f>HYPERLINK("https://creighton-primo.hosted.exlibrisgroup.com/primo-explore/search?tab=default_tab&amp;search_scope=EVERYTHING&amp;vid=01CRU&amp;lang=en_US&amp;offset=0&amp;query=any,contains,991004926559702656","Catalog Record")</f>
        <v/>
      </c>
      <c r="AV112">
        <f>HYPERLINK("http://www.worldcat.org/oclc/6086471","WorldCat Record")</f>
        <v/>
      </c>
      <c r="AW112" t="inlineStr">
        <is>
          <t>290513628:eng</t>
        </is>
      </c>
      <c r="AX112" t="inlineStr">
        <is>
          <t>6086471</t>
        </is>
      </c>
      <c r="AY112" t="inlineStr">
        <is>
          <t>991004926559702656</t>
        </is>
      </c>
      <c r="AZ112" t="inlineStr">
        <is>
          <t>991004926559702656</t>
        </is>
      </c>
      <c r="BA112" t="inlineStr">
        <is>
          <t>2257735660002656</t>
        </is>
      </c>
      <c r="BB112" t="inlineStr">
        <is>
          <t>BOOK</t>
        </is>
      </c>
      <c r="BD112" t="inlineStr">
        <is>
          <t>9780387904870</t>
        </is>
      </c>
      <c r="BE112" t="inlineStr">
        <is>
          <t>32285001560332</t>
        </is>
      </c>
      <c r="BF112" t="inlineStr">
        <is>
          <t>893619227</t>
        </is>
      </c>
    </row>
    <row r="113">
      <c r="B113" t="inlineStr">
        <is>
          <t>CURAL</t>
        </is>
      </c>
      <c r="C113" t="inlineStr">
        <is>
          <t>SHELVES</t>
        </is>
      </c>
      <c r="D113" t="inlineStr">
        <is>
          <t>QP251 .P65 1994</t>
        </is>
      </c>
      <c r="E113" t="inlineStr">
        <is>
          <t>0                      QP 0251000P  65          1994</t>
        </is>
      </c>
      <c r="F113" t="inlineStr">
        <is>
          <t>A guide to reproduction : social issues and human concerns / Irina Pollard.</t>
        </is>
      </c>
      <c r="H113" t="inlineStr">
        <is>
          <t>No</t>
        </is>
      </c>
      <c r="I113" t="inlineStr">
        <is>
          <t>1</t>
        </is>
      </c>
      <c r="J113" t="inlineStr">
        <is>
          <t>No</t>
        </is>
      </c>
      <c r="K113" t="inlineStr">
        <is>
          <t>No</t>
        </is>
      </c>
      <c r="L113" t="inlineStr">
        <is>
          <t>0</t>
        </is>
      </c>
      <c r="M113" t="inlineStr">
        <is>
          <t>Pollard, Irina.</t>
        </is>
      </c>
      <c r="N113" t="inlineStr">
        <is>
          <t>Cambridge ; New York, USA : Cambridge University Press, 1994.</t>
        </is>
      </c>
      <c r="O113" t="inlineStr">
        <is>
          <t>1994</t>
        </is>
      </c>
      <c r="Q113" t="inlineStr">
        <is>
          <t>eng</t>
        </is>
      </c>
      <c r="R113" t="inlineStr">
        <is>
          <t>enk</t>
        </is>
      </c>
      <c r="T113" t="inlineStr">
        <is>
          <t xml:space="preserve">QP </t>
        </is>
      </c>
      <c r="U113" t="n">
        <v>30</v>
      </c>
      <c r="V113" t="n">
        <v>30</v>
      </c>
      <c r="W113" t="inlineStr">
        <is>
          <t>2009-10-01</t>
        </is>
      </c>
      <c r="X113" t="inlineStr">
        <is>
          <t>2009-10-01</t>
        </is>
      </c>
      <c r="Y113" t="inlineStr">
        <is>
          <t>1995-08-14</t>
        </is>
      </c>
      <c r="Z113" t="inlineStr">
        <is>
          <t>1995-08-14</t>
        </is>
      </c>
      <c r="AA113" t="n">
        <v>391</v>
      </c>
      <c r="AB113" t="n">
        <v>287</v>
      </c>
      <c r="AC113" t="n">
        <v>303</v>
      </c>
      <c r="AD113" t="n">
        <v>3</v>
      </c>
      <c r="AE113" t="n">
        <v>3</v>
      </c>
      <c r="AF113" t="n">
        <v>14</v>
      </c>
      <c r="AG113" t="n">
        <v>14</v>
      </c>
      <c r="AH113" t="n">
        <v>6</v>
      </c>
      <c r="AI113" t="n">
        <v>6</v>
      </c>
      <c r="AJ113" t="n">
        <v>3</v>
      </c>
      <c r="AK113" t="n">
        <v>3</v>
      </c>
      <c r="AL113" t="n">
        <v>8</v>
      </c>
      <c r="AM113" t="n">
        <v>8</v>
      </c>
      <c r="AN113" t="n">
        <v>2</v>
      </c>
      <c r="AO113" t="n">
        <v>2</v>
      </c>
      <c r="AP113" t="n">
        <v>0</v>
      </c>
      <c r="AQ113" t="n">
        <v>0</v>
      </c>
      <c r="AR113" t="inlineStr">
        <is>
          <t>No</t>
        </is>
      </c>
      <c r="AS113" t="inlineStr">
        <is>
          <t>No</t>
        </is>
      </c>
      <c r="AU113">
        <f>HYPERLINK("https://creighton-primo.hosted.exlibrisgroup.com/primo-explore/search?tab=default_tab&amp;search_scope=EVERYTHING&amp;vid=01CRU&amp;lang=en_US&amp;offset=0&amp;query=any,contains,991002252429702656","Catalog Record")</f>
        <v/>
      </c>
      <c r="AV113">
        <f>HYPERLINK("http://www.worldcat.org/oclc/29182782","WorldCat Record")</f>
        <v/>
      </c>
      <c r="AW113" t="inlineStr">
        <is>
          <t>375426019:eng</t>
        </is>
      </c>
      <c r="AX113" t="inlineStr">
        <is>
          <t>29182782</t>
        </is>
      </c>
      <c r="AY113" t="inlineStr">
        <is>
          <t>991002252429702656</t>
        </is>
      </c>
      <c r="AZ113" t="inlineStr">
        <is>
          <t>991002252429702656</t>
        </is>
      </c>
      <c r="BA113" t="inlineStr">
        <is>
          <t>2262403710002656</t>
        </is>
      </c>
      <c r="BB113" t="inlineStr">
        <is>
          <t>BOOK</t>
        </is>
      </c>
      <c r="BD113" t="inlineStr">
        <is>
          <t>9780521418621</t>
        </is>
      </c>
      <c r="BE113" t="inlineStr">
        <is>
          <t>32285002077435</t>
        </is>
      </c>
      <c r="BF113" t="inlineStr">
        <is>
          <t>893439947</t>
        </is>
      </c>
    </row>
    <row r="114">
      <c r="B114" t="inlineStr">
        <is>
          <t>CURAL</t>
        </is>
      </c>
      <c r="C114" t="inlineStr">
        <is>
          <t>SHELVES</t>
        </is>
      </c>
      <c r="D114" t="inlineStr">
        <is>
          <t>QP251 .Q45 1985</t>
        </is>
      </c>
      <c r="E114" t="inlineStr">
        <is>
          <t>0                      QP 0251000Q  45          1985</t>
        </is>
      </c>
      <c r="F114" t="inlineStr">
        <is>
          <t>Questions about the beginning of life : Christian appraisals of seven bioethical issues / edited by Edward D. Schneider.</t>
        </is>
      </c>
      <c r="H114" t="inlineStr">
        <is>
          <t>No</t>
        </is>
      </c>
      <c r="I114" t="inlineStr">
        <is>
          <t>1</t>
        </is>
      </c>
      <c r="J114" t="inlineStr">
        <is>
          <t>No</t>
        </is>
      </c>
      <c r="K114" t="inlineStr">
        <is>
          <t>No</t>
        </is>
      </c>
      <c r="L114" t="inlineStr">
        <is>
          <t>0</t>
        </is>
      </c>
      <c r="N114" t="inlineStr">
        <is>
          <t>Minneapolis : Augsburg Pub. House, c1985.</t>
        </is>
      </c>
      <c r="O114" t="inlineStr">
        <is>
          <t>1985</t>
        </is>
      </c>
      <c r="Q114" t="inlineStr">
        <is>
          <t>eng</t>
        </is>
      </c>
      <c r="R114" t="inlineStr">
        <is>
          <t>mnu</t>
        </is>
      </c>
      <c r="T114" t="inlineStr">
        <is>
          <t xml:space="preserve">QP </t>
        </is>
      </c>
      <c r="U114" t="n">
        <v>10</v>
      </c>
      <c r="V114" t="n">
        <v>10</v>
      </c>
      <c r="W114" t="inlineStr">
        <is>
          <t>2004-02-29</t>
        </is>
      </c>
      <c r="X114" t="inlineStr">
        <is>
          <t>2004-02-29</t>
        </is>
      </c>
      <c r="Y114" t="inlineStr">
        <is>
          <t>1992-12-01</t>
        </is>
      </c>
      <c r="Z114" t="inlineStr">
        <is>
          <t>1992-12-01</t>
        </is>
      </c>
      <c r="AA114" t="n">
        <v>276</v>
      </c>
      <c r="AB114" t="n">
        <v>240</v>
      </c>
      <c r="AC114" t="n">
        <v>247</v>
      </c>
      <c r="AD114" t="n">
        <v>2</v>
      </c>
      <c r="AE114" t="n">
        <v>2</v>
      </c>
      <c r="AF114" t="n">
        <v>11</v>
      </c>
      <c r="AG114" t="n">
        <v>11</v>
      </c>
      <c r="AH114" t="n">
        <v>4</v>
      </c>
      <c r="AI114" t="n">
        <v>4</v>
      </c>
      <c r="AJ114" t="n">
        <v>2</v>
      </c>
      <c r="AK114" t="n">
        <v>2</v>
      </c>
      <c r="AL114" t="n">
        <v>8</v>
      </c>
      <c r="AM114" t="n">
        <v>8</v>
      </c>
      <c r="AN114" t="n">
        <v>1</v>
      </c>
      <c r="AO114" t="n">
        <v>1</v>
      </c>
      <c r="AP114" t="n">
        <v>0</v>
      </c>
      <c r="AQ114" t="n">
        <v>0</v>
      </c>
      <c r="AR114" t="inlineStr">
        <is>
          <t>No</t>
        </is>
      </c>
      <c r="AS114" t="inlineStr">
        <is>
          <t>Yes</t>
        </is>
      </c>
      <c r="AT114">
        <f>HYPERLINK("http://catalog.hathitrust.org/Record/000349175","HathiTrust Record")</f>
        <v/>
      </c>
      <c r="AU114">
        <f>HYPERLINK("https://creighton-primo.hosted.exlibrisgroup.com/primo-explore/search?tab=default_tab&amp;search_scope=EVERYTHING&amp;vid=01CRU&amp;lang=en_US&amp;offset=0&amp;query=any,contains,991000664489702656","Catalog Record")</f>
        <v/>
      </c>
      <c r="AV114">
        <f>HYPERLINK("http://www.worldcat.org/oclc/12262872","WorldCat Record")</f>
        <v/>
      </c>
      <c r="AW114" t="inlineStr">
        <is>
          <t>4915674:eng</t>
        </is>
      </c>
      <c r="AX114" t="inlineStr">
        <is>
          <t>12262872</t>
        </is>
      </c>
      <c r="AY114" t="inlineStr">
        <is>
          <t>991000664489702656</t>
        </is>
      </c>
      <c r="AZ114" t="inlineStr">
        <is>
          <t>991000664489702656</t>
        </is>
      </c>
      <c r="BA114" t="inlineStr">
        <is>
          <t>2270918170002656</t>
        </is>
      </c>
      <c r="BB114" t="inlineStr">
        <is>
          <t>BOOK</t>
        </is>
      </c>
      <c r="BD114" t="inlineStr">
        <is>
          <t>9780806621678</t>
        </is>
      </c>
      <c r="BE114" t="inlineStr">
        <is>
          <t>32285001410777</t>
        </is>
      </c>
      <c r="BF114" t="inlineStr">
        <is>
          <t>893790744</t>
        </is>
      </c>
    </row>
    <row r="115">
      <c r="B115" t="inlineStr">
        <is>
          <t>CURAL</t>
        </is>
      </c>
      <c r="C115" t="inlineStr">
        <is>
          <t>SHELVES</t>
        </is>
      </c>
      <c r="D115" t="inlineStr">
        <is>
          <t>QP251 .R4445 1986</t>
        </is>
      </c>
      <c r="E115" t="inlineStr">
        <is>
          <t>0                      QP 0251000R  4445        1986</t>
        </is>
      </c>
      <c r="F115" t="inlineStr">
        <is>
          <t>Reproductive endocrinology : physiology, pathophysiology and clinical management / Samuel S.C. Yen, Robert B. Jaffe.</t>
        </is>
      </c>
      <c r="H115" t="inlineStr">
        <is>
          <t>No</t>
        </is>
      </c>
      <c r="I115" t="inlineStr">
        <is>
          <t>1</t>
        </is>
      </c>
      <c r="J115" t="inlineStr">
        <is>
          <t>Yes</t>
        </is>
      </c>
      <c r="K115" t="inlineStr">
        <is>
          <t>No</t>
        </is>
      </c>
      <c r="L115" t="inlineStr">
        <is>
          <t>0</t>
        </is>
      </c>
      <c r="N115" t="inlineStr">
        <is>
          <t>Philadelphia : Saunders, 1986.</t>
        </is>
      </c>
      <c r="O115" t="inlineStr">
        <is>
          <t>1986</t>
        </is>
      </c>
      <c r="P115" t="inlineStr">
        <is>
          <t>2nd ed.</t>
        </is>
      </c>
      <c r="Q115" t="inlineStr">
        <is>
          <t>eng</t>
        </is>
      </c>
      <c r="R115" t="inlineStr">
        <is>
          <t>pau</t>
        </is>
      </c>
      <c r="T115" t="inlineStr">
        <is>
          <t xml:space="preserve">QP </t>
        </is>
      </c>
      <c r="U115" t="n">
        <v>6</v>
      </c>
      <c r="V115" t="n">
        <v>6</v>
      </c>
      <c r="W115" t="inlineStr">
        <is>
          <t>2000-04-26</t>
        </is>
      </c>
      <c r="X115" t="inlineStr">
        <is>
          <t>2000-04-26</t>
        </is>
      </c>
      <c r="Y115" t="inlineStr">
        <is>
          <t>1993-02-26</t>
        </is>
      </c>
      <c r="Z115" t="inlineStr">
        <is>
          <t>1993-02-26</t>
        </is>
      </c>
      <c r="AA115" t="n">
        <v>241</v>
      </c>
      <c r="AB115" t="n">
        <v>175</v>
      </c>
      <c r="AC115" t="n">
        <v>342</v>
      </c>
      <c r="AD115" t="n">
        <v>4</v>
      </c>
      <c r="AE115" t="n">
        <v>4</v>
      </c>
      <c r="AF115" t="n">
        <v>6</v>
      </c>
      <c r="AG115" t="n">
        <v>13</v>
      </c>
      <c r="AH115" t="n">
        <v>1</v>
      </c>
      <c r="AI115" t="n">
        <v>3</v>
      </c>
      <c r="AJ115" t="n">
        <v>1</v>
      </c>
      <c r="AK115" t="n">
        <v>4</v>
      </c>
      <c r="AL115" t="n">
        <v>3</v>
      </c>
      <c r="AM115" t="n">
        <v>7</v>
      </c>
      <c r="AN115" t="n">
        <v>2</v>
      </c>
      <c r="AO115" t="n">
        <v>2</v>
      </c>
      <c r="AP115" t="n">
        <v>0</v>
      </c>
      <c r="AQ115" t="n">
        <v>0</v>
      </c>
      <c r="AR115" t="inlineStr">
        <is>
          <t>No</t>
        </is>
      </c>
      <c r="AS115" t="inlineStr">
        <is>
          <t>Yes</t>
        </is>
      </c>
      <c r="AT115">
        <f>HYPERLINK("http://catalog.hathitrust.org/Record/000579332","HathiTrust Record")</f>
        <v/>
      </c>
      <c r="AU115">
        <f>HYPERLINK("https://creighton-primo.hosted.exlibrisgroup.com/primo-explore/search?tab=default_tab&amp;search_scope=EVERYTHING&amp;vid=01CRU&amp;lang=en_US&amp;offset=0&amp;query=any,contains,991000092619702656","Catalog Record")</f>
        <v/>
      </c>
      <c r="AV115">
        <f>HYPERLINK("http://www.worldcat.org/oclc/8907586","WorldCat Record")</f>
        <v/>
      </c>
      <c r="AW115" t="inlineStr">
        <is>
          <t>836704988:eng</t>
        </is>
      </c>
      <c r="AX115" t="inlineStr">
        <is>
          <t>8907586</t>
        </is>
      </c>
      <c r="AY115" t="inlineStr">
        <is>
          <t>991000092619702656</t>
        </is>
      </c>
      <c r="AZ115" t="inlineStr">
        <is>
          <t>991000092619702656</t>
        </is>
      </c>
      <c r="BA115" t="inlineStr">
        <is>
          <t>2262901250002656</t>
        </is>
      </c>
      <c r="BB115" t="inlineStr">
        <is>
          <t>BOOK</t>
        </is>
      </c>
      <c r="BD115" t="inlineStr">
        <is>
          <t>9780721696300</t>
        </is>
      </c>
      <c r="BE115" t="inlineStr">
        <is>
          <t>32285001560340</t>
        </is>
      </c>
      <c r="BF115" t="inlineStr">
        <is>
          <t>893261358</t>
        </is>
      </c>
    </row>
    <row r="116">
      <c r="B116" t="inlineStr">
        <is>
          <t>CURAL</t>
        </is>
      </c>
      <c r="C116" t="inlineStr">
        <is>
          <t>SHELVES</t>
        </is>
      </c>
      <c r="D116" t="inlineStr">
        <is>
          <t>QP251 .R4446</t>
        </is>
      </c>
      <c r="E116" t="inlineStr">
        <is>
          <t>0                      QP 0251000R  4446</t>
        </is>
      </c>
      <c r="F116" t="inlineStr">
        <is>
          <t>Reproductive processes and contraception / edited by Kenneth W. McKerns.</t>
        </is>
      </c>
      <c r="H116" t="inlineStr">
        <is>
          <t>No</t>
        </is>
      </c>
      <c r="I116" t="inlineStr">
        <is>
          <t>1</t>
        </is>
      </c>
      <c r="J116" t="inlineStr">
        <is>
          <t>No</t>
        </is>
      </c>
      <c r="K116" t="inlineStr">
        <is>
          <t>No</t>
        </is>
      </c>
      <c r="L116" t="inlineStr">
        <is>
          <t>0</t>
        </is>
      </c>
      <c r="N116" t="inlineStr">
        <is>
          <t>New York : Plenum Press, [1981]</t>
        </is>
      </c>
      <c r="O116" t="inlineStr">
        <is>
          <t>1981</t>
        </is>
      </c>
      <c r="Q116" t="inlineStr">
        <is>
          <t>eng</t>
        </is>
      </c>
      <c r="R116" t="inlineStr">
        <is>
          <t>nyu</t>
        </is>
      </c>
      <c r="S116" t="inlineStr">
        <is>
          <t>Biochemical endocrinology</t>
        </is>
      </c>
      <c r="T116" t="inlineStr">
        <is>
          <t xml:space="preserve">QP </t>
        </is>
      </c>
      <c r="U116" t="n">
        <v>5</v>
      </c>
      <c r="V116" t="n">
        <v>5</v>
      </c>
      <c r="W116" t="inlineStr">
        <is>
          <t>2007-12-03</t>
        </is>
      </c>
      <c r="X116" t="inlineStr">
        <is>
          <t>2007-12-03</t>
        </is>
      </c>
      <c r="Y116" t="inlineStr">
        <is>
          <t>1993-02-26</t>
        </is>
      </c>
      <c r="Z116" t="inlineStr">
        <is>
          <t>1993-02-26</t>
        </is>
      </c>
      <c r="AA116" t="n">
        <v>309</v>
      </c>
      <c r="AB116" t="n">
        <v>268</v>
      </c>
      <c r="AC116" t="n">
        <v>290</v>
      </c>
      <c r="AD116" t="n">
        <v>4</v>
      </c>
      <c r="AE116" t="n">
        <v>4</v>
      </c>
      <c r="AF116" t="n">
        <v>10</v>
      </c>
      <c r="AG116" t="n">
        <v>10</v>
      </c>
      <c r="AH116" t="n">
        <v>3</v>
      </c>
      <c r="AI116" t="n">
        <v>3</v>
      </c>
      <c r="AJ116" t="n">
        <v>1</v>
      </c>
      <c r="AK116" t="n">
        <v>1</v>
      </c>
      <c r="AL116" t="n">
        <v>4</v>
      </c>
      <c r="AM116" t="n">
        <v>4</v>
      </c>
      <c r="AN116" t="n">
        <v>3</v>
      </c>
      <c r="AO116" t="n">
        <v>3</v>
      </c>
      <c r="AP116" t="n">
        <v>0</v>
      </c>
      <c r="AQ116" t="n">
        <v>0</v>
      </c>
      <c r="AR116" t="inlineStr">
        <is>
          <t>No</t>
        </is>
      </c>
      <c r="AS116" t="inlineStr">
        <is>
          <t>Yes</t>
        </is>
      </c>
      <c r="AT116">
        <f>HYPERLINK("http://catalog.hathitrust.org/Record/000761487","HathiTrust Record")</f>
        <v/>
      </c>
      <c r="AU116">
        <f>HYPERLINK("https://creighton-primo.hosted.exlibrisgroup.com/primo-explore/search?tab=default_tab&amp;search_scope=EVERYTHING&amp;vid=01CRU&amp;lang=en_US&amp;offset=0&amp;query=any,contains,991005023139702656","Catalog Record")</f>
        <v/>
      </c>
      <c r="AV116">
        <f>HYPERLINK("http://www.worldcat.org/oclc/6666546","WorldCat Record")</f>
        <v/>
      </c>
      <c r="AW116" t="inlineStr">
        <is>
          <t>355499285:eng</t>
        </is>
      </c>
      <c r="AX116" t="inlineStr">
        <is>
          <t>6666546</t>
        </is>
      </c>
      <c r="AY116" t="inlineStr">
        <is>
          <t>991005023139702656</t>
        </is>
      </c>
      <c r="AZ116" t="inlineStr">
        <is>
          <t>991005023139702656</t>
        </is>
      </c>
      <c r="BA116" t="inlineStr">
        <is>
          <t>2261172310002656</t>
        </is>
      </c>
      <c r="BB116" t="inlineStr">
        <is>
          <t>BOOK</t>
        </is>
      </c>
      <c r="BD116" t="inlineStr">
        <is>
          <t>9780306405341</t>
        </is>
      </c>
      <c r="BE116" t="inlineStr">
        <is>
          <t>32285001560357</t>
        </is>
      </c>
      <c r="BF116" t="inlineStr">
        <is>
          <t>893513918</t>
        </is>
      </c>
    </row>
    <row r="117">
      <c r="B117" t="inlineStr">
        <is>
          <t>CURAL</t>
        </is>
      </c>
      <c r="C117" t="inlineStr">
        <is>
          <t>SHELVES</t>
        </is>
      </c>
      <c r="D117" t="inlineStr">
        <is>
          <t>QP251 .R626 1988</t>
        </is>
      </c>
      <c r="E117" t="inlineStr">
        <is>
          <t>0                      QP 0251000R  626         1988</t>
        </is>
      </c>
      <c r="F117" t="inlineStr">
        <is>
          <t>Patterns of sexual arousal : psychophysiological processes and clinical applications / Raymond C. Rosen and J. Gayle Beck ; foreword by James H. Geer.</t>
        </is>
      </c>
      <c r="H117" t="inlineStr">
        <is>
          <t>No</t>
        </is>
      </c>
      <c r="I117" t="inlineStr">
        <is>
          <t>1</t>
        </is>
      </c>
      <c r="J117" t="inlineStr">
        <is>
          <t>No</t>
        </is>
      </c>
      <c r="K117" t="inlineStr">
        <is>
          <t>No</t>
        </is>
      </c>
      <c r="L117" t="inlineStr">
        <is>
          <t>0</t>
        </is>
      </c>
      <c r="M117" t="inlineStr">
        <is>
          <t>Rosen, Raymond, 1946-</t>
        </is>
      </c>
      <c r="N117" t="inlineStr">
        <is>
          <t>New York : Guilford Press, c1988.</t>
        </is>
      </c>
      <c r="O117" t="inlineStr">
        <is>
          <t>1988</t>
        </is>
      </c>
      <c r="Q117" t="inlineStr">
        <is>
          <t>eng</t>
        </is>
      </c>
      <c r="R117" t="inlineStr">
        <is>
          <t>nyu</t>
        </is>
      </c>
      <c r="T117" t="inlineStr">
        <is>
          <t xml:space="preserve">QP </t>
        </is>
      </c>
      <c r="U117" t="n">
        <v>17</v>
      </c>
      <c r="V117" t="n">
        <v>17</v>
      </c>
      <c r="W117" t="inlineStr">
        <is>
          <t>2007-07-20</t>
        </is>
      </c>
      <c r="X117" t="inlineStr">
        <is>
          <t>2007-07-20</t>
        </is>
      </c>
      <c r="Y117" t="inlineStr">
        <is>
          <t>1990-03-12</t>
        </is>
      </c>
      <c r="Z117" t="inlineStr">
        <is>
          <t>1990-03-12</t>
        </is>
      </c>
      <c r="AA117" t="n">
        <v>542</v>
      </c>
      <c r="AB117" t="n">
        <v>483</v>
      </c>
      <c r="AC117" t="n">
        <v>483</v>
      </c>
      <c r="AD117" t="n">
        <v>5</v>
      </c>
      <c r="AE117" t="n">
        <v>5</v>
      </c>
      <c r="AF117" t="n">
        <v>21</v>
      </c>
      <c r="AG117" t="n">
        <v>21</v>
      </c>
      <c r="AH117" t="n">
        <v>8</v>
      </c>
      <c r="AI117" t="n">
        <v>8</v>
      </c>
      <c r="AJ117" t="n">
        <v>6</v>
      </c>
      <c r="AK117" t="n">
        <v>6</v>
      </c>
      <c r="AL117" t="n">
        <v>10</v>
      </c>
      <c r="AM117" t="n">
        <v>10</v>
      </c>
      <c r="AN117" t="n">
        <v>4</v>
      </c>
      <c r="AO117" t="n">
        <v>4</v>
      </c>
      <c r="AP117" t="n">
        <v>0</v>
      </c>
      <c r="AQ117" t="n">
        <v>0</v>
      </c>
      <c r="AR117" t="inlineStr">
        <is>
          <t>No</t>
        </is>
      </c>
      <c r="AS117" t="inlineStr">
        <is>
          <t>No</t>
        </is>
      </c>
      <c r="AU117">
        <f>HYPERLINK("https://creighton-primo.hosted.exlibrisgroup.com/primo-explore/search?tab=default_tab&amp;search_scope=EVERYTHING&amp;vid=01CRU&amp;lang=en_US&amp;offset=0&amp;query=any,contains,991001093239702656","Catalog Record")</f>
        <v/>
      </c>
      <c r="AV117">
        <f>HYPERLINK("http://www.worldcat.org/oclc/16226776","WorldCat Record")</f>
        <v/>
      </c>
      <c r="AW117" t="inlineStr">
        <is>
          <t>430839942:eng</t>
        </is>
      </c>
      <c r="AX117" t="inlineStr">
        <is>
          <t>16226776</t>
        </is>
      </c>
      <c r="AY117" t="inlineStr">
        <is>
          <t>991001093239702656</t>
        </is>
      </c>
      <c r="AZ117" t="inlineStr">
        <is>
          <t>991001093239702656</t>
        </is>
      </c>
      <c r="BA117" t="inlineStr">
        <is>
          <t>2266377990002656</t>
        </is>
      </c>
      <c r="BB117" t="inlineStr">
        <is>
          <t>BOOK</t>
        </is>
      </c>
      <c r="BD117" t="inlineStr">
        <is>
          <t>9780898627121</t>
        </is>
      </c>
      <c r="BE117" t="inlineStr">
        <is>
          <t>32285000044783</t>
        </is>
      </c>
      <c r="BF117" t="inlineStr">
        <is>
          <t>893496811</t>
        </is>
      </c>
    </row>
    <row r="118">
      <c r="B118" t="inlineStr">
        <is>
          <t>CURAL</t>
        </is>
      </c>
      <c r="C118" t="inlineStr">
        <is>
          <t>SHELVES</t>
        </is>
      </c>
      <c r="D118" t="inlineStr">
        <is>
          <t>QP251 .S485 1988</t>
        </is>
      </c>
      <c r="E118" t="inlineStr">
        <is>
          <t>0                      QP 0251000S  485         1988</t>
        </is>
      </c>
      <c r="F118" t="inlineStr">
        <is>
          <t>Religion and artificial reproduction : an inquiry into the Vatican "Instruction on respect for human life in its origin and on the dignity of human reproduction" / Thomas A. Shannon and Lisa Sowle Cahill.</t>
        </is>
      </c>
      <c r="H118" t="inlineStr">
        <is>
          <t>No</t>
        </is>
      </c>
      <c r="I118" t="inlineStr">
        <is>
          <t>1</t>
        </is>
      </c>
      <c r="J118" t="inlineStr">
        <is>
          <t>No</t>
        </is>
      </c>
      <c r="K118" t="inlineStr">
        <is>
          <t>No</t>
        </is>
      </c>
      <c r="L118" t="inlineStr">
        <is>
          <t>0</t>
        </is>
      </c>
      <c r="M118" t="inlineStr">
        <is>
          <t>Shannon, Thomas A. (Thomas Anthony), 1940-</t>
        </is>
      </c>
      <c r="N118" t="inlineStr">
        <is>
          <t>New York : Crossroad, 1988.</t>
        </is>
      </c>
      <c r="O118" t="inlineStr">
        <is>
          <t>1988</t>
        </is>
      </c>
      <c r="Q118" t="inlineStr">
        <is>
          <t>eng</t>
        </is>
      </c>
      <c r="R118" t="inlineStr">
        <is>
          <t>nyu</t>
        </is>
      </c>
      <c r="T118" t="inlineStr">
        <is>
          <t xml:space="preserve">QP </t>
        </is>
      </c>
      <c r="U118" t="n">
        <v>17</v>
      </c>
      <c r="V118" t="n">
        <v>17</v>
      </c>
      <c r="W118" t="inlineStr">
        <is>
          <t>2006-06-27</t>
        </is>
      </c>
      <c r="X118" t="inlineStr">
        <is>
          <t>2006-06-27</t>
        </is>
      </c>
      <c r="Y118" t="inlineStr">
        <is>
          <t>1993-02-26</t>
        </is>
      </c>
      <c r="Z118" t="inlineStr">
        <is>
          <t>1993-02-26</t>
        </is>
      </c>
      <c r="AA118" t="n">
        <v>598</v>
      </c>
      <c r="AB118" t="n">
        <v>520</v>
      </c>
      <c r="AC118" t="n">
        <v>522</v>
      </c>
      <c r="AD118" t="n">
        <v>5</v>
      </c>
      <c r="AE118" t="n">
        <v>5</v>
      </c>
      <c r="AF118" t="n">
        <v>33</v>
      </c>
      <c r="AG118" t="n">
        <v>33</v>
      </c>
      <c r="AH118" t="n">
        <v>12</v>
      </c>
      <c r="AI118" t="n">
        <v>12</v>
      </c>
      <c r="AJ118" t="n">
        <v>9</v>
      </c>
      <c r="AK118" t="n">
        <v>9</v>
      </c>
      <c r="AL118" t="n">
        <v>18</v>
      </c>
      <c r="AM118" t="n">
        <v>18</v>
      </c>
      <c r="AN118" t="n">
        <v>3</v>
      </c>
      <c r="AO118" t="n">
        <v>3</v>
      </c>
      <c r="AP118" t="n">
        <v>1</v>
      </c>
      <c r="AQ118" t="n">
        <v>1</v>
      </c>
      <c r="AR118" t="inlineStr">
        <is>
          <t>No</t>
        </is>
      </c>
      <c r="AS118" t="inlineStr">
        <is>
          <t>Yes</t>
        </is>
      </c>
      <c r="AT118">
        <f>HYPERLINK("http://catalog.hathitrust.org/Record/000916276","HathiTrust Record")</f>
        <v/>
      </c>
      <c r="AU118">
        <f>HYPERLINK("https://creighton-primo.hosted.exlibrisgroup.com/primo-explore/search?tab=default_tab&amp;search_scope=EVERYTHING&amp;vid=01CRU&amp;lang=en_US&amp;offset=0&amp;query=any,contains,991005408559702656","Catalog Record")</f>
        <v/>
      </c>
      <c r="AV118">
        <f>HYPERLINK("http://www.worldcat.org/oclc/16985893","WorldCat Record")</f>
        <v/>
      </c>
      <c r="AW118" t="inlineStr">
        <is>
          <t>281114625:eng</t>
        </is>
      </c>
      <c r="AX118" t="inlineStr">
        <is>
          <t>16985893</t>
        </is>
      </c>
      <c r="AY118" t="inlineStr">
        <is>
          <t>991005408559702656</t>
        </is>
      </c>
      <c r="AZ118" t="inlineStr">
        <is>
          <t>991005408559702656</t>
        </is>
      </c>
      <c r="BA118" t="inlineStr">
        <is>
          <t>2272052290002656</t>
        </is>
      </c>
      <c r="BB118" t="inlineStr">
        <is>
          <t>BOOK</t>
        </is>
      </c>
      <c r="BD118" t="inlineStr">
        <is>
          <t>9780824508609</t>
        </is>
      </c>
      <c r="BE118" t="inlineStr">
        <is>
          <t>32285001560365</t>
        </is>
      </c>
      <c r="BF118" t="inlineStr">
        <is>
          <t>893254958</t>
        </is>
      </c>
    </row>
    <row r="119">
      <c r="B119" t="inlineStr">
        <is>
          <t>CURAL</t>
        </is>
      </c>
      <c r="C119" t="inlineStr">
        <is>
          <t>SHELVES</t>
        </is>
      </c>
      <c r="D119" t="inlineStr">
        <is>
          <t>QP251 .S88</t>
        </is>
      </c>
      <c r="E119" t="inlineStr">
        <is>
          <t>0                      QP 0251000S  88</t>
        </is>
      </c>
      <c r="F119" t="inlineStr">
        <is>
          <t>Effects of external stimuli on reproduction. In honour of Professor B. Zondek. Edited by G.E.W. Wolstenholme and Maeve O'Connor.</t>
        </is>
      </c>
      <c r="H119" t="inlineStr">
        <is>
          <t>No</t>
        </is>
      </c>
      <c r="I119" t="inlineStr">
        <is>
          <t>1</t>
        </is>
      </c>
      <c r="J119" t="inlineStr">
        <is>
          <t>No</t>
        </is>
      </c>
      <c r="K119" t="inlineStr">
        <is>
          <t>Yes</t>
        </is>
      </c>
      <c r="L119" t="inlineStr">
        <is>
          <t>0</t>
        </is>
      </c>
      <c r="M119" t="inlineStr">
        <is>
          <t>Study Group on the Effects of External Stimuli on Reproduction (1966 : London, England)</t>
        </is>
      </c>
      <c r="N119" t="inlineStr">
        <is>
          <t>Boston, Little, Brown, 1967.</t>
        </is>
      </c>
      <c r="O119" t="inlineStr">
        <is>
          <t>1967</t>
        </is>
      </c>
      <c r="Q119" t="inlineStr">
        <is>
          <t>eng</t>
        </is>
      </c>
      <c r="R119" t="inlineStr">
        <is>
          <t>mau</t>
        </is>
      </c>
      <c r="T119" t="inlineStr">
        <is>
          <t xml:space="preserve">QP </t>
        </is>
      </c>
      <c r="U119" t="n">
        <v>2</v>
      </c>
      <c r="V119" t="n">
        <v>2</v>
      </c>
      <c r="W119" t="inlineStr">
        <is>
          <t>2007-09-24</t>
        </is>
      </c>
      <c r="X119" t="inlineStr">
        <is>
          <t>2007-09-24</t>
        </is>
      </c>
      <c r="Y119" t="inlineStr">
        <is>
          <t>1997-08-06</t>
        </is>
      </c>
      <c r="Z119" t="inlineStr">
        <is>
          <t>1997-08-06</t>
        </is>
      </c>
      <c r="AA119" t="n">
        <v>161</v>
      </c>
      <c r="AB119" t="n">
        <v>144</v>
      </c>
      <c r="AC119" t="n">
        <v>166</v>
      </c>
      <c r="AD119" t="n">
        <v>3</v>
      </c>
      <c r="AE119" t="n">
        <v>4</v>
      </c>
      <c r="AF119" t="n">
        <v>4</v>
      </c>
      <c r="AG119" t="n">
        <v>4</v>
      </c>
      <c r="AH119" t="n">
        <v>0</v>
      </c>
      <c r="AI119" t="n">
        <v>0</v>
      </c>
      <c r="AJ119" t="n">
        <v>0</v>
      </c>
      <c r="AK119" t="n">
        <v>0</v>
      </c>
      <c r="AL119" t="n">
        <v>3</v>
      </c>
      <c r="AM119" t="n">
        <v>3</v>
      </c>
      <c r="AN119" t="n">
        <v>1</v>
      </c>
      <c r="AO119" t="n">
        <v>1</v>
      </c>
      <c r="AP119" t="n">
        <v>0</v>
      </c>
      <c r="AQ119" t="n">
        <v>0</v>
      </c>
      <c r="AR119" t="inlineStr">
        <is>
          <t>No</t>
        </is>
      </c>
      <c r="AS119" t="inlineStr">
        <is>
          <t>Yes</t>
        </is>
      </c>
      <c r="AT119">
        <f>HYPERLINK("http://catalog.hathitrust.org/Record/001554251","HathiTrust Record")</f>
        <v/>
      </c>
      <c r="AU119">
        <f>HYPERLINK("https://creighton-primo.hosted.exlibrisgroup.com/primo-explore/search?tab=default_tab&amp;search_scope=EVERYTHING&amp;vid=01CRU&amp;lang=en_US&amp;offset=0&amp;query=any,contains,991002997409702656","Catalog Record")</f>
        <v/>
      </c>
      <c r="AV119">
        <f>HYPERLINK("http://www.worldcat.org/oclc/566022","WorldCat Record")</f>
        <v/>
      </c>
      <c r="AW119" t="inlineStr">
        <is>
          <t>30169958:eng</t>
        </is>
      </c>
      <c r="AX119" t="inlineStr">
        <is>
          <t>566022</t>
        </is>
      </c>
      <c r="AY119" t="inlineStr">
        <is>
          <t>991002997409702656</t>
        </is>
      </c>
      <c r="AZ119" t="inlineStr">
        <is>
          <t>991002997409702656</t>
        </is>
      </c>
      <c r="BA119" t="inlineStr">
        <is>
          <t>2258748850002656</t>
        </is>
      </c>
      <c r="BB119" t="inlineStr">
        <is>
          <t>BOOK</t>
        </is>
      </c>
      <c r="BE119" t="inlineStr">
        <is>
          <t>32285003013272</t>
        </is>
      </c>
      <c r="BF119" t="inlineStr">
        <is>
          <t>893409806</t>
        </is>
      </c>
    </row>
    <row r="120">
      <c r="B120" t="inlineStr">
        <is>
          <t>CURAL</t>
        </is>
      </c>
      <c r="C120" t="inlineStr">
        <is>
          <t>SHELVES</t>
        </is>
      </c>
      <c r="D120" t="inlineStr">
        <is>
          <t>QP251 .V37 1996</t>
        </is>
      </c>
      <c r="E120" t="inlineStr">
        <is>
          <t>0                      QP 0251000V  37          1996</t>
        </is>
      </c>
      <c r="F120" t="inlineStr">
        <is>
          <t>Variability in human fertility / edited by Lyliane Rosetta and C.G.N. Mascie-Taylor.</t>
        </is>
      </c>
      <c r="H120" t="inlineStr">
        <is>
          <t>No</t>
        </is>
      </c>
      <c r="I120" t="inlineStr">
        <is>
          <t>1</t>
        </is>
      </c>
      <c r="J120" t="inlineStr">
        <is>
          <t>No</t>
        </is>
      </c>
      <c r="K120" t="inlineStr">
        <is>
          <t>No</t>
        </is>
      </c>
      <c r="L120" t="inlineStr">
        <is>
          <t>0</t>
        </is>
      </c>
      <c r="N120" t="inlineStr">
        <is>
          <t>Cambridge [England] ; New York, NY. USA : Cambridge University Press, 1996.</t>
        </is>
      </c>
      <c r="O120" t="inlineStr">
        <is>
          <t>1996</t>
        </is>
      </c>
      <c r="Q120" t="inlineStr">
        <is>
          <t>eng</t>
        </is>
      </c>
      <c r="R120" t="inlineStr">
        <is>
          <t>enk</t>
        </is>
      </c>
      <c r="S120" t="inlineStr">
        <is>
          <t>Cambridge studies in biological anthropology ; 19</t>
        </is>
      </c>
      <c r="T120" t="inlineStr">
        <is>
          <t xml:space="preserve">QP </t>
        </is>
      </c>
      <c r="U120" t="n">
        <v>2</v>
      </c>
      <c r="V120" t="n">
        <v>2</v>
      </c>
      <c r="W120" t="inlineStr">
        <is>
          <t>2006-09-26</t>
        </is>
      </c>
      <c r="X120" t="inlineStr">
        <is>
          <t>2006-09-26</t>
        </is>
      </c>
      <c r="Y120" t="inlineStr">
        <is>
          <t>2006-05-30</t>
        </is>
      </c>
      <c r="Z120" t="inlineStr">
        <is>
          <t>2006-05-30</t>
        </is>
      </c>
      <c r="AA120" t="n">
        <v>193</v>
      </c>
      <c r="AB120" t="n">
        <v>137</v>
      </c>
      <c r="AC120" t="n">
        <v>137</v>
      </c>
      <c r="AD120" t="n">
        <v>2</v>
      </c>
      <c r="AE120" t="n">
        <v>2</v>
      </c>
      <c r="AF120" t="n">
        <v>7</v>
      </c>
      <c r="AG120" t="n">
        <v>7</v>
      </c>
      <c r="AH120" t="n">
        <v>2</v>
      </c>
      <c r="AI120" t="n">
        <v>2</v>
      </c>
      <c r="AJ120" t="n">
        <v>2</v>
      </c>
      <c r="AK120" t="n">
        <v>2</v>
      </c>
      <c r="AL120" t="n">
        <v>4</v>
      </c>
      <c r="AM120" t="n">
        <v>4</v>
      </c>
      <c r="AN120" t="n">
        <v>1</v>
      </c>
      <c r="AO120" t="n">
        <v>1</v>
      </c>
      <c r="AP120" t="n">
        <v>0</v>
      </c>
      <c r="AQ120" t="n">
        <v>0</v>
      </c>
      <c r="AR120" t="inlineStr">
        <is>
          <t>No</t>
        </is>
      </c>
      <c r="AS120" t="inlineStr">
        <is>
          <t>No</t>
        </is>
      </c>
      <c r="AU120">
        <f>HYPERLINK("https://creighton-primo.hosted.exlibrisgroup.com/primo-explore/search?tab=default_tab&amp;search_scope=EVERYTHING&amp;vid=01CRU&amp;lang=en_US&amp;offset=0&amp;query=any,contains,991004779979702656","Catalog Record")</f>
        <v/>
      </c>
      <c r="AV120">
        <f>HYPERLINK("http://www.worldcat.org/oclc/34730120","WorldCat Record")</f>
        <v/>
      </c>
      <c r="AW120" t="inlineStr">
        <is>
          <t>896282989:eng</t>
        </is>
      </c>
      <c r="AX120" t="inlineStr">
        <is>
          <t>34730120</t>
        </is>
      </c>
      <c r="AY120" t="inlineStr">
        <is>
          <t>991004779979702656</t>
        </is>
      </c>
      <c r="AZ120" t="inlineStr">
        <is>
          <t>991004779979702656</t>
        </is>
      </c>
      <c r="BA120" t="inlineStr">
        <is>
          <t>2270437370002656</t>
        </is>
      </c>
      <c r="BB120" t="inlineStr">
        <is>
          <t>BOOK</t>
        </is>
      </c>
      <c r="BD120" t="inlineStr">
        <is>
          <t>9780521495691</t>
        </is>
      </c>
      <c r="BE120" t="inlineStr">
        <is>
          <t>32285005189740</t>
        </is>
      </c>
      <c r="BF120" t="inlineStr">
        <is>
          <t>893443046</t>
        </is>
      </c>
    </row>
    <row r="121">
      <c r="B121" t="inlineStr">
        <is>
          <t>CURAL</t>
        </is>
      </c>
      <c r="C121" t="inlineStr">
        <is>
          <t>SHELVES</t>
        </is>
      </c>
      <c r="D121" t="inlineStr">
        <is>
          <t>QP251 .W89 1974</t>
        </is>
      </c>
      <c r="E121" t="inlineStr">
        <is>
          <t>0                      QP 0251000W  89          1974</t>
        </is>
      </c>
      <c r="F121" t="inlineStr">
        <is>
          <t>Biological and clinical aspects of reproduction : selected, updated papers presented at VIII World Congress of Fertility and Sterility, Buenos Aires, November 3-9, 1974 / editors, F. J. G. Ebling, I. W. Henderson.</t>
        </is>
      </c>
      <c r="H121" t="inlineStr">
        <is>
          <t>No</t>
        </is>
      </c>
      <c r="I121" t="inlineStr">
        <is>
          <t>1</t>
        </is>
      </c>
      <c r="J121" t="inlineStr">
        <is>
          <t>No</t>
        </is>
      </c>
      <c r="K121" t="inlineStr">
        <is>
          <t>No</t>
        </is>
      </c>
      <c r="L121" t="inlineStr">
        <is>
          <t>0</t>
        </is>
      </c>
      <c r="M121" t="inlineStr">
        <is>
          <t>World Congress on Fertility and Sterility (8th : 1974 : Buenos Aires, Argentina)</t>
        </is>
      </c>
      <c r="N121" t="inlineStr">
        <is>
          <t>Amsterdam : Excerpta Medica ; New York : distributors for the USA and Canada, Elsevier/North-Holland Inc., 1976.</t>
        </is>
      </c>
      <c r="O121" t="inlineStr">
        <is>
          <t>1976</t>
        </is>
      </c>
      <c r="Q121" t="inlineStr">
        <is>
          <t>eng</t>
        </is>
      </c>
      <c r="R121" t="inlineStr">
        <is>
          <t xml:space="preserve">ne </t>
        </is>
      </c>
      <c r="S121" t="inlineStr">
        <is>
          <t>International congress series ; no. 394</t>
        </is>
      </c>
      <c r="T121" t="inlineStr">
        <is>
          <t xml:space="preserve">QP </t>
        </is>
      </c>
      <c r="U121" t="n">
        <v>2</v>
      </c>
      <c r="V121" t="n">
        <v>2</v>
      </c>
      <c r="W121" t="inlineStr">
        <is>
          <t>2007-07-20</t>
        </is>
      </c>
      <c r="X121" t="inlineStr">
        <is>
          <t>2007-07-20</t>
        </is>
      </c>
      <c r="Y121" t="inlineStr">
        <is>
          <t>1997-08-06</t>
        </is>
      </c>
      <c r="Z121" t="inlineStr">
        <is>
          <t>1997-08-06</t>
        </is>
      </c>
      <c r="AA121" t="n">
        <v>127</v>
      </c>
      <c r="AB121" t="n">
        <v>83</v>
      </c>
      <c r="AC121" t="n">
        <v>85</v>
      </c>
      <c r="AD121" t="n">
        <v>2</v>
      </c>
      <c r="AE121" t="n">
        <v>2</v>
      </c>
      <c r="AF121" t="n">
        <v>3</v>
      </c>
      <c r="AG121" t="n">
        <v>3</v>
      </c>
      <c r="AH121" t="n">
        <v>0</v>
      </c>
      <c r="AI121" t="n">
        <v>0</v>
      </c>
      <c r="AJ121" t="n">
        <v>1</v>
      </c>
      <c r="AK121" t="n">
        <v>1</v>
      </c>
      <c r="AL121" t="n">
        <v>1</v>
      </c>
      <c r="AM121" t="n">
        <v>1</v>
      </c>
      <c r="AN121" t="n">
        <v>1</v>
      </c>
      <c r="AO121" t="n">
        <v>1</v>
      </c>
      <c r="AP121" t="n">
        <v>0</v>
      </c>
      <c r="AQ121" t="n">
        <v>0</v>
      </c>
      <c r="AR121" t="inlineStr">
        <is>
          <t>No</t>
        </is>
      </c>
      <c r="AS121" t="inlineStr">
        <is>
          <t>Yes</t>
        </is>
      </c>
      <c r="AT121">
        <f>HYPERLINK("http://catalog.hathitrust.org/Record/000735469","HathiTrust Record")</f>
        <v/>
      </c>
      <c r="AU121">
        <f>HYPERLINK("https://creighton-primo.hosted.exlibrisgroup.com/primo-explore/search?tab=default_tab&amp;search_scope=EVERYTHING&amp;vid=01CRU&amp;lang=en_US&amp;offset=0&amp;query=any,contains,991004139449702656","Catalog Record")</f>
        <v/>
      </c>
      <c r="AV121">
        <f>HYPERLINK("http://www.worldcat.org/oclc/2493578","WorldCat Record")</f>
        <v/>
      </c>
      <c r="AW121" t="inlineStr">
        <is>
          <t>5380393:eng</t>
        </is>
      </c>
      <c r="AX121" t="inlineStr">
        <is>
          <t>2493578</t>
        </is>
      </c>
      <c r="AY121" t="inlineStr">
        <is>
          <t>991004139449702656</t>
        </is>
      </c>
      <c r="AZ121" t="inlineStr">
        <is>
          <t>991004139449702656</t>
        </is>
      </c>
      <c r="BA121" t="inlineStr">
        <is>
          <t>2256737150002656</t>
        </is>
      </c>
      <c r="BB121" t="inlineStr">
        <is>
          <t>BOOK</t>
        </is>
      </c>
      <c r="BD121" t="inlineStr">
        <is>
          <t>9780444152329</t>
        </is>
      </c>
      <c r="BE121" t="inlineStr">
        <is>
          <t>32285003013298</t>
        </is>
      </c>
      <c r="BF121" t="inlineStr">
        <is>
          <t>893512859</t>
        </is>
      </c>
    </row>
    <row r="122">
      <c r="B122" t="inlineStr">
        <is>
          <t>CURAL</t>
        </is>
      </c>
      <c r="C122" t="inlineStr">
        <is>
          <t>SHELVES</t>
        </is>
      </c>
      <c r="D122" t="inlineStr">
        <is>
          <t>QP253 .M46 1984</t>
        </is>
      </c>
      <c r="E122" t="inlineStr">
        <is>
          <t>0                      QP 0253000M  46          1984</t>
        </is>
      </c>
      <c r="F122" t="inlineStr">
        <is>
          <t>Men's reproductive health / Janice M. Swanson, Katherine A. Forrest, editors ; foreword by Malcolm Potts.</t>
        </is>
      </c>
      <c r="H122" t="inlineStr">
        <is>
          <t>No</t>
        </is>
      </c>
      <c r="I122" t="inlineStr">
        <is>
          <t>1</t>
        </is>
      </c>
      <c r="J122" t="inlineStr">
        <is>
          <t>No</t>
        </is>
      </c>
      <c r="K122" t="inlineStr">
        <is>
          <t>No</t>
        </is>
      </c>
      <c r="L122" t="inlineStr">
        <is>
          <t>0</t>
        </is>
      </c>
      <c r="N122" t="inlineStr">
        <is>
          <t>New York : Springer Pub. Co., c1984.</t>
        </is>
      </c>
      <c r="O122" t="inlineStr">
        <is>
          <t>1984</t>
        </is>
      </c>
      <c r="Q122" t="inlineStr">
        <is>
          <t>eng</t>
        </is>
      </c>
      <c r="R122" t="inlineStr">
        <is>
          <t>nyu</t>
        </is>
      </c>
      <c r="S122" t="inlineStr">
        <is>
          <t>Springer series, focus on men, 0277-3422 ; v. 3</t>
        </is>
      </c>
      <c r="T122" t="inlineStr">
        <is>
          <t xml:space="preserve">QP </t>
        </is>
      </c>
      <c r="U122" t="n">
        <v>6</v>
      </c>
      <c r="V122" t="n">
        <v>6</v>
      </c>
      <c r="W122" t="inlineStr">
        <is>
          <t>1994-12-29</t>
        </is>
      </c>
      <c r="X122" t="inlineStr">
        <is>
          <t>1994-12-29</t>
        </is>
      </c>
      <c r="Y122" t="inlineStr">
        <is>
          <t>1993-02-26</t>
        </is>
      </c>
      <c r="Z122" t="inlineStr">
        <is>
          <t>1993-02-26</t>
        </is>
      </c>
      <c r="AA122" t="n">
        <v>354</v>
      </c>
      <c r="AB122" t="n">
        <v>318</v>
      </c>
      <c r="AC122" t="n">
        <v>321</v>
      </c>
      <c r="AD122" t="n">
        <v>5</v>
      </c>
      <c r="AE122" t="n">
        <v>5</v>
      </c>
      <c r="AF122" t="n">
        <v>16</v>
      </c>
      <c r="AG122" t="n">
        <v>16</v>
      </c>
      <c r="AH122" t="n">
        <v>5</v>
      </c>
      <c r="AI122" t="n">
        <v>5</v>
      </c>
      <c r="AJ122" t="n">
        <v>4</v>
      </c>
      <c r="AK122" t="n">
        <v>4</v>
      </c>
      <c r="AL122" t="n">
        <v>9</v>
      </c>
      <c r="AM122" t="n">
        <v>9</v>
      </c>
      <c r="AN122" t="n">
        <v>4</v>
      </c>
      <c r="AO122" t="n">
        <v>4</v>
      </c>
      <c r="AP122" t="n">
        <v>0</v>
      </c>
      <c r="AQ122" t="n">
        <v>0</v>
      </c>
      <c r="AR122" t="inlineStr">
        <is>
          <t>No</t>
        </is>
      </c>
      <c r="AS122" t="inlineStr">
        <is>
          <t>Yes</t>
        </is>
      </c>
      <c r="AT122">
        <f>HYPERLINK("http://catalog.hathitrust.org/Record/000560956","HathiTrust Record")</f>
        <v/>
      </c>
      <c r="AU122">
        <f>HYPERLINK("https://creighton-primo.hosted.exlibrisgroup.com/primo-explore/search?tab=default_tab&amp;search_scope=EVERYTHING&amp;vid=01CRU&amp;lang=en_US&amp;offset=0&amp;query=any,contains,991000454639702656","Catalog Record")</f>
        <v/>
      </c>
      <c r="AV122">
        <f>HYPERLINK("http://www.worldcat.org/oclc/10913391","WorldCat Record")</f>
        <v/>
      </c>
      <c r="AW122" t="inlineStr">
        <is>
          <t>54651669:eng</t>
        </is>
      </c>
      <c r="AX122" t="inlineStr">
        <is>
          <t>10913391</t>
        </is>
      </c>
      <c r="AY122" t="inlineStr">
        <is>
          <t>991000454639702656</t>
        </is>
      </c>
      <c r="AZ122" t="inlineStr">
        <is>
          <t>991000454639702656</t>
        </is>
      </c>
      <c r="BA122" t="inlineStr">
        <is>
          <t>2258626290002656</t>
        </is>
      </c>
      <c r="BB122" t="inlineStr">
        <is>
          <t>BOOK</t>
        </is>
      </c>
      <c r="BD122" t="inlineStr">
        <is>
          <t>9780826142009</t>
        </is>
      </c>
      <c r="BE122" t="inlineStr">
        <is>
          <t>32285001560373</t>
        </is>
      </c>
      <c r="BF122" t="inlineStr">
        <is>
          <t>893903010</t>
        </is>
      </c>
    </row>
    <row r="123">
      <c r="B123" t="inlineStr">
        <is>
          <t>CURAL</t>
        </is>
      </c>
      <c r="C123" t="inlineStr">
        <is>
          <t>SHELVES</t>
        </is>
      </c>
      <c r="D123" t="inlineStr">
        <is>
          <t>QP255 .I58 1978</t>
        </is>
      </c>
      <c r="E123" t="inlineStr">
        <is>
          <t>0                      QP 0255000I  58          1978</t>
        </is>
      </c>
      <c r="F123" t="inlineStr">
        <is>
          <t>The spermatozoon : maturation, motility, surface properties, and comparative aspects : proceedings of the Third International Symposium on the Spermatozoon held at the American Academy of Arts and Sciences, Boston, and the Swope Conference Center of the Marine Biological Laboratories, Woods Hole, Massachusetts May 2-5, 1978 / edited by Don W. Fawcett and J. Michael Bedford.</t>
        </is>
      </c>
      <c r="H123" t="inlineStr">
        <is>
          <t>No</t>
        </is>
      </c>
      <c r="I123" t="inlineStr">
        <is>
          <t>1</t>
        </is>
      </c>
      <c r="J123" t="inlineStr">
        <is>
          <t>No</t>
        </is>
      </c>
      <c r="K123" t="inlineStr">
        <is>
          <t>No</t>
        </is>
      </c>
      <c r="L123" t="inlineStr">
        <is>
          <t>0</t>
        </is>
      </c>
      <c r="M123" t="inlineStr">
        <is>
          <t>International Symposium on the Spermatozoon (3rd : 1978 : Boston, Mass.; Woods Hole, Mass.)</t>
        </is>
      </c>
      <c r="N123" t="inlineStr">
        <is>
          <t>Baltimore : Urban &amp; Schwarzenberg, 1979.</t>
        </is>
      </c>
      <c r="O123" t="inlineStr">
        <is>
          <t>1979</t>
        </is>
      </c>
      <c r="Q123" t="inlineStr">
        <is>
          <t>eng</t>
        </is>
      </c>
      <c r="R123" t="inlineStr">
        <is>
          <t>mdu</t>
        </is>
      </c>
      <c r="T123" t="inlineStr">
        <is>
          <t xml:space="preserve">QP </t>
        </is>
      </c>
      <c r="U123" t="n">
        <v>2</v>
      </c>
      <c r="V123" t="n">
        <v>2</v>
      </c>
      <c r="W123" t="inlineStr">
        <is>
          <t>2008-02-24</t>
        </is>
      </c>
      <c r="X123" t="inlineStr">
        <is>
          <t>2008-02-24</t>
        </is>
      </c>
      <c r="Y123" t="inlineStr">
        <is>
          <t>1993-02-26</t>
        </is>
      </c>
      <c r="Z123" t="inlineStr">
        <is>
          <t>1993-02-26</t>
        </is>
      </c>
      <c r="AA123" t="n">
        <v>245</v>
      </c>
      <c r="AB123" t="n">
        <v>218</v>
      </c>
      <c r="AC123" t="n">
        <v>230</v>
      </c>
      <c r="AD123" t="n">
        <v>2</v>
      </c>
      <c r="AE123" t="n">
        <v>2</v>
      </c>
      <c r="AF123" t="n">
        <v>8</v>
      </c>
      <c r="AG123" t="n">
        <v>8</v>
      </c>
      <c r="AH123" t="n">
        <v>2</v>
      </c>
      <c r="AI123" t="n">
        <v>2</v>
      </c>
      <c r="AJ123" t="n">
        <v>3</v>
      </c>
      <c r="AK123" t="n">
        <v>3</v>
      </c>
      <c r="AL123" t="n">
        <v>4</v>
      </c>
      <c r="AM123" t="n">
        <v>4</v>
      </c>
      <c r="AN123" t="n">
        <v>1</v>
      </c>
      <c r="AO123" t="n">
        <v>1</v>
      </c>
      <c r="AP123" t="n">
        <v>0</v>
      </c>
      <c r="AQ123" t="n">
        <v>0</v>
      </c>
      <c r="AR123" t="inlineStr">
        <is>
          <t>No</t>
        </is>
      </c>
      <c r="AS123" t="inlineStr">
        <is>
          <t>Yes</t>
        </is>
      </c>
      <c r="AT123">
        <f>HYPERLINK("http://catalog.hathitrust.org/Record/000024110","HathiTrust Record")</f>
        <v/>
      </c>
      <c r="AU123">
        <f>HYPERLINK("https://creighton-primo.hosted.exlibrisgroup.com/primo-explore/search?tab=default_tab&amp;search_scope=EVERYTHING&amp;vid=01CRU&amp;lang=en_US&amp;offset=0&amp;query=any,contains,991005266609702656","Catalog Record")</f>
        <v/>
      </c>
      <c r="AV123">
        <f>HYPERLINK("http://www.worldcat.org/oclc/5101887","WorldCat Record")</f>
        <v/>
      </c>
      <c r="AW123" t="inlineStr">
        <is>
          <t>141001594:eng</t>
        </is>
      </c>
      <c r="AX123" t="inlineStr">
        <is>
          <t>5101887</t>
        </is>
      </c>
      <c r="AY123" t="inlineStr">
        <is>
          <t>991005266609702656</t>
        </is>
      </c>
      <c r="AZ123" t="inlineStr">
        <is>
          <t>991005266609702656</t>
        </is>
      </c>
      <c r="BA123" t="inlineStr">
        <is>
          <t>2259010590002656</t>
        </is>
      </c>
      <c r="BB123" t="inlineStr">
        <is>
          <t>BOOK</t>
        </is>
      </c>
      <c r="BD123" t="inlineStr">
        <is>
          <t>9780806706016</t>
        </is>
      </c>
      <c r="BE123" t="inlineStr">
        <is>
          <t>32285001560381</t>
        </is>
      </c>
      <c r="BF123" t="inlineStr">
        <is>
          <t>893501606</t>
        </is>
      </c>
    </row>
    <row r="124">
      <c r="B124" t="inlineStr">
        <is>
          <t>CURAL</t>
        </is>
      </c>
      <c r="C124" t="inlineStr">
        <is>
          <t>SHELVES</t>
        </is>
      </c>
      <c r="D124" t="inlineStr">
        <is>
          <t>QP255 .M23 1964</t>
        </is>
      </c>
      <c r="E124" t="inlineStr">
        <is>
          <t>0                      QP 0255000M  23          1964</t>
        </is>
      </c>
      <c r="F124" t="inlineStr">
        <is>
          <t>The biochemistry of semen and of the male reproductive tract.</t>
        </is>
      </c>
      <c r="H124" t="inlineStr">
        <is>
          <t>No</t>
        </is>
      </c>
      <c r="I124" t="inlineStr">
        <is>
          <t>1</t>
        </is>
      </c>
      <c r="J124" t="inlineStr">
        <is>
          <t>No</t>
        </is>
      </c>
      <c r="K124" t="inlineStr">
        <is>
          <t>No</t>
        </is>
      </c>
      <c r="L124" t="inlineStr">
        <is>
          <t>0</t>
        </is>
      </c>
      <c r="M124" t="inlineStr">
        <is>
          <t>Mann, Thaddeus, 1908-</t>
        </is>
      </c>
      <c r="N124" t="inlineStr">
        <is>
          <t>London, Methuen; New York, Wiley [1964]</t>
        </is>
      </c>
      <c r="O124" t="inlineStr">
        <is>
          <t>1964</t>
        </is>
      </c>
      <c r="Q124" t="inlineStr">
        <is>
          <t>eng</t>
        </is>
      </c>
      <c r="R124" t="inlineStr">
        <is>
          <t>enk</t>
        </is>
      </c>
      <c r="T124" t="inlineStr">
        <is>
          <t xml:space="preserve">QP </t>
        </is>
      </c>
      <c r="U124" t="n">
        <v>4</v>
      </c>
      <c r="V124" t="n">
        <v>4</v>
      </c>
      <c r="W124" t="inlineStr">
        <is>
          <t>1999-08-05</t>
        </is>
      </c>
      <c r="X124" t="inlineStr">
        <is>
          <t>1999-08-05</t>
        </is>
      </c>
      <c r="Y124" t="inlineStr">
        <is>
          <t>1997-08-06</t>
        </is>
      </c>
      <c r="Z124" t="inlineStr">
        <is>
          <t>1997-08-06</t>
        </is>
      </c>
      <c r="AA124" t="n">
        <v>231</v>
      </c>
      <c r="AB124" t="n">
        <v>160</v>
      </c>
      <c r="AC124" t="n">
        <v>167</v>
      </c>
      <c r="AD124" t="n">
        <v>1</v>
      </c>
      <c r="AE124" t="n">
        <v>1</v>
      </c>
      <c r="AF124" t="n">
        <v>6</v>
      </c>
      <c r="AG124" t="n">
        <v>6</v>
      </c>
      <c r="AH124" t="n">
        <v>2</v>
      </c>
      <c r="AI124" t="n">
        <v>2</v>
      </c>
      <c r="AJ124" t="n">
        <v>2</v>
      </c>
      <c r="AK124" t="n">
        <v>2</v>
      </c>
      <c r="AL124" t="n">
        <v>4</v>
      </c>
      <c r="AM124" t="n">
        <v>4</v>
      </c>
      <c r="AN124" t="n">
        <v>0</v>
      </c>
      <c r="AO124" t="n">
        <v>0</v>
      </c>
      <c r="AP124" t="n">
        <v>0</v>
      </c>
      <c r="AQ124" t="n">
        <v>0</v>
      </c>
      <c r="AR124" t="inlineStr">
        <is>
          <t>No</t>
        </is>
      </c>
      <c r="AS124" t="inlineStr">
        <is>
          <t>Yes</t>
        </is>
      </c>
      <c r="AT124">
        <f>HYPERLINK("http://catalog.hathitrust.org/Record/001554267","HathiTrust Record")</f>
        <v/>
      </c>
      <c r="AU124">
        <f>HYPERLINK("https://creighton-primo.hosted.exlibrisgroup.com/primo-explore/search?tab=default_tab&amp;search_scope=EVERYTHING&amp;vid=01CRU&amp;lang=en_US&amp;offset=0&amp;query=any,contains,991003557319702656","Catalog Record")</f>
        <v/>
      </c>
      <c r="AV124">
        <f>HYPERLINK("http://www.worldcat.org/oclc/1126381","WorldCat Record")</f>
        <v/>
      </c>
      <c r="AW124" t="inlineStr">
        <is>
          <t>2037512:eng</t>
        </is>
      </c>
      <c r="AX124" t="inlineStr">
        <is>
          <t>1126381</t>
        </is>
      </c>
      <c r="AY124" t="inlineStr">
        <is>
          <t>991003557319702656</t>
        </is>
      </c>
      <c r="AZ124" t="inlineStr">
        <is>
          <t>991003557319702656</t>
        </is>
      </c>
      <c r="BA124" t="inlineStr">
        <is>
          <t>2270302530002656</t>
        </is>
      </c>
      <c r="BB124" t="inlineStr">
        <is>
          <t>BOOK</t>
        </is>
      </c>
      <c r="BE124" t="inlineStr">
        <is>
          <t>32285003013322</t>
        </is>
      </c>
      <c r="BF124" t="inlineStr">
        <is>
          <t>893252488</t>
        </is>
      </c>
    </row>
    <row r="125">
      <c r="B125" t="inlineStr">
        <is>
          <t>CURAL</t>
        </is>
      </c>
      <c r="C125" t="inlineStr">
        <is>
          <t>SHELVES</t>
        </is>
      </c>
      <c r="D125" t="inlineStr">
        <is>
          <t>QP255 .M633 1993</t>
        </is>
      </c>
      <c r="E125" t="inlineStr">
        <is>
          <t>0                      QP 0255000M  633         1993</t>
        </is>
      </c>
      <c r="F125" t="inlineStr">
        <is>
          <t>Molecular biology of the male reproductive system / edited by David de Kretser.</t>
        </is>
      </c>
      <c r="H125" t="inlineStr">
        <is>
          <t>No</t>
        </is>
      </c>
      <c r="I125" t="inlineStr">
        <is>
          <t>1</t>
        </is>
      </c>
      <c r="J125" t="inlineStr">
        <is>
          <t>No</t>
        </is>
      </c>
      <c r="K125" t="inlineStr">
        <is>
          <t>No</t>
        </is>
      </c>
      <c r="L125" t="inlineStr">
        <is>
          <t>0</t>
        </is>
      </c>
      <c r="N125" t="inlineStr">
        <is>
          <t>San Diego : Academic Press, c1993.</t>
        </is>
      </c>
      <c r="O125" t="inlineStr">
        <is>
          <t>1993</t>
        </is>
      </c>
      <c r="Q125" t="inlineStr">
        <is>
          <t>eng</t>
        </is>
      </c>
      <c r="R125" t="inlineStr">
        <is>
          <t>cau</t>
        </is>
      </c>
      <c r="T125" t="inlineStr">
        <is>
          <t xml:space="preserve">QP </t>
        </is>
      </c>
      <c r="U125" t="n">
        <v>2</v>
      </c>
      <c r="V125" t="n">
        <v>2</v>
      </c>
      <c r="W125" t="inlineStr">
        <is>
          <t>1994-08-16</t>
        </is>
      </c>
      <c r="X125" t="inlineStr">
        <is>
          <t>1994-08-16</t>
        </is>
      </c>
      <c r="Y125" t="inlineStr">
        <is>
          <t>1994-07-21</t>
        </is>
      </c>
      <c r="Z125" t="inlineStr">
        <is>
          <t>1994-07-21</t>
        </is>
      </c>
      <c r="AA125" t="n">
        <v>211</v>
      </c>
      <c r="AB125" t="n">
        <v>144</v>
      </c>
      <c r="AC125" t="n">
        <v>188</v>
      </c>
      <c r="AD125" t="n">
        <v>2</v>
      </c>
      <c r="AE125" t="n">
        <v>3</v>
      </c>
      <c r="AF125" t="n">
        <v>7</v>
      </c>
      <c r="AG125" t="n">
        <v>10</v>
      </c>
      <c r="AH125" t="n">
        <v>2</v>
      </c>
      <c r="AI125" t="n">
        <v>3</v>
      </c>
      <c r="AJ125" t="n">
        <v>2</v>
      </c>
      <c r="AK125" t="n">
        <v>3</v>
      </c>
      <c r="AL125" t="n">
        <v>5</v>
      </c>
      <c r="AM125" t="n">
        <v>5</v>
      </c>
      <c r="AN125" t="n">
        <v>1</v>
      </c>
      <c r="AO125" t="n">
        <v>2</v>
      </c>
      <c r="AP125" t="n">
        <v>0</v>
      </c>
      <c r="AQ125" t="n">
        <v>0</v>
      </c>
      <c r="AR125" t="inlineStr">
        <is>
          <t>No</t>
        </is>
      </c>
      <c r="AS125" t="inlineStr">
        <is>
          <t>Yes</t>
        </is>
      </c>
      <c r="AT125">
        <f>HYPERLINK("http://catalog.hathitrust.org/Record/002734376","HathiTrust Record")</f>
        <v/>
      </c>
      <c r="AU125">
        <f>HYPERLINK("https://creighton-primo.hosted.exlibrisgroup.com/primo-explore/search?tab=default_tab&amp;search_scope=EVERYTHING&amp;vid=01CRU&amp;lang=en_US&amp;offset=0&amp;query=any,contains,991002170189702656","Catalog Record")</f>
        <v/>
      </c>
      <c r="AV125">
        <f>HYPERLINK("http://www.worldcat.org/oclc/27935437","WorldCat Record")</f>
        <v/>
      </c>
      <c r="AW125" t="inlineStr">
        <is>
          <t>326503:eng</t>
        </is>
      </c>
      <c r="AX125" t="inlineStr">
        <is>
          <t>27935437</t>
        </is>
      </c>
      <c r="AY125" t="inlineStr">
        <is>
          <t>991002170189702656</t>
        </is>
      </c>
      <c r="AZ125" t="inlineStr">
        <is>
          <t>991002170189702656</t>
        </is>
      </c>
      <c r="BA125" t="inlineStr">
        <is>
          <t>2258681890002656</t>
        </is>
      </c>
      <c r="BB125" t="inlineStr">
        <is>
          <t>BOOK</t>
        </is>
      </c>
      <c r="BD125" t="inlineStr">
        <is>
          <t>9780122090301</t>
        </is>
      </c>
      <c r="BE125" t="inlineStr">
        <is>
          <t>32285001932184</t>
        </is>
      </c>
      <c r="BF125" t="inlineStr">
        <is>
          <t>893433569</t>
        </is>
      </c>
    </row>
    <row r="126">
      <c r="B126" t="inlineStr">
        <is>
          <t>CURAL</t>
        </is>
      </c>
      <c r="C126" t="inlineStr">
        <is>
          <t>SHELVES</t>
        </is>
      </c>
      <c r="D126" t="inlineStr">
        <is>
          <t>QP255 .S64 1984</t>
        </is>
      </c>
      <c r="E126" t="inlineStr">
        <is>
          <t>0                      QP 0255000S  64          1984</t>
        </is>
      </c>
      <c r="F126" t="inlineStr">
        <is>
          <t>Sperm competition and the evolution of animal mating systems / edited by Robert L. Smith.</t>
        </is>
      </c>
      <c r="H126" t="inlineStr">
        <is>
          <t>No</t>
        </is>
      </c>
      <c r="I126" t="inlineStr">
        <is>
          <t>1</t>
        </is>
      </c>
      <c r="J126" t="inlineStr">
        <is>
          <t>No</t>
        </is>
      </c>
      <c r="K126" t="inlineStr">
        <is>
          <t>No</t>
        </is>
      </c>
      <c r="L126" t="inlineStr">
        <is>
          <t>0</t>
        </is>
      </c>
      <c r="N126" t="inlineStr">
        <is>
          <t>Orlando : Academic Press, 1984.</t>
        </is>
      </c>
      <c r="O126" t="inlineStr">
        <is>
          <t>1984</t>
        </is>
      </c>
      <c r="Q126" t="inlineStr">
        <is>
          <t>eng</t>
        </is>
      </c>
      <c r="R126" t="inlineStr">
        <is>
          <t>flu</t>
        </is>
      </c>
      <c r="T126" t="inlineStr">
        <is>
          <t xml:space="preserve">QP </t>
        </is>
      </c>
      <c r="U126" t="n">
        <v>9</v>
      </c>
      <c r="V126" t="n">
        <v>9</v>
      </c>
      <c r="W126" t="inlineStr">
        <is>
          <t>2008-02-24</t>
        </is>
      </c>
      <c r="X126" t="inlineStr">
        <is>
          <t>2008-02-24</t>
        </is>
      </c>
      <c r="Y126" t="inlineStr">
        <is>
          <t>1991-07-31</t>
        </is>
      </c>
      <c r="Z126" t="inlineStr">
        <is>
          <t>1991-07-31</t>
        </is>
      </c>
      <c r="AA126" t="n">
        <v>434</v>
      </c>
      <c r="AB126" t="n">
        <v>308</v>
      </c>
      <c r="AC126" t="n">
        <v>345</v>
      </c>
      <c r="AD126" t="n">
        <v>4</v>
      </c>
      <c r="AE126" t="n">
        <v>4</v>
      </c>
      <c r="AF126" t="n">
        <v>10</v>
      </c>
      <c r="AG126" t="n">
        <v>13</v>
      </c>
      <c r="AH126" t="n">
        <v>2</v>
      </c>
      <c r="AI126" t="n">
        <v>4</v>
      </c>
      <c r="AJ126" t="n">
        <v>3</v>
      </c>
      <c r="AK126" t="n">
        <v>5</v>
      </c>
      <c r="AL126" t="n">
        <v>5</v>
      </c>
      <c r="AM126" t="n">
        <v>5</v>
      </c>
      <c r="AN126" t="n">
        <v>3</v>
      </c>
      <c r="AO126" t="n">
        <v>3</v>
      </c>
      <c r="AP126" t="n">
        <v>0</v>
      </c>
      <c r="AQ126" t="n">
        <v>0</v>
      </c>
      <c r="AR126" t="inlineStr">
        <is>
          <t>No</t>
        </is>
      </c>
      <c r="AS126" t="inlineStr">
        <is>
          <t>Yes</t>
        </is>
      </c>
      <c r="AT126">
        <f>HYPERLINK("http://catalog.hathitrust.org/Record/000460063","HathiTrust Record")</f>
        <v/>
      </c>
      <c r="AU126">
        <f>HYPERLINK("https://creighton-primo.hosted.exlibrisgroup.com/primo-explore/search?tab=default_tab&amp;search_scope=EVERYTHING&amp;vid=01CRU&amp;lang=en_US&amp;offset=0&amp;query=any,contains,991000517319702656","Catalog Record")</f>
        <v/>
      </c>
      <c r="AV126">
        <f>HYPERLINK("http://www.worldcat.org/oclc/11291459","WorldCat Record")</f>
        <v/>
      </c>
      <c r="AW126" t="inlineStr">
        <is>
          <t>138553224:eng</t>
        </is>
      </c>
      <c r="AX126" t="inlineStr">
        <is>
          <t>11291459</t>
        </is>
      </c>
      <c r="AY126" t="inlineStr">
        <is>
          <t>991000517319702656</t>
        </is>
      </c>
      <c r="AZ126" t="inlineStr">
        <is>
          <t>991000517319702656</t>
        </is>
      </c>
      <c r="BA126" t="inlineStr">
        <is>
          <t>2262142660002656</t>
        </is>
      </c>
      <c r="BB126" t="inlineStr">
        <is>
          <t>BOOK</t>
        </is>
      </c>
      <c r="BD126" t="inlineStr">
        <is>
          <t>9780126525700</t>
        </is>
      </c>
      <c r="BE126" t="inlineStr">
        <is>
          <t>32285000679885</t>
        </is>
      </c>
      <c r="BF126" t="inlineStr">
        <is>
          <t>893720712</t>
        </is>
      </c>
    </row>
    <row r="127">
      <c r="B127" t="inlineStr">
        <is>
          <t>CURAL</t>
        </is>
      </c>
      <c r="C127" t="inlineStr">
        <is>
          <t>SHELVES</t>
        </is>
      </c>
      <c r="D127" t="inlineStr">
        <is>
          <t>QP26.P35 C83 1964</t>
        </is>
      </c>
      <c r="E127" t="inlineStr">
        <is>
          <t>0                      QP 0026000P  35                 C  83          1964</t>
        </is>
      </c>
      <c r="F127" t="inlineStr">
        <is>
          <t>Ivan Pavlov; the man and his theories. Translated by Patrick Evans.</t>
        </is>
      </c>
      <c r="H127" t="inlineStr">
        <is>
          <t>No</t>
        </is>
      </c>
      <c r="I127" t="inlineStr">
        <is>
          <t>1</t>
        </is>
      </c>
      <c r="J127" t="inlineStr">
        <is>
          <t>No</t>
        </is>
      </c>
      <c r="K127" t="inlineStr">
        <is>
          <t>No</t>
        </is>
      </c>
      <c r="L127" t="inlineStr">
        <is>
          <t>0</t>
        </is>
      </c>
      <c r="M127" t="inlineStr">
        <is>
          <t>Cuny, Hilaire.</t>
        </is>
      </c>
      <c r="N127" t="inlineStr">
        <is>
          <t>[London] Souvenir Press [1964]</t>
        </is>
      </c>
      <c r="O127" t="inlineStr">
        <is>
          <t>1964</t>
        </is>
      </c>
      <c r="Q127" t="inlineStr">
        <is>
          <t>eng</t>
        </is>
      </c>
      <c r="R127" t="inlineStr">
        <is>
          <t>enk</t>
        </is>
      </c>
      <c r="S127" t="inlineStr">
        <is>
          <t>Profiles in science</t>
        </is>
      </c>
      <c r="T127" t="inlineStr">
        <is>
          <t xml:space="preserve">QP </t>
        </is>
      </c>
      <c r="U127" t="n">
        <v>1</v>
      </c>
      <c r="V127" t="n">
        <v>1</v>
      </c>
      <c r="W127" t="inlineStr">
        <is>
          <t>2010-02-26</t>
        </is>
      </c>
      <c r="X127" t="inlineStr">
        <is>
          <t>2010-02-26</t>
        </is>
      </c>
      <c r="Y127" t="inlineStr">
        <is>
          <t>1997-08-04</t>
        </is>
      </c>
      <c r="Z127" t="inlineStr">
        <is>
          <t>1997-08-04</t>
        </is>
      </c>
      <c r="AA127" t="n">
        <v>126</v>
      </c>
      <c r="AB127" t="n">
        <v>74</v>
      </c>
      <c r="AC127" t="n">
        <v>510</v>
      </c>
      <c r="AD127" t="n">
        <v>3</v>
      </c>
      <c r="AE127" t="n">
        <v>4</v>
      </c>
      <c r="AF127" t="n">
        <v>3</v>
      </c>
      <c r="AG127" t="n">
        <v>13</v>
      </c>
      <c r="AH127" t="n">
        <v>0</v>
      </c>
      <c r="AI127" t="n">
        <v>2</v>
      </c>
      <c r="AJ127" t="n">
        <v>0</v>
      </c>
      <c r="AK127" t="n">
        <v>2</v>
      </c>
      <c r="AL127" t="n">
        <v>1</v>
      </c>
      <c r="AM127" t="n">
        <v>9</v>
      </c>
      <c r="AN127" t="n">
        <v>2</v>
      </c>
      <c r="AO127" t="n">
        <v>2</v>
      </c>
      <c r="AP127" t="n">
        <v>0</v>
      </c>
      <c r="AQ127" t="n">
        <v>0</v>
      </c>
      <c r="AR127" t="inlineStr">
        <is>
          <t>No</t>
        </is>
      </c>
      <c r="AS127" t="inlineStr">
        <is>
          <t>Yes</t>
        </is>
      </c>
      <c r="AT127">
        <f>HYPERLINK("http://catalog.hathitrust.org/Record/007472543","HathiTrust Record")</f>
        <v/>
      </c>
      <c r="AU127">
        <f>HYPERLINK("https://creighton-primo.hosted.exlibrisgroup.com/primo-explore/search?tab=default_tab&amp;search_scope=EVERYTHING&amp;vid=01CRU&amp;lang=en_US&amp;offset=0&amp;query=any,contains,991000750339702656","Catalog Record")</f>
        <v/>
      </c>
      <c r="AV127">
        <f>HYPERLINK("http://www.worldcat.org/oclc/12909344","WorldCat Record")</f>
        <v/>
      </c>
      <c r="AW127" t="inlineStr">
        <is>
          <t>1150901658:eng</t>
        </is>
      </c>
      <c r="AX127" t="inlineStr">
        <is>
          <t>12909344</t>
        </is>
      </c>
      <c r="AY127" t="inlineStr">
        <is>
          <t>991000750339702656</t>
        </is>
      </c>
      <c r="AZ127" t="inlineStr">
        <is>
          <t>991000750339702656</t>
        </is>
      </c>
      <c r="BA127" t="inlineStr">
        <is>
          <t>2266678700002656</t>
        </is>
      </c>
      <c r="BB127" t="inlineStr">
        <is>
          <t>BOOK</t>
        </is>
      </c>
      <c r="BE127" t="inlineStr">
        <is>
          <t>32285003011631</t>
        </is>
      </c>
      <c r="BF127" t="inlineStr">
        <is>
          <t>893521983</t>
        </is>
      </c>
    </row>
    <row r="128">
      <c r="B128" t="inlineStr">
        <is>
          <t>CURAL</t>
        </is>
      </c>
      <c r="C128" t="inlineStr">
        <is>
          <t>SHELVES</t>
        </is>
      </c>
      <c r="D128" t="inlineStr">
        <is>
          <t>QP261 .O8</t>
        </is>
      </c>
      <c r="E128" t="inlineStr">
        <is>
          <t>0                      QP 0261000O  8</t>
        </is>
      </c>
      <c r="F128" t="inlineStr">
        <is>
          <t>Ovarian follicular development and function / editors, A. Rees Midgley, William A. Sadler.</t>
        </is>
      </c>
      <c r="H128" t="inlineStr">
        <is>
          <t>No</t>
        </is>
      </c>
      <c r="I128" t="inlineStr">
        <is>
          <t>1</t>
        </is>
      </c>
      <c r="J128" t="inlineStr">
        <is>
          <t>No</t>
        </is>
      </c>
      <c r="K128" t="inlineStr">
        <is>
          <t>No</t>
        </is>
      </c>
      <c r="L128" t="inlineStr">
        <is>
          <t>0</t>
        </is>
      </c>
      <c r="N128" t="inlineStr">
        <is>
          <t>New York : Raven Press, c1979.</t>
        </is>
      </c>
      <c r="O128" t="inlineStr">
        <is>
          <t>1979</t>
        </is>
      </c>
      <c r="Q128" t="inlineStr">
        <is>
          <t>eng</t>
        </is>
      </c>
      <c r="R128" t="inlineStr">
        <is>
          <t>nyu</t>
        </is>
      </c>
      <c r="T128" t="inlineStr">
        <is>
          <t xml:space="preserve">QP </t>
        </is>
      </c>
      <c r="U128" t="n">
        <v>3</v>
      </c>
      <c r="V128" t="n">
        <v>3</v>
      </c>
      <c r="W128" t="inlineStr">
        <is>
          <t>1994-07-30</t>
        </is>
      </c>
      <c r="X128" t="inlineStr">
        <is>
          <t>1994-07-30</t>
        </is>
      </c>
      <c r="Y128" t="inlineStr">
        <is>
          <t>1993-02-26</t>
        </is>
      </c>
      <c r="Z128" t="inlineStr">
        <is>
          <t>1993-02-26</t>
        </is>
      </c>
      <c r="AA128" t="n">
        <v>215</v>
      </c>
      <c r="AB128" t="n">
        <v>148</v>
      </c>
      <c r="AC128" t="n">
        <v>150</v>
      </c>
      <c r="AD128" t="n">
        <v>2</v>
      </c>
      <c r="AE128" t="n">
        <v>2</v>
      </c>
      <c r="AF128" t="n">
        <v>3</v>
      </c>
      <c r="AG128" t="n">
        <v>3</v>
      </c>
      <c r="AH128" t="n">
        <v>0</v>
      </c>
      <c r="AI128" t="n">
        <v>0</v>
      </c>
      <c r="AJ128" t="n">
        <v>1</v>
      </c>
      <c r="AK128" t="n">
        <v>1</v>
      </c>
      <c r="AL128" t="n">
        <v>2</v>
      </c>
      <c r="AM128" t="n">
        <v>2</v>
      </c>
      <c r="AN128" t="n">
        <v>1</v>
      </c>
      <c r="AO128" t="n">
        <v>1</v>
      </c>
      <c r="AP128" t="n">
        <v>0</v>
      </c>
      <c r="AQ128" t="n">
        <v>0</v>
      </c>
      <c r="AR128" t="inlineStr">
        <is>
          <t>No</t>
        </is>
      </c>
      <c r="AS128" t="inlineStr">
        <is>
          <t>Yes</t>
        </is>
      </c>
      <c r="AT128">
        <f>HYPERLINK("http://catalog.hathitrust.org/Record/000720787","HathiTrust Record")</f>
        <v/>
      </c>
      <c r="AU128">
        <f>HYPERLINK("https://creighton-primo.hosted.exlibrisgroup.com/primo-explore/search?tab=default_tab&amp;search_scope=EVERYTHING&amp;vid=01CRU&amp;lang=en_US&amp;offset=0&amp;query=any,contains,991004689009702656","Catalog Record")</f>
        <v/>
      </c>
      <c r="AV128">
        <f>HYPERLINK("http://www.worldcat.org/oclc/4595979","WorldCat Record")</f>
        <v/>
      </c>
      <c r="AW128" t="inlineStr">
        <is>
          <t>3753216677:eng</t>
        </is>
      </c>
      <c r="AX128" t="inlineStr">
        <is>
          <t>4595979</t>
        </is>
      </c>
      <c r="AY128" t="inlineStr">
        <is>
          <t>991004689009702656</t>
        </is>
      </c>
      <c r="AZ128" t="inlineStr">
        <is>
          <t>991004689009702656</t>
        </is>
      </c>
      <c r="BA128" t="inlineStr">
        <is>
          <t>2271989220002656</t>
        </is>
      </c>
      <c r="BB128" t="inlineStr">
        <is>
          <t>BOOK</t>
        </is>
      </c>
      <c r="BD128" t="inlineStr">
        <is>
          <t>9780890041864</t>
        </is>
      </c>
      <c r="BE128" t="inlineStr">
        <is>
          <t>32285001560431</t>
        </is>
      </c>
      <c r="BF128" t="inlineStr">
        <is>
          <t>893700543</t>
        </is>
      </c>
    </row>
    <row r="129">
      <c r="B129" t="inlineStr">
        <is>
          <t>CURAL</t>
        </is>
      </c>
      <c r="C129" t="inlineStr">
        <is>
          <t>SHELVES</t>
        </is>
      </c>
      <c r="D129" t="inlineStr">
        <is>
          <t>QP261 .P47 1980</t>
        </is>
      </c>
      <c r="E129" t="inlineStr">
        <is>
          <t>0                      QP 0261000P  47          1980</t>
        </is>
      </c>
      <c r="F129" t="inlineStr">
        <is>
          <t>The ovary : a correlation of structure and function in mammals / Hannah Peters and Kenneth P. McNatty.</t>
        </is>
      </c>
      <c r="H129" t="inlineStr">
        <is>
          <t>No</t>
        </is>
      </c>
      <c r="I129" t="inlineStr">
        <is>
          <t>1</t>
        </is>
      </c>
      <c r="J129" t="inlineStr">
        <is>
          <t>Yes</t>
        </is>
      </c>
      <c r="K129" t="inlineStr">
        <is>
          <t>No</t>
        </is>
      </c>
      <c r="L129" t="inlineStr">
        <is>
          <t>0</t>
        </is>
      </c>
      <c r="M129" t="inlineStr">
        <is>
          <t>Peters, Hannah.</t>
        </is>
      </c>
      <c r="N129" t="inlineStr">
        <is>
          <t>Berkeley : University of California Press, c1980.</t>
        </is>
      </c>
      <c r="O129" t="inlineStr">
        <is>
          <t>1980</t>
        </is>
      </c>
      <c r="Q129" t="inlineStr">
        <is>
          <t>eng</t>
        </is>
      </c>
      <c r="R129" t="inlineStr">
        <is>
          <t>cau</t>
        </is>
      </c>
      <c r="T129" t="inlineStr">
        <is>
          <t xml:space="preserve">QP </t>
        </is>
      </c>
      <c r="U129" t="n">
        <v>4</v>
      </c>
      <c r="V129" t="n">
        <v>4</v>
      </c>
      <c r="W129" t="inlineStr">
        <is>
          <t>1995-11-07</t>
        </is>
      </c>
      <c r="X129" t="inlineStr">
        <is>
          <t>1995-11-07</t>
        </is>
      </c>
      <c r="Y129" t="inlineStr">
        <is>
          <t>1993-02-26</t>
        </is>
      </c>
      <c r="Z129" t="inlineStr">
        <is>
          <t>1993-02-26</t>
        </is>
      </c>
      <c r="AA129" t="n">
        <v>223</v>
      </c>
      <c r="AB129" t="n">
        <v>195</v>
      </c>
      <c r="AC129" t="n">
        <v>207</v>
      </c>
      <c r="AD129" t="n">
        <v>5</v>
      </c>
      <c r="AE129" t="n">
        <v>5</v>
      </c>
      <c r="AF129" t="n">
        <v>8</v>
      </c>
      <c r="AG129" t="n">
        <v>8</v>
      </c>
      <c r="AH129" t="n">
        <v>3</v>
      </c>
      <c r="AI129" t="n">
        <v>3</v>
      </c>
      <c r="AJ129" t="n">
        <v>1</v>
      </c>
      <c r="AK129" t="n">
        <v>1</v>
      </c>
      <c r="AL129" t="n">
        <v>3</v>
      </c>
      <c r="AM129" t="n">
        <v>3</v>
      </c>
      <c r="AN129" t="n">
        <v>3</v>
      </c>
      <c r="AO129" t="n">
        <v>3</v>
      </c>
      <c r="AP129" t="n">
        <v>0</v>
      </c>
      <c r="AQ129" t="n">
        <v>0</v>
      </c>
      <c r="AR129" t="inlineStr">
        <is>
          <t>No</t>
        </is>
      </c>
      <c r="AS129" t="inlineStr">
        <is>
          <t>No</t>
        </is>
      </c>
      <c r="AU129">
        <f>HYPERLINK("https://creighton-primo.hosted.exlibrisgroup.com/primo-explore/search?tab=default_tab&amp;search_scope=EVERYTHING&amp;vid=01CRU&amp;lang=en_US&amp;offset=0&amp;query=any,contains,991004901999702656","Catalog Record")</f>
        <v/>
      </c>
      <c r="AV129">
        <f>HYPERLINK("http://www.worldcat.org/oclc/5941001","WorldCat Record")</f>
        <v/>
      </c>
      <c r="AW129" t="inlineStr">
        <is>
          <t>502195:eng</t>
        </is>
      </c>
      <c r="AX129" t="inlineStr">
        <is>
          <t>5941001</t>
        </is>
      </c>
      <c r="AY129" t="inlineStr">
        <is>
          <t>991004901999702656</t>
        </is>
      </c>
      <c r="AZ129" t="inlineStr">
        <is>
          <t>991004901999702656</t>
        </is>
      </c>
      <c r="BA129" t="inlineStr">
        <is>
          <t>2270109900002656</t>
        </is>
      </c>
      <c r="BB129" t="inlineStr">
        <is>
          <t>BOOK</t>
        </is>
      </c>
      <c r="BD129" t="inlineStr">
        <is>
          <t>9780520041240</t>
        </is>
      </c>
      <c r="BE129" t="inlineStr">
        <is>
          <t>32285001560449</t>
        </is>
      </c>
      <c r="BF129" t="inlineStr">
        <is>
          <t>893810743</t>
        </is>
      </c>
    </row>
    <row r="130">
      <c r="B130" t="inlineStr">
        <is>
          <t>CURAL</t>
        </is>
      </c>
      <c r="C130" t="inlineStr">
        <is>
          <t>SHELVES</t>
        </is>
      </c>
      <c r="D130" t="inlineStr">
        <is>
          <t>QP261 .V47</t>
        </is>
      </c>
      <c r="E130" t="inlineStr">
        <is>
          <t>0                      QP 0261000V  47</t>
        </is>
      </c>
      <c r="F130" t="inlineStr">
        <is>
          <t>The Vertebrate ovary : comparative biology and evolution / edited by Richard E. Jones.</t>
        </is>
      </c>
      <c r="H130" t="inlineStr">
        <is>
          <t>No</t>
        </is>
      </c>
      <c r="I130" t="inlineStr">
        <is>
          <t>1</t>
        </is>
      </c>
      <c r="J130" t="inlineStr">
        <is>
          <t>No</t>
        </is>
      </c>
      <c r="K130" t="inlineStr">
        <is>
          <t>No</t>
        </is>
      </c>
      <c r="L130" t="inlineStr">
        <is>
          <t>0</t>
        </is>
      </c>
      <c r="N130" t="inlineStr">
        <is>
          <t>New York : Plenum Press, c1978.</t>
        </is>
      </c>
      <c r="O130" t="inlineStr">
        <is>
          <t>1978</t>
        </is>
      </c>
      <c r="Q130" t="inlineStr">
        <is>
          <t>eng</t>
        </is>
      </c>
      <c r="R130" t="inlineStr">
        <is>
          <t>nyu</t>
        </is>
      </c>
      <c r="T130" t="inlineStr">
        <is>
          <t xml:space="preserve">QP </t>
        </is>
      </c>
      <c r="U130" t="n">
        <v>3</v>
      </c>
      <c r="V130" t="n">
        <v>3</v>
      </c>
      <c r="W130" t="inlineStr">
        <is>
          <t>1994-07-30</t>
        </is>
      </c>
      <c r="X130" t="inlineStr">
        <is>
          <t>1994-07-30</t>
        </is>
      </c>
      <c r="Y130" t="inlineStr">
        <is>
          <t>1993-02-26</t>
        </is>
      </c>
      <c r="Z130" t="inlineStr">
        <is>
          <t>1993-02-26</t>
        </is>
      </c>
      <c r="AA130" t="n">
        <v>299</v>
      </c>
      <c r="AB130" t="n">
        <v>215</v>
      </c>
      <c r="AC130" t="n">
        <v>217</v>
      </c>
      <c r="AD130" t="n">
        <v>4</v>
      </c>
      <c r="AE130" t="n">
        <v>4</v>
      </c>
      <c r="AF130" t="n">
        <v>8</v>
      </c>
      <c r="AG130" t="n">
        <v>8</v>
      </c>
      <c r="AH130" t="n">
        <v>2</v>
      </c>
      <c r="AI130" t="n">
        <v>2</v>
      </c>
      <c r="AJ130" t="n">
        <v>3</v>
      </c>
      <c r="AK130" t="n">
        <v>3</v>
      </c>
      <c r="AL130" t="n">
        <v>3</v>
      </c>
      <c r="AM130" t="n">
        <v>3</v>
      </c>
      <c r="AN130" t="n">
        <v>2</v>
      </c>
      <c r="AO130" t="n">
        <v>2</v>
      </c>
      <c r="AP130" t="n">
        <v>0</v>
      </c>
      <c r="AQ130" t="n">
        <v>0</v>
      </c>
      <c r="AR130" t="inlineStr">
        <is>
          <t>No</t>
        </is>
      </c>
      <c r="AS130" t="inlineStr">
        <is>
          <t>Yes</t>
        </is>
      </c>
      <c r="AT130">
        <f>HYPERLINK("http://catalog.hathitrust.org/Record/000178366","HathiTrust Record")</f>
        <v/>
      </c>
      <c r="AU130">
        <f>HYPERLINK("https://creighton-primo.hosted.exlibrisgroup.com/primo-explore/search?tab=default_tab&amp;search_scope=EVERYTHING&amp;vid=01CRU&amp;lang=en_US&amp;offset=0&amp;query=any,contains,991005264909702656","Catalog Record")</f>
        <v/>
      </c>
      <c r="AV130">
        <f>HYPERLINK("http://www.worldcat.org/oclc/4056133","WorldCat Record")</f>
        <v/>
      </c>
      <c r="AW130" t="inlineStr">
        <is>
          <t>13706355:eng</t>
        </is>
      </c>
      <c r="AX130" t="inlineStr">
        <is>
          <t>4056133</t>
        </is>
      </c>
      <c r="AY130" t="inlineStr">
        <is>
          <t>991005264909702656</t>
        </is>
      </c>
      <c r="AZ130" t="inlineStr">
        <is>
          <t>991005264909702656</t>
        </is>
      </c>
      <c r="BA130" t="inlineStr">
        <is>
          <t>2271932240002656</t>
        </is>
      </c>
      <c r="BB130" t="inlineStr">
        <is>
          <t>BOOK</t>
        </is>
      </c>
      <c r="BD130" t="inlineStr">
        <is>
          <t>9780306311390</t>
        </is>
      </c>
      <c r="BE130" t="inlineStr">
        <is>
          <t>32285001560456</t>
        </is>
      </c>
      <c r="BF130" t="inlineStr">
        <is>
          <t>893230463</t>
        </is>
      </c>
    </row>
    <row r="131">
      <c r="B131" t="inlineStr">
        <is>
          <t>CURAL</t>
        </is>
      </c>
      <c r="C131" t="inlineStr">
        <is>
          <t>SHELVES</t>
        </is>
      </c>
      <c r="D131" t="inlineStr">
        <is>
          <t>QP263 .A77 1983</t>
        </is>
      </c>
      <c r="E131" t="inlineStr">
        <is>
          <t>0                      QP 0263000A  77          1983</t>
        </is>
      </c>
      <c r="F131" t="inlineStr">
        <is>
          <t>The real menstrual cycle / Doreen Asso.</t>
        </is>
      </c>
      <c r="H131" t="inlineStr">
        <is>
          <t>No</t>
        </is>
      </c>
      <c r="I131" t="inlineStr">
        <is>
          <t>1</t>
        </is>
      </c>
      <c r="J131" t="inlineStr">
        <is>
          <t>No</t>
        </is>
      </c>
      <c r="K131" t="inlineStr">
        <is>
          <t>No</t>
        </is>
      </c>
      <c r="L131" t="inlineStr">
        <is>
          <t>0</t>
        </is>
      </c>
      <c r="M131" t="inlineStr">
        <is>
          <t>Asso, Doreen.</t>
        </is>
      </c>
      <c r="N131" t="inlineStr">
        <is>
          <t>Chichester [West Sussex] ; New York : Wiley, c1983.</t>
        </is>
      </c>
      <c r="O131" t="inlineStr">
        <is>
          <t>1983</t>
        </is>
      </c>
      <c r="Q131" t="inlineStr">
        <is>
          <t>eng</t>
        </is>
      </c>
      <c r="R131" t="inlineStr">
        <is>
          <t>enk</t>
        </is>
      </c>
      <c r="T131" t="inlineStr">
        <is>
          <t xml:space="preserve">QP </t>
        </is>
      </c>
      <c r="U131" t="n">
        <v>9</v>
      </c>
      <c r="V131" t="n">
        <v>9</v>
      </c>
      <c r="W131" t="inlineStr">
        <is>
          <t>2000-04-26</t>
        </is>
      </c>
      <c r="X131" t="inlineStr">
        <is>
          <t>2000-04-26</t>
        </is>
      </c>
      <c r="Y131" t="inlineStr">
        <is>
          <t>1992-01-07</t>
        </is>
      </c>
      <c r="Z131" t="inlineStr">
        <is>
          <t>1992-01-07</t>
        </is>
      </c>
      <c r="AA131" t="n">
        <v>549</v>
      </c>
      <c r="AB131" t="n">
        <v>456</v>
      </c>
      <c r="AC131" t="n">
        <v>463</v>
      </c>
      <c r="AD131" t="n">
        <v>2</v>
      </c>
      <c r="AE131" t="n">
        <v>2</v>
      </c>
      <c r="AF131" t="n">
        <v>22</v>
      </c>
      <c r="AG131" t="n">
        <v>22</v>
      </c>
      <c r="AH131" t="n">
        <v>11</v>
      </c>
      <c r="AI131" t="n">
        <v>11</v>
      </c>
      <c r="AJ131" t="n">
        <v>6</v>
      </c>
      <c r="AK131" t="n">
        <v>6</v>
      </c>
      <c r="AL131" t="n">
        <v>12</v>
      </c>
      <c r="AM131" t="n">
        <v>12</v>
      </c>
      <c r="AN131" t="n">
        <v>1</v>
      </c>
      <c r="AO131" t="n">
        <v>1</v>
      </c>
      <c r="AP131" t="n">
        <v>0</v>
      </c>
      <c r="AQ131" t="n">
        <v>0</v>
      </c>
      <c r="AR131" t="inlineStr">
        <is>
          <t>No</t>
        </is>
      </c>
      <c r="AS131" t="inlineStr">
        <is>
          <t>Yes</t>
        </is>
      </c>
      <c r="AT131">
        <f>HYPERLINK("http://catalog.hathitrust.org/Record/000241343","HathiTrust Record")</f>
        <v/>
      </c>
      <c r="AU131">
        <f>HYPERLINK("https://creighton-primo.hosted.exlibrisgroup.com/primo-explore/search?tab=default_tab&amp;search_scope=EVERYTHING&amp;vid=01CRU&amp;lang=en_US&amp;offset=0&amp;query=any,contains,991000183139702656","Catalog Record")</f>
        <v/>
      </c>
      <c r="AV131">
        <f>HYPERLINK("http://www.worldcat.org/oclc/9392855","WorldCat Record")</f>
        <v/>
      </c>
      <c r="AW131" t="inlineStr">
        <is>
          <t>42986472:eng</t>
        </is>
      </c>
      <c r="AX131" t="inlineStr">
        <is>
          <t>9392855</t>
        </is>
      </c>
      <c r="AY131" t="inlineStr">
        <is>
          <t>991000183139702656</t>
        </is>
      </c>
      <c r="AZ131" t="inlineStr">
        <is>
          <t>991000183139702656</t>
        </is>
      </c>
      <c r="BA131" t="inlineStr">
        <is>
          <t>2268715170002656</t>
        </is>
      </c>
      <c r="BB131" t="inlineStr">
        <is>
          <t>BOOK</t>
        </is>
      </c>
      <c r="BD131" t="inlineStr">
        <is>
          <t>9780471901754</t>
        </is>
      </c>
      <c r="BE131" t="inlineStr">
        <is>
          <t>32285000896885</t>
        </is>
      </c>
      <c r="BF131" t="inlineStr">
        <is>
          <t>893243063</t>
        </is>
      </c>
    </row>
    <row r="132">
      <c r="B132" t="inlineStr">
        <is>
          <t>CURAL</t>
        </is>
      </c>
      <c r="C132" t="inlineStr">
        <is>
          <t>SHELVES</t>
        </is>
      </c>
      <c r="D132" t="inlineStr">
        <is>
          <t>QP263 .L36 1988</t>
        </is>
      </c>
      <c r="E132" t="inlineStr">
        <is>
          <t>0                      QP 0263000L  36          1988</t>
        </is>
      </c>
      <c r="F132" t="inlineStr">
        <is>
          <t>Images of bleeding : menstruation as ideology / Louise Lander.</t>
        </is>
      </c>
      <c r="H132" t="inlineStr">
        <is>
          <t>No</t>
        </is>
      </c>
      <c r="I132" t="inlineStr">
        <is>
          <t>1</t>
        </is>
      </c>
      <c r="J132" t="inlineStr">
        <is>
          <t>No</t>
        </is>
      </c>
      <c r="K132" t="inlineStr">
        <is>
          <t>No</t>
        </is>
      </c>
      <c r="L132" t="inlineStr">
        <is>
          <t>0</t>
        </is>
      </c>
      <c r="M132" t="inlineStr">
        <is>
          <t>Lander, Louise.</t>
        </is>
      </c>
      <c r="N132" t="inlineStr">
        <is>
          <t>New York : Orlando Press, c1988.</t>
        </is>
      </c>
      <c r="O132" t="inlineStr">
        <is>
          <t>1988</t>
        </is>
      </c>
      <c r="P132" t="inlineStr">
        <is>
          <t>1st ed.</t>
        </is>
      </c>
      <c r="Q132" t="inlineStr">
        <is>
          <t>eng</t>
        </is>
      </c>
      <c r="R132" t="inlineStr">
        <is>
          <t>nyu</t>
        </is>
      </c>
      <c r="T132" t="inlineStr">
        <is>
          <t xml:space="preserve">QP </t>
        </is>
      </c>
      <c r="U132" t="n">
        <v>2</v>
      </c>
      <c r="V132" t="n">
        <v>2</v>
      </c>
      <c r="W132" t="inlineStr">
        <is>
          <t>2004-10-15</t>
        </is>
      </c>
      <c r="X132" t="inlineStr">
        <is>
          <t>2004-10-15</t>
        </is>
      </c>
      <c r="Y132" t="inlineStr">
        <is>
          <t>1993-02-26</t>
        </is>
      </c>
      <c r="Z132" t="inlineStr">
        <is>
          <t>1993-02-26</t>
        </is>
      </c>
      <c r="AA132" t="n">
        <v>163</v>
      </c>
      <c r="AB132" t="n">
        <v>133</v>
      </c>
      <c r="AC132" t="n">
        <v>140</v>
      </c>
      <c r="AD132" t="n">
        <v>4</v>
      </c>
      <c r="AE132" t="n">
        <v>4</v>
      </c>
      <c r="AF132" t="n">
        <v>5</v>
      </c>
      <c r="AG132" t="n">
        <v>5</v>
      </c>
      <c r="AH132" t="n">
        <v>1</v>
      </c>
      <c r="AI132" t="n">
        <v>1</v>
      </c>
      <c r="AJ132" t="n">
        <v>1</v>
      </c>
      <c r="AK132" t="n">
        <v>1</v>
      </c>
      <c r="AL132" t="n">
        <v>0</v>
      </c>
      <c r="AM132" t="n">
        <v>0</v>
      </c>
      <c r="AN132" t="n">
        <v>3</v>
      </c>
      <c r="AO132" t="n">
        <v>3</v>
      </c>
      <c r="AP132" t="n">
        <v>0</v>
      </c>
      <c r="AQ132" t="n">
        <v>0</v>
      </c>
      <c r="AR132" t="inlineStr">
        <is>
          <t>No</t>
        </is>
      </c>
      <c r="AS132" t="inlineStr">
        <is>
          <t>Yes</t>
        </is>
      </c>
      <c r="AT132">
        <f>HYPERLINK("http://catalog.hathitrust.org/Record/001087710","HathiTrust Record")</f>
        <v/>
      </c>
      <c r="AU132">
        <f>HYPERLINK("https://creighton-primo.hosted.exlibrisgroup.com/primo-explore/search?tab=default_tab&amp;search_scope=EVERYTHING&amp;vid=01CRU&amp;lang=en_US&amp;offset=0&amp;query=any,contains,991001241619702656","Catalog Record")</f>
        <v/>
      </c>
      <c r="AV132">
        <f>HYPERLINK("http://www.worldcat.org/oclc/17620277","WorldCat Record")</f>
        <v/>
      </c>
      <c r="AW132" t="inlineStr">
        <is>
          <t>451143070:eng</t>
        </is>
      </c>
      <c r="AX132" t="inlineStr">
        <is>
          <t>17620277</t>
        </is>
      </c>
      <c r="AY132" t="inlineStr">
        <is>
          <t>991001241619702656</t>
        </is>
      </c>
      <c r="AZ132" t="inlineStr">
        <is>
          <t>991001241619702656</t>
        </is>
      </c>
      <c r="BA132" t="inlineStr">
        <is>
          <t>2261541890002656</t>
        </is>
      </c>
      <c r="BB132" t="inlineStr">
        <is>
          <t>BOOK</t>
        </is>
      </c>
      <c r="BD132" t="inlineStr">
        <is>
          <t>9780962009013</t>
        </is>
      </c>
      <c r="BE132" t="inlineStr">
        <is>
          <t>32285001560464</t>
        </is>
      </c>
      <c r="BF132" t="inlineStr">
        <is>
          <t>893696599</t>
        </is>
      </c>
    </row>
    <row r="133">
      <c r="B133" t="inlineStr">
        <is>
          <t>CURAL</t>
        </is>
      </c>
      <c r="C133" t="inlineStr">
        <is>
          <t>SHELVES</t>
        </is>
      </c>
      <c r="D133" t="inlineStr">
        <is>
          <t>QP273 .F47</t>
        </is>
      </c>
      <c r="E133" t="inlineStr">
        <is>
          <t>0                      QP 0273000F  47</t>
        </is>
      </c>
      <c r="F133" t="inlineStr">
        <is>
          <t>Fertilization and embryonic development in vitro / edited by Luigi Mastroianni, Jr., John D. Biggers.</t>
        </is>
      </c>
      <c r="H133" t="inlineStr">
        <is>
          <t>No</t>
        </is>
      </c>
      <c r="I133" t="inlineStr">
        <is>
          <t>1</t>
        </is>
      </c>
      <c r="J133" t="inlineStr">
        <is>
          <t>No</t>
        </is>
      </c>
      <c r="K133" t="inlineStr">
        <is>
          <t>No</t>
        </is>
      </c>
      <c r="L133" t="inlineStr">
        <is>
          <t>0</t>
        </is>
      </c>
      <c r="N133" t="inlineStr">
        <is>
          <t>New York : Plenum Press, c1981.</t>
        </is>
      </c>
      <c r="O133" t="inlineStr">
        <is>
          <t>1981</t>
        </is>
      </c>
      <c r="Q133" t="inlineStr">
        <is>
          <t>eng</t>
        </is>
      </c>
      <c r="R133" t="inlineStr">
        <is>
          <t>nyu</t>
        </is>
      </c>
      <c r="T133" t="inlineStr">
        <is>
          <t xml:space="preserve">QP </t>
        </is>
      </c>
      <c r="U133" t="n">
        <v>8</v>
      </c>
      <c r="V133" t="n">
        <v>8</v>
      </c>
      <c r="W133" t="inlineStr">
        <is>
          <t>1995-04-12</t>
        </is>
      </c>
      <c r="X133" t="inlineStr">
        <is>
          <t>1995-04-12</t>
        </is>
      </c>
      <c r="Y133" t="inlineStr">
        <is>
          <t>1991-11-25</t>
        </is>
      </c>
      <c r="Z133" t="inlineStr">
        <is>
          <t>1991-11-25</t>
        </is>
      </c>
      <c r="AA133" t="n">
        <v>402</v>
      </c>
      <c r="AB133" t="n">
        <v>329</v>
      </c>
      <c r="AC133" t="n">
        <v>345</v>
      </c>
      <c r="AD133" t="n">
        <v>3</v>
      </c>
      <c r="AE133" t="n">
        <v>3</v>
      </c>
      <c r="AF133" t="n">
        <v>14</v>
      </c>
      <c r="AG133" t="n">
        <v>15</v>
      </c>
      <c r="AH133" t="n">
        <v>4</v>
      </c>
      <c r="AI133" t="n">
        <v>5</v>
      </c>
      <c r="AJ133" t="n">
        <v>3</v>
      </c>
      <c r="AK133" t="n">
        <v>3</v>
      </c>
      <c r="AL133" t="n">
        <v>10</v>
      </c>
      <c r="AM133" t="n">
        <v>11</v>
      </c>
      <c r="AN133" t="n">
        <v>2</v>
      </c>
      <c r="AO133" t="n">
        <v>2</v>
      </c>
      <c r="AP133" t="n">
        <v>0</v>
      </c>
      <c r="AQ133" t="n">
        <v>0</v>
      </c>
      <c r="AR133" t="inlineStr">
        <is>
          <t>No</t>
        </is>
      </c>
      <c r="AS133" t="inlineStr">
        <is>
          <t>Yes</t>
        </is>
      </c>
      <c r="AT133">
        <f>HYPERLINK("http://catalog.hathitrust.org/Record/000185885","HathiTrust Record")</f>
        <v/>
      </c>
      <c r="AU133">
        <f>HYPERLINK("https://creighton-primo.hosted.exlibrisgroup.com/primo-explore/search?tab=default_tab&amp;search_scope=EVERYTHING&amp;vid=01CRU&amp;lang=en_US&amp;offset=0&amp;query=any,contains,991005152079702656","Catalog Record")</f>
        <v/>
      </c>
      <c r="AV133">
        <f>HYPERLINK("http://www.worldcat.org/oclc/7733582","WorldCat Record")</f>
        <v/>
      </c>
      <c r="AW133" t="inlineStr">
        <is>
          <t>355903483:eng</t>
        </is>
      </c>
      <c r="AX133" t="inlineStr">
        <is>
          <t>7733582</t>
        </is>
      </c>
      <c r="AY133" t="inlineStr">
        <is>
          <t>991005152079702656</t>
        </is>
      </c>
      <c r="AZ133" t="inlineStr">
        <is>
          <t>991005152079702656</t>
        </is>
      </c>
      <c r="BA133" t="inlineStr">
        <is>
          <t>2257011060002656</t>
        </is>
      </c>
      <c r="BB133" t="inlineStr">
        <is>
          <t>BOOK</t>
        </is>
      </c>
      <c r="BD133" t="inlineStr">
        <is>
          <t>9780306407833</t>
        </is>
      </c>
      <c r="BE133" t="inlineStr">
        <is>
          <t>32285000844877</t>
        </is>
      </c>
      <c r="BF133" t="inlineStr">
        <is>
          <t>893877027</t>
        </is>
      </c>
    </row>
    <row r="134">
      <c r="B134" t="inlineStr">
        <is>
          <t>CURAL</t>
        </is>
      </c>
      <c r="C134" t="inlineStr">
        <is>
          <t>SHELVES</t>
        </is>
      </c>
      <c r="D134" t="inlineStr">
        <is>
          <t>QP273 .S94 1984</t>
        </is>
      </c>
      <c r="E134" t="inlineStr">
        <is>
          <t>0                      QP 0273000S  94          1984</t>
        </is>
      </c>
      <c r="F134" t="inlineStr">
        <is>
          <t>The molecular and cellular biology of fertilization / edited by Jerry L. Hedrick.</t>
        </is>
      </c>
      <c r="H134" t="inlineStr">
        <is>
          <t>No</t>
        </is>
      </c>
      <c r="I134" t="inlineStr">
        <is>
          <t>1</t>
        </is>
      </c>
      <c r="J134" t="inlineStr">
        <is>
          <t>No</t>
        </is>
      </c>
      <c r="K134" t="inlineStr">
        <is>
          <t>No</t>
        </is>
      </c>
      <c r="L134" t="inlineStr">
        <is>
          <t>0</t>
        </is>
      </c>
      <c r="M134" t="inlineStr">
        <is>
          <t>Symposium on the Molecular and Cellular Biology of Fertilization (1984 : University of California, Davis)</t>
        </is>
      </c>
      <c r="N134" t="inlineStr">
        <is>
          <t>New York : Plenum Press, c1986.</t>
        </is>
      </c>
      <c r="O134" t="inlineStr">
        <is>
          <t>1986</t>
        </is>
      </c>
      <c r="Q134" t="inlineStr">
        <is>
          <t>eng</t>
        </is>
      </c>
      <c r="R134" t="inlineStr">
        <is>
          <t>nyu</t>
        </is>
      </c>
      <c r="S134" t="inlineStr">
        <is>
          <t>Advances in experimental medicine and biology ; v. 207</t>
        </is>
      </c>
      <c r="T134" t="inlineStr">
        <is>
          <t xml:space="preserve">QP </t>
        </is>
      </c>
      <c r="U134" t="n">
        <v>5</v>
      </c>
      <c r="V134" t="n">
        <v>5</v>
      </c>
      <c r="W134" t="inlineStr">
        <is>
          <t>1995-10-25</t>
        </is>
      </c>
      <c r="X134" t="inlineStr">
        <is>
          <t>1995-10-25</t>
        </is>
      </c>
      <c r="Y134" t="inlineStr">
        <is>
          <t>1993-02-26</t>
        </is>
      </c>
      <c r="Z134" t="inlineStr">
        <is>
          <t>1993-02-26</t>
        </is>
      </c>
      <c r="AA134" t="n">
        <v>262</v>
      </c>
      <c r="AB134" t="n">
        <v>211</v>
      </c>
      <c r="AC134" t="n">
        <v>212</v>
      </c>
      <c r="AD134" t="n">
        <v>1</v>
      </c>
      <c r="AE134" t="n">
        <v>1</v>
      </c>
      <c r="AF134" t="n">
        <v>6</v>
      </c>
      <c r="AG134" t="n">
        <v>6</v>
      </c>
      <c r="AH134" t="n">
        <v>0</v>
      </c>
      <c r="AI134" t="n">
        <v>0</v>
      </c>
      <c r="AJ134" t="n">
        <v>4</v>
      </c>
      <c r="AK134" t="n">
        <v>4</v>
      </c>
      <c r="AL134" t="n">
        <v>4</v>
      </c>
      <c r="AM134" t="n">
        <v>4</v>
      </c>
      <c r="AN134" t="n">
        <v>0</v>
      </c>
      <c r="AO134" t="n">
        <v>0</v>
      </c>
      <c r="AP134" t="n">
        <v>0</v>
      </c>
      <c r="AQ134" t="n">
        <v>0</v>
      </c>
      <c r="AR134" t="inlineStr">
        <is>
          <t>No</t>
        </is>
      </c>
      <c r="AS134" t="inlineStr">
        <is>
          <t>Yes</t>
        </is>
      </c>
      <c r="AT134">
        <f>HYPERLINK("http://catalog.hathitrust.org/Record/000810630","HathiTrust Record")</f>
        <v/>
      </c>
      <c r="AU134">
        <f>HYPERLINK("https://creighton-primo.hosted.exlibrisgroup.com/primo-explore/search?tab=default_tab&amp;search_scope=EVERYTHING&amp;vid=01CRU&amp;lang=en_US&amp;offset=0&amp;query=any,contains,991000941639702656","Catalog Record")</f>
        <v/>
      </c>
      <c r="AV134">
        <f>HYPERLINK("http://www.worldcat.org/oclc/14413150","WorldCat Record")</f>
        <v/>
      </c>
      <c r="AW134" t="inlineStr">
        <is>
          <t>479519410:eng</t>
        </is>
      </c>
      <c r="AX134" t="inlineStr">
        <is>
          <t>14413150</t>
        </is>
      </c>
      <c r="AY134" t="inlineStr">
        <is>
          <t>991000941639702656</t>
        </is>
      </c>
      <c r="AZ134" t="inlineStr">
        <is>
          <t>991000941639702656</t>
        </is>
      </c>
      <c r="BA134" t="inlineStr">
        <is>
          <t>2266374450002656</t>
        </is>
      </c>
      <c r="BB134" t="inlineStr">
        <is>
          <t>BOOK</t>
        </is>
      </c>
      <c r="BD134" t="inlineStr">
        <is>
          <t>9780306424786</t>
        </is>
      </c>
      <c r="BE134" t="inlineStr">
        <is>
          <t>32285001560472</t>
        </is>
      </c>
      <c r="BF134" t="inlineStr">
        <is>
          <t>893333914</t>
        </is>
      </c>
    </row>
    <row r="135">
      <c r="B135" t="inlineStr">
        <is>
          <t>CURAL</t>
        </is>
      </c>
      <c r="C135" t="inlineStr">
        <is>
          <t>SHELVES</t>
        </is>
      </c>
      <c r="D135" t="inlineStr">
        <is>
          <t>QP275 .C44</t>
        </is>
      </c>
      <c r="E135" t="inlineStr">
        <is>
          <t>0                      QP 0275000C  44</t>
        </is>
      </c>
      <c r="F135" t="inlineStr">
        <is>
          <t>Cellular and molecular aspects of implantation / edited by Stanley R. Glasser and David W. Bullock.</t>
        </is>
      </c>
      <c r="H135" t="inlineStr">
        <is>
          <t>No</t>
        </is>
      </c>
      <c r="I135" t="inlineStr">
        <is>
          <t>1</t>
        </is>
      </c>
      <c r="J135" t="inlineStr">
        <is>
          <t>No</t>
        </is>
      </c>
      <c r="K135" t="inlineStr">
        <is>
          <t>No</t>
        </is>
      </c>
      <c r="L135" t="inlineStr">
        <is>
          <t>0</t>
        </is>
      </c>
      <c r="N135" t="inlineStr">
        <is>
          <t>New York : Plenum Press, 1981.</t>
        </is>
      </c>
      <c r="O135" t="inlineStr">
        <is>
          <t>1981</t>
        </is>
      </c>
      <c r="Q135" t="inlineStr">
        <is>
          <t>eng</t>
        </is>
      </c>
      <c r="R135" t="inlineStr">
        <is>
          <t>nyu</t>
        </is>
      </c>
      <c r="T135" t="inlineStr">
        <is>
          <t xml:space="preserve">QP </t>
        </is>
      </c>
      <c r="U135" t="n">
        <v>1</v>
      </c>
      <c r="V135" t="n">
        <v>1</v>
      </c>
      <c r="W135" t="inlineStr">
        <is>
          <t>1996-10-02</t>
        </is>
      </c>
      <c r="X135" t="inlineStr">
        <is>
          <t>1996-10-02</t>
        </is>
      </c>
      <c r="Y135" t="inlineStr">
        <is>
          <t>1992-10-29</t>
        </is>
      </c>
      <c r="Z135" t="inlineStr">
        <is>
          <t>1992-10-29</t>
        </is>
      </c>
      <c r="AA135" t="n">
        <v>241</v>
      </c>
      <c r="AB135" t="n">
        <v>185</v>
      </c>
      <c r="AC135" t="n">
        <v>201</v>
      </c>
      <c r="AD135" t="n">
        <v>2</v>
      </c>
      <c r="AE135" t="n">
        <v>2</v>
      </c>
      <c r="AF135" t="n">
        <v>6</v>
      </c>
      <c r="AG135" t="n">
        <v>6</v>
      </c>
      <c r="AH135" t="n">
        <v>0</v>
      </c>
      <c r="AI135" t="n">
        <v>0</v>
      </c>
      <c r="AJ135" t="n">
        <v>1</v>
      </c>
      <c r="AK135" t="n">
        <v>1</v>
      </c>
      <c r="AL135" t="n">
        <v>5</v>
      </c>
      <c r="AM135" t="n">
        <v>5</v>
      </c>
      <c r="AN135" t="n">
        <v>1</v>
      </c>
      <c r="AO135" t="n">
        <v>1</v>
      </c>
      <c r="AP135" t="n">
        <v>0</v>
      </c>
      <c r="AQ135" t="n">
        <v>0</v>
      </c>
      <c r="AR135" t="inlineStr">
        <is>
          <t>No</t>
        </is>
      </c>
      <c r="AS135" t="inlineStr">
        <is>
          <t>Yes</t>
        </is>
      </c>
      <c r="AT135">
        <f>HYPERLINK("http://catalog.hathitrust.org/Record/000104999","HathiTrust Record")</f>
        <v/>
      </c>
      <c r="AU135">
        <f>HYPERLINK("https://creighton-primo.hosted.exlibrisgroup.com/primo-explore/search?tab=default_tab&amp;search_scope=EVERYTHING&amp;vid=01CRU&amp;lang=en_US&amp;offset=0&amp;query=any,contains,991005016419702656","Catalog Record")</f>
        <v/>
      </c>
      <c r="AV135">
        <f>HYPERLINK("http://www.worldcat.org/oclc/6626549","WorldCat Record")</f>
        <v/>
      </c>
      <c r="AW135" t="inlineStr">
        <is>
          <t>552508118:eng</t>
        </is>
      </c>
      <c r="AX135" t="inlineStr">
        <is>
          <t>6626549</t>
        </is>
      </c>
      <c r="AY135" t="inlineStr">
        <is>
          <t>991005016419702656</t>
        </is>
      </c>
      <c r="AZ135" t="inlineStr">
        <is>
          <t>991005016419702656</t>
        </is>
      </c>
      <c r="BA135" t="inlineStr">
        <is>
          <t>2256235210002656</t>
        </is>
      </c>
      <c r="BB135" t="inlineStr">
        <is>
          <t>BOOK</t>
        </is>
      </c>
      <c r="BD135" t="inlineStr">
        <is>
          <t>9780306405815</t>
        </is>
      </c>
      <c r="BE135" t="inlineStr">
        <is>
          <t>32285001387793</t>
        </is>
      </c>
      <c r="BF135" t="inlineStr">
        <is>
          <t>893242078</t>
        </is>
      </c>
    </row>
    <row r="136">
      <c r="B136" t="inlineStr">
        <is>
          <t>CURAL</t>
        </is>
      </c>
      <c r="C136" t="inlineStr">
        <is>
          <t>SHELVES</t>
        </is>
      </c>
      <c r="D136" t="inlineStr">
        <is>
          <t>QP277 .K54 2003</t>
        </is>
      </c>
      <c r="E136" t="inlineStr">
        <is>
          <t>0                      QP 0277000K  54          2003</t>
        </is>
      </c>
      <c r="F136" t="inlineStr">
        <is>
          <t>Human embryonic stem cells : an introduction to the science and therapeutic potential / Ann A. Kiessling, Scott C. Anderson.</t>
        </is>
      </c>
      <c r="H136" t="inlineStr">
        <is>
          <t>No</t>
        </is>
      </c>
      <c r="I136" t="inlineStr">
        <is>
          <t>1</t>
        </is>
      </c>
      <c r="J136" t="inlineStr">
        <is>
          <t>No</t>
        </is>
      </c>
      <c r="K136" t="inlineStr">
        <is>
          <t>No</t>
        </is>
      </c>
      <c r="L136" t="inlineStr">
        <is>
          <t>0</t>
        </is>
      </c>
      <c r="M136" t="inlineStr">
        <is>
          <t>Kiessling, Ann A.</t>
        </is>
      </c>
      <c r="N136" t="inlineStr">
        <is>
          <t>Sudbury, Mass. : Jones and Bartlett, c2003.</t>
        </is>
      </c>
      <c r="O136" t="inlineStr">
        <is>
          <t>2003</t>
        </is>
      </c>
      <c r="Q136" t="inlineStr">
        <is>
          <t>eng</t>
        </is>
      </c>
      <c r="R136" t="inlineStr">
        <is>
          <t>mau</t>
        </is>
      </c>
      <c r="T136" t="inlineStr">
        <is>
          <t xml:space="preserve">QP </t>
        </is>
      </c>
      <c r="U136" t="n">
        <v>13</v>
      </c>
      <c r="V136" t="n">
        <v>13</v>
      </c>
      <c r="W136" t="inlineStr">
        <is>
          <t>2010-10-26</t>
        </is>
      </c>
      <c r="X136" t="inlineStr">
        <is>
          <t>2010-10-26</t>
        </is>
      </c>
      <c r="Y136" t="inlineStr">
        <is>
          <t>2004-04-26</t>
        </is>
      </c>
      <c r="Z136" t="inlineStr">
        <is>
          <t>2004-04-26</t>
        </is>
      </c>
      <c r="AA136" t="n">
        <v>467</v>
      </c>
      <c r="AB136" t="n">
        <v>383</v>
      </c>
      <c r="AC136" t="n">
        <v>482</v>
      </c>
      <c r="AD136" t="n">
        <v>3</v>
      </c>
      <c r="AE136" t="n">
        <v>3</v>
      </c>
      <c r="AF136" t="n">
        <v>15</v>
      </c>
      <c r="AG136" t="n">
        <v>17</v>
      </c>
      <c r="AH136" t="n">
        <v>5</v>
      </c>
      <c r="AI136" t="n">
        <v>7</v>
      </c>
      <c r="AJ136" t="n">
        <v>6</v>
      </c>
      <c r="AK136" t="n">
        <v>6</v>
      </c>
      <c r="AL136" t="n">
        <v>5</v>
      </c>
      <c r="AM136" t="n">
        <v>6</v>
      </c>
      <c r="AN136" t="n">
        <v>2</v>
      </c>
      <c r="AO136" t="n">
        <v>2</v>
      </c>
      <c r="AP136" t="n">
        <v>0</v>
      </c>
      <c r="AQ136" t="n">
        <v>0</v>
      </c>
      <c r="AR136" t="inlineStr">
        <is>
          <t>No</t>
        </is>
      </c>
      <c r="AS136" t="inlineStr">
        <is>
          <t>No</t>
        </is>
      </c>
      <c r="AU136">
        <f>HYPERLINK("https://creighton-primo.hosted.exlibrisgroup.com/primo-explore/search?tab=default_tab&amp;search_scope=EVERYTHING&amp;vid=01CRU&amp;lang=en_US&amp;offset=0&amp;query=any,contains,991004275969702656","Catalog Record")</f>
        <v/>
      </c>
      <c r="AV136">
        <f>HYPERLINK("http://www.worldcat.org/oclc/51804780","WorldCat Record")</f>
        <v/>
      </c>
      <c r="AW136" t="inlineStr">
        <is>
          <t>63530611:eng</t>
        </is>
      </c>
      <c r="AX136" t="inlineStr">
        <is>
          <t>51804780</t>
        </is>
      </c>
      <c r="AY136" t="inlineStr">
        <is>
          <t>991004275969702656</t>
        </is>
      </c>
      <c r="AZ136" t="inlineStr">
        <is>
          <t>991004275969702656</t>
        </is>
      </c>
      <c r="BA136" t="inlineStr">
        <is>
          <t>2268854610002656</t>
        </is>
      </c>
      <c r="BB136" t="inlineStr">
        <is>
          <t>BOOK</t>
        </is>
      </c>
      <c r="BD136" t="inlineStr">
        <is>
          <t>9780763723415</t>
        </is>
      </c>
      <c r="BE136" t="inlineStr">
        <is>
          <t>32285004902689</t>
        </is>
      </c>
      <c r="BF136" t="inlineStr">
        <is>
          <t>893417426</t>
        </is>
      </c>
    </row>
    <row r="137">
      <c r="B137" t="inlineStr">
        <is>
          <t>CURAL</t>
        </is>
      </c>
      <c r="C137" t="inlineStr">
        <is>
          <t>SHELVES</t>
        </is>
      </c>
      <c r="D137" t="inlineStr">
        <is>
          <t>QP277 .M35</t>
        </is>
      </c>
      <c r="E137" t="inlineStr">
        <is>
          <t>0                      QP 0277000M  35</t>
        </is>
      </c>
      <c r="F137" t="inlineStr">
        <is>
          <t>The Mammalian fetus : comparative biology and methodology / edited by E. S. E. Hafez.</t>
        </is>
      </c>
      <c r="H137" t="inlineStr">
        <is>
          <t>No</t>
        </is>
      </c>
      <c r="I137" t="inlineStr">
        <is>
          <t>1</t>
        </is>
      </c>
      <c r="J137" t="inlineStr">
        <is>
          <t>No</t>
        </is>
      </c>
      <c r="K137" t="inlineStr">
        <is>
          <t>No</t>
        </is>
      </c>
      <c r="L137" t="inlineStr">
        <is>
          <t>0</t>
        </is>
      </c>
      <c r="N137" t="inlineStr">
        <is>
          <t>Springfield, Ill. : C. C. Thomas, [1975]</t>
        </is>
      </c>
      <c r="O137" t="inlineStr">
        <is>
          <t>1975</t>
        </is>
      </c>
      <c r="Q137" t="inlineStr">
        <is>
          <t>eng</t>
        </is>
      </c>
      <c r="R137" t="inlineStr">
        <is>
          <t>ilu</t>
        </is>
      </c>
      <c r="T137" t="inlineStr">
        <is>
          <t xml:space="preserve">QP </t>
        </is>
      </c>
      <c r="U137" t="n">
        <v>1</v>
      </c>
      <c r="V137" t="n">
        <v>1</v>
      </c>
      <c r="W137" t="inlineStr">
        <is>
          <t>1992-09-30</t>
        </is>
      </c>
      <c r="X137" t="inlineStr">
        <is>
          <t>1992-09-30</t>
        </is>
      </c>
      <c r="Y137" t="inlineStr">
        <is>
          <t>1990-04-12</t>
        </is>
      </c>
      <c r="Z137" t="inlineStr">
        <is>
          <t>1990-04-12</t>
        </is>
      </c>
      <c r="AA137" t="n">
        <v>223</v>
      </c>
      <c r="AB137" t="n">
        <v>185</v>
      </c>
      <c r="AC137" t="n">
        <v>187</v>
      </c>
      <c r="AD137" t="n">
        <v>3</v>
      </c>
      <c r="AE137" t="n">
        <v>3</v>
      </c>
      <c r="AF137" t="n">
        <v>6</v>
      </c>
      <c r="AG137" t="n">
        <v>6</v>
      </c>
      <c r="AH137" t="n">
        <v>1</v>
      </c>
      <c r="AI137" t="n">
        <v>1</v>
      </c>
      <c r="AJ137" t="n">
        <v>2</v>
      </c>
      <c r="AK137" t="n">
        <v>2</v>
      </c>
      <c r="AL137" t="n">
        <v>2</v>
      </c>
      <c r="AM137" t="n">
        <v>2</v>
      </c>
      <c r="AN137" t="n">
        <v>2</v>
      </c>
      <c r="AO137" t="n">
        <v>2</v>
      </c>
      <c r="AP137" t="n">
        <v>0</v>
      </c>
      <c r="AQ137" t="n">
        <v>0</v>
      </c>
      <c r="AR137" t="inlineStr">
        <is>
          <t>No</t>
        </is>
      </c>
      <c r="AS137" t="inlineStr">
        <is>
          <t>Yes</t>
        </is>
      </c>
      <c r="AT137">
        <f>HYPERLINK("http://catalog.hathitrust.org/Record/000015468","HathiTrust Record")</f>
        <v/>
      </c>
      <c r="AU137">
        <f>HYPERLINK("https://creighton-primo.hosted.exlibrisgroup.com/primo-explore/search?tab=default_tab&amp;search_scope=EVERYTHING&amp;vid=01CRU&amp;lang=en_US&amp;offset=0&amp;query=any,contains,991003419339702656","Catalog Record")</f>
        <v/>
      </c>
      <c r="AV137">
        <f>HYPERLINK("http://www.worldcat.org/oclc/960225","WorldCat Record")</f>
        <v/>
      </c>
      <c r="AW137" t="inlineStr">
        <is>
          <t>1910835:eng</t>
        </is>
      </c>
      <c r="AX137" t="inlineStr">
        <is>
          <t>960225</t>
        </is>
      </c>
      <c r="AY137" t="inlineStr">
        <is>
          <t>991003419339702656</t>
        </is>
      </c>
      <c r="AZ137" t="inlineStr">
        <is>
          <t>991003419339702656</t>
        </is>
      </c>
      <c r="BA137" t="inlineStr">
        <is>
          <t>2259062800002656</t>
        </is>
      </c>
      <c r="BB137" t="inlineStr">
        <is>
          <t>BOOK</t>
        </is>
      </c>
      <c r="BD137" t="inlineStr">
        <is>
          <t>9780398032852</t>
        </is>
      </c>
      <c r="BE137" t="inlineStr">
        <is>
          <t>32285000115211</t>
        </is>
      </c>
      <c r="BF137" t="inlineStr">
        <is>
          <t>893524795</t>
        </is>
      </c>
    </row>
    <row r="138">
      <c r="B138" t="inlineStr">
        <is>
          <t>CURAL</t>
        </is>
      </c>
      <c r="C138" t="inlineStr">
        <is>
          <t>SHELVES</t>
        </is>
      </c>
      <c r="D138" t="inlineStr">
        <is>
          <t>QP277 .S96 1988</t>
        </is>
      </c>
      <c r="E138" t="inlineStr">
        <is>
          <t>0                      QP 0277000S  96          1988</t>
        </is>
      </c>
      <c r="F138" t="inlineStr">
        <is>
          <t>Development of preimplantation embryos and their environment : proceedings of a Symposium on Development of Preimplantation Embryos and their Environment (satellite symposium of the 8th International Congress of Endocrinology), held in Kyoto, Japan, July 14-16, 1988 / editors, Koji Yoshinaga, Takahide Mori.</t>
        </is>
      </c>
      <c r="H138" t="inlineStr">
        <is>
          <t>No</t>
        </is>
      </c>
      <c r="I138" t="inlineStr">
        <is>
          <t>1</t>
        </is>
      </c>
      <c r="J138" t="inlineStr">
        <is>
          <t>No</t>
        </is>
      </c>
      <c r="K138" t="inlineStr">
        <is>
          <t>No</t>
        </is>
      </c>
      <c r="L138" t="inlineStr">
        <is>
          <t>0</t>
        </is>
      </c>
      <c r="M138" t="inlineStr">
        <is>
          <t>Symposium on Development of Preimplantation Embryos and their Environment (1988 : Kyoto, Japan)</t>
        </is>
      </c>
      <c r="N138" t="inlineStr">
        <is>
          <t>New York : A.R. Liss, c1989.</t>
        </is>
      </c>
      <c r="O138" t="inlineStr">
        <is>
          <t>1989</t>
        </is>
      </c>
      <c r="Q138" t="inlineStr">
        <is>
          <t>eng</t>
        </is>
      </c>
      <c r="R138" t="inlineStr">
        <is>
          <t>nyu</t>
        </is>
      </c>
      <c r="S138" t="inlineStr">
        <is>
          <t>Progress in clinical and biological research ; v. 294</t>
        </is>
      </c>
      <c r="T138" t="inlineStr">
        <is>
          <t xml:space="preserve">QP </t>
        </is>
      </c>
      <c r="U138" t="n">
        <v>1</v>
      </c>
      <c r="V138" t="n">
        <v>1</v>
      </c>
      <c r="W138" t="inlineStr">
        <is>
          <t>1992-09-30</t>
        </is>
      </c>
      <c r="X138" t="inlineStr">
        <is>
          <t>1992-09-30</t>
        </is>
      </c>
      <c r="Y138" t="inlineStr">
        <is>
          <t>1990-01-02</t>
        </is>
      </c>
      <c r="Z138" t="inlineStr">
        <is>
          <t>1990-01-02</t>
        </is>
      </c>
      <c r="AA138" t="n">
        <v>168</v>
      </c>
      <c r="AB138" t="n">
        <v>133</v>
      </c>
      <c r="AC138" t="n">
        <v>135</v>
      </c>
      <c r="AD138" t="n">
        <v>1</v>
      </c>
      <c r="AE138" t="n">
        <v>1</v>
      </c>
      <c r="AF138" t="n">
        <v>3</v>
      </c>
      <c r="AG138" t="n">
        <v>3</v>
      </c>
      <c r="AH138" t="n">
        <v>1</v>
      </c>
      <c r="AI138" t="n">
        <v>1</v>
      </c>
      <c r="AJ138" t="n">
        <v>1</v>
      </c>
      <c r="AK138" t="n">
        <v>1</v>
      </c>
      <c r="AL138" t="n">
        <v>3</v>
      </c>
      <c r="AM138" t="n">
        <v>3</v>
      </c>
      <c r="AN138" t="n">
        <v>0</v>
      </c>
      <c r="AO138" t="n">
        <v>0</v>
      </c>
      <c r="AP138" t="n">
        <v>0</v>
      </c>
      <c r="AQ138" t="n">
        <v>0</v>
      </c>
      <c r="AR138" t="inlineStr">
        <is>
          <t>No</t>
        </is>
      </c>
      <c r="AS138" t="inlineStr">
        <is>
          <t>Yes</t>
        </is>
      </c>
      <c r="AT138">
        <f>HYPERLINK("http://catalog.hathitrust.org/Record/001097804","HathiTrust Record")</f>
        <v/>
      </c>
      <c r="AU138">
        <f>HYPERLINK("https://creighton-primo.hosted.exlibrisgroup.com/primo-explore/search?tab=default_tab&amp;search_scope=EVERYTHING&amp;vid=01CRU&amp;lang=en_US&amp;offset=0&amp;query=any,contains,991001432069702656","Catalog Record")</f>
        <v/>
      </c>
      <c r="AV138">
        <f>HYPERLINK("http://www.worldcat.org/oclc/19122956","WorldCat Record")</f>
        <v/>
      </c>
      <c r="AW138" t="inlineStr">
        <is>
          <t>138625191:eng</t>
        </is>
      </c>
      <c r="AX138" t="inlineStr">
        <is>
          <t>19122956</t>
        </is>
      </c>
      <c r="AY138" t="inlineStr">
        <is>
          <t>991001432069702656</t>
        </is>
      </c>
      <c r="AZ138" t="inlineStr">
        <is>
          <t>991001432069702656</t>
        </is>
      </c>
      <c r="BA138" t="inlineStr">
        <is>
          <t>2272664730002656</t>
        </is>
      </c>
      <c r="BB138" t="inlineStr">
        <is>
          <t>BOOK</t>
        </is>
      </c>
      <c r="BD138" t="inlineStr">
        <is>
          <t>9780845151440</t>
        </is>
      </c>
      <c r="BE138" t="inlineStr">
        <is>
          <t>32285000019637</t>
        </is>
      </c>
      <c r="BF138" t="inlineStr">
        <is>
          <t>893709269</t>
        </is>
      </c>
    </row>
    <row r="139">
      <c r="B139" t="inlineStr">
        <is>
          <t>CURAL</t>
        </is>
      </c>
      <c r="C139" t="inlineStr">
        <is>
          <t>SHELVES</t>
        </is>
      </c>
      <c r="D139" t="inlineStr">
        <is>
          <t>QP281 .A8</t>
        </is>
      </c>
      <c r="E139" t="inlineStr">
        <is>
          <t>0                      QP 0281000A  8</t>
        </is>
      </c>
      <c r="F139" t="inlineStr">
        <is>
          <t>Biology of gestation, edited by N. S. Assali.</t>
        </is>
      </c>
      <c r="G139" t="inlineStr">
        <is>
          <t>V. 2</t>
        </is>
      </c>
      <c r="H139" t="inlineStr">
        <is>
          <t>Yes</t>
        </is>
      </c>
      <c r="I139" t="inlineStr">
        <is>
          <t>1</t>
        </is>
      </c>
      <c r="J139" t="inlineStr">
        <is>
          <t>No</t>
        </is>
      </c>
      <c r="K139" t="inlineStr">
        <is>
          <t>No</t>
        </is>
      </c>
      <c r="L139" t="inlineStr">
        <is>
          <t>0</t>
        </is>
      </c>
      <c r="M139" t="inlineStr">
        <is>
          <t>Assali, Nicholas S., 1916-2004.</t>
        </is>
      </c>
      <c r="N139" t="inlineStr">
        <is>
          <t>New York, Academic Press, 1968.</t>
        </is>
      </c>
      <c r="O139" t="inlineStr">
        <is>
          <t>1968</t>
        </is>
      </c>
      <c r="Q139" t="inlineStr">
        <is>
          <t>eng</t>
        </is>
      </c>
      <c r="R139" t="inlineStr">
        <is>
          <t>nyu</t>
        </is>
      </c>
      <c r="T139" t="inlineStr">
        <is>
          <t xml:space="preserve">QP </t>
        </is>
      </c>
      <c r="U139" t="n">
        <v>2</v>
      </c>
      <c r="V139" t="n">
        <v>2</v>
      </c>
      <c r="W139" t="inlineStr">
        <is>
          <t>1998-09-08</t>
        </is>
      </c>
      <c r="X139" t="inlineStr">
        <is>
          <t>1998-09-08</t>
        </is>
      </c>
      <c r="Y139" t="inlineStr">
        <is>
          <t>1997-08-06</t>
        </is>
      </c>
      <c r="Z139" t="inlineStr">
        <is>
          <t>1997-08-06</t>
        </is>
      </c>
      <c r="AA139" t="n">
        <v>492</v>
      </c>
      <c r="AB139" t="n">
        <v>392</v>
      </c>
      <c r="AC139" t="n">
        <v>429</v>
      </c>
      <c r="AD139" t="n">
        <v>6</v>
      </c>
      <c r="AE139" t="n">
        <v>6</v>
      </c>
      <c r="AF139" t="n">
        <v>16</v>
      </c>
      <c r="AG139" t="n">
        <v>18</v>
      </c>
      <c r="AH139" t="n">
        <v>2</v>
      </c>
      <c r="AI139" t="n">
        <v>3</v>
      </c>
      <c r="AJ139" t="n">
        <v>4</v>
      </c>
      <c r="AK139" t="n">
        <v>5</v>
      </c>
      <c r="AL139" t="n">
        <v>9</v>
      </c>
      <c r="AM139" t="n">
        <v>9</v>
      </c>
      <c r="AN139" t="n">
        <v>4</v>
      </c>
      <c r="AO139" t="n">
        <v>4</v>
      </c>
      <c r="AP139" t="n">
        <v>0</v>
      </c>
      <c r="AQ139" t="n">
        <v>0</v>
      </c>
      <c r="AR139" t="inlineStr">
        <is>
          <t>No</t>
        </is>
      </c>
      <c r="AS139" t="inlineStr">
        <is>
          <t>Yes</t>
        </is>
      </c>
      <c r="AT139">
        <f>HYPERLINK("http://catalog.hathitrust.org/Record/001554294","HathiTrust Record")</f>
        <v/>
      </c>
      <c r="AU139">
        <f>HYPERLINK("https://creighton-primo.hosted.exlibrisgroup.com/primo-explore/search?tab=default_tab&amp;search_scope=EVERYTHING&amp;vid=01CRU&amp;lang=en_US&amp;offset=0&amp;query=any,contains,991005265139702656","Catalog Record")</f>
        <v/>
      </c>
      <c r="AV139">
        <f>HYPERLINK("http://www.worldcat.org/oclc/287277","WorldCat Record")</f>
        <v/>
      </c>
      <c r="AW139" t="inlineStr">
        <is>
          <t>2864854888:eng</t>
        </is>
      </c>
      <c r="AX139" t="inlineStr">
        <is>
          <t>287277</t>
        </is>
      </c>
      <c r="AY139" t="inlineStr">
        <is>
          <t>991005265139702656</t>
        </is>
      </c>
      <c r="AZ139" t="inlineStr">
        <is>
          <t>991005265139702656</t>
        </is>
      </c>
      <c r="BA139" t="inlineStr">
        <is>
          <t>2263420420002656</t>
        </is>
      </c>
      <c r="BB139" t="inlineStr">
        <is>
          <t>BOOK</t>
        </is>
      </c>
      <c r="BE139" t="inlineStr">
        <is>
          <t>32285003013389</t>
        </is>
      </c>
      <c r="BF139" t="inlineStr">
        <is>
          <t>893236562</t>
        </is>
      </c>
    </row>
    <row r="140">
      <c r="B140" t="inlineStr">
        <is>
          <t>CURAL</t>
        </is>
      </c>
      <c r="C140" t="inlineStr">
        <is>
          <t>SHELVES</t>
        </is>
      </c>
      <c r="D140" t="inlineStr">
        <is>
          <t>QP281 .A8</t>
        </is>
      </c>
      <c r="E140" t="inlineStr">
        <is>
          <t>0                      QP 0281000A  8</t>
        </is>
      </c>
      <c r="F140" t="inlineStr">
        <is>
          <t>Biology of gestation, edited by N. S. Assali.</t>
        </is>
      </c>
      <c r="G140" t="inlineStr">
        <is>
          <t>V. 1</t>
        </is>
      </c>
      <c r="H140" t="inlineStr">
        <is>
          <t>Yes</t>
        </is>
      </c>
      <c r="I140" t="inlineStr">
        <is>
          <t>1</t>
        </is>
      </c>
      <c r="J140" t="inlineStr">
        <is>
          <t>No</t>
        </is>
      </c>
      <c r="K140" t="inlineStr">
        <is>
          <t>No</t>
        </is>
      </c>
      <c r="L140" t="inlineStr">
        <is>
          <t>0</t>
        </is>
      </c>
      <c r="M140" t="inlineStr">
        <is>
          <t>Assali, Nicholas S., 1916-2004.</t>
        </is>
      </c>
      <c r="N140" t="inlineStr">
        <is>
          <t>New York, Academic Press, 1968.</t>
        </is>
      </c>
      <c r="O140" t="inlineStr">
        <is>
          <t>1968</t>
        </is>
      </c>
      <c r="Q140" t="inlineStr">
        <is>
          <t>eng</t>
        </is>
      </c>
      <c r="R140" t="inlineStr">
        <is>
          <t>nyu</t>
        </is>
      </c>
      <c r="T140" t="inlineStr">
        <is>
          <t xml:space="preserve">QP </t>
        </is>
      </c>
      <c r="U140" t="n">
        <v>0</v>
      </c>
      <c r="V140" t="n">
        <v>2</v>
      </c>
      <c r="X140" t="inlineStr">
        <is>
          <t>1998-09-08</t>
        </is>
      </c>
      <c r="Y140" t="inlineStr">
        <is>
          <t>1997-08-06</t>
        </is>
      </c>
      <c r="Z140" t="inlineStr">
        <is>
          <t>1997-08-06</t>
        </is>
      </c>
      <c r="AA140" t="n">
        <v>492</v>
      </c>
      <c r="AB140" t="n">
        <v>392</v>
      </c>
      <c r="AC140" t="n">
        <v>429</v>
      </c>
      <c r="AD140" t="n">
        <v>6</v>
      </c>
      <c r="AE140" t="n">
        <v>6</v>
      </c>
      <c r="AF140" t="n">
        <v>16</v>
      </c>
      <c r="AG140" t="n">
        <v>18</v>
      </c>
      <c r="AH140" t="n">
        <v>2</v>
      </c>
      <c r="AI140" t="n">
        <v>3</v>
      </c>
      <c r="AJ140" t="n">
        <v>4</v>
      </c>
      <c r="AK140" t="n">
        <v>5</v>
      </c>
      <c r="AL140" t="n">
        <v>9</v>
      </c>
      <c r="AM140" t="n">
        <v>9</v>
      </c>
      <c r="AN140" t="n">
        <v>4</v>
      </c>
      <c r="AO140" t="n">
        <v>4</v>
      </c>
      <c r="AP140" t="n">
        <v>0</v>
      </c>
      <c r="AQ140" t="n">
        <v>0</v>
      </c>
      <c r="AR140" t="inlineStr">
        <is>
          <t>No</t>
        </is>
      </c>
      <c r="AS140" t="inlineStr">
        <is>
          <t>Yes</t>
        </is>
      </c>
      <c r="AT140">
        <f>HYPERLINK("http://catalog.hathitrust.org/Record/001554294","HathiTrust Record")</f>
        <v/>
      </c>
      <c r="AU140">
        <f>HYPERLINK("https://creighton-primo.hosted.exlibrisgroup.com/primo-explore/search?tab=default_tab&amp;search_scope=EVERYTHING&amp;vid=01CRU&amp;lang=en_US&amp;offset=0&amp;query=any,contains,991005265139702656","Catalog Record")</f>
        <v/>
      </c>
      <c r="AV140">
        <f>HYPERLINK("http://www.worldcat.org/oclc/287277","WorldCat Record")</f>
        <v/>
      </c>
      <c r="AW140" t="inlineStr">
        <is>
          <t>2864854888:eng</t>
        </is>
      </c>
      <c r="AX140" t="inlineStr">
        <is>
          <t>287277</t>
        </is>
      </c>
      <c r="AY140" t="inlineStr">
        <is>
          <t>991005265139702656</t>
        </is>
      </c>
      <c r="AZ140" t="inlineStr">
        <is>
          <t>991005265139702656</t>
        </is>
      </c>
      <c r="BA140" t="inlineStr">
        <is>
          <t>2263420420002656</t>
        </is>
      </c>
      <c r="BB140" t="inlineStr">
        <is>
          <t>BOOK</t>
        </is>
      </c>
      <c r="BE140" t="inlineStr">
        <is>
          <t>32285003013371</t>
        </is>
      </c>
      <c r="BF140" t="inlineStr">
        <is>
          <t>893248627</t>
        </is>
      </c>
    </row>
    <row r="141">
      <c r="B141" t="inlineStr">
        <is>
          <t>CURAL</t>
        </is>
      </c>
      <c r="C141" t="inlineStr">
        <is>
          <t>SHELVES</t>
        </is>
      </c>
      <c r="D141" t="inlineStr">
        <is>
          <t>QP281 .P56</t>
        </is>
      </c>
      <c r="E141" t="inlineStr">
        <is>
          <t>0                      QP 0281000P  56</t>
        </is>
      </c>
      <c r="F141" t="inlineStr">
        <is>
          <t>Placental transfer / edited by Geoffrey Chamberlain and Andrew Wilkinson.</t>
        </is>
      </c>
      <c r="H141" t="inlineStr">
        <is>
          <t>No</t>
        </is>
      </c>
      <c r="I141" t="inlineStr">
        <is>
          <t>1</t>
        </is>
      </c>
      <c r="J141" t="inlineStr">
        <is>
          <t>No</t>
        </is>
      </c>
      <c r="K141" t="inlineStr">
        <is>
          <t>No</t>
        </is>
      </c>
      <c r="L141" t="inlineStr">
        <is>
          <t>0</t>
        </is>
      </c>
      <c r="N141" t="inlineStr">
        <is>
          <t>Tunbridge Wells, Eng. : Pitman Medical ; Baltimore : distributed by University Park Press, 1979.</t>
        </is>
      </c>
      <c r="O141" t="inlineStr">
        <is>
          <t>1979</t>
        </is>
      </c>
      <c r="Q141" t="inlineStr">
        <is>
          <t>eng</t>
        </is>
      </c>
      <c r="R141" t="inlineStr">
        <is>
          <t>enk</t>
        </is>
      </c>
      <c r="T141" t="inlineStr">
        <is>
          <t xml:space="preserve">QP </t>
        </is>
      </c>
      <c r="U141" t="n">
        <v>1</v>
      </c>
      <c r="V141" t="n">
        <v>1</v>
      </c>
      <c r="W141" t="inlineStr">
        <is>
          <t>1993-11-22</t>
        </is>
      </c>
      <c r="X141" t="inlineStr">
        <is>
          <t>1993-11-22</t>
        </is>
      </c>
      <c r="Y141" t="inlineStr">
        <is>
          <t>1993-02-26</t>
        </is>
      </c>
      <c r="Z141" t="inlineStr">
        <is>
          <t>1993-02-26</t>
        </is>
      </c>
      <c r="AA141" t="n">
        <v>188</v>
      </c>
      <c r="AB141" t="n">
        <v>131</v>
      </c>
      <c r="AC141" t="n">
        <v>132</v>
      </c>
      <c r="AD141" t="n">
        <v>2</v>
      </c>
      <c r="AE141" t="n">
        <v>2</v>
      </c>
      <c r="AF141" t="n">
        <v>1</v>
      </c>
      <c r="AG141" t="n">
        <v>1</v>
      </c>
      <c r="AH141" t="n">
        <v>0</v>
      </c>
      <c r="AI141" t="n">
        <v>0</v>
      </c>
      <c r="AJ141" t="n">
        <v>0</v>
      </c>
      <c r="AK141" t="n">
        <v>0</v>
      </c>
      <c r="AL141" t="n">
        <v>0</v>
      </c>
      <c r="AM141" t="n">
        <v>0</v>
      </c>
      <c r="AN141" t="n">
        <v>1</v>
      </c>
      <c r="AO141" t="n">
        <v>1</v>
      </c>
      <c r="AP141" t="n">
        <v>0</v>
      </c>
      <c r="AQ141" t="n">
        <v>0</v>
      </c>
      <c r="AR141" t="inlineStr">
        <is>
          <t>No</t>
        </is>
      </c>
      <c r="AS141" t="inlineStr">
        <is>
          <t>Yes</t>
        </is>
      </c>
      <c r="AT141">
        <f>HYPERLINK("http://catalog.hathitrust.org/Record/009108176","HathiTrust Record")</f>
        <v/>
      </c>
      <c r="AU141">
        <f>HYPERLINK("https://creighton-primo.hosted.exlibrisgroup.com/primo-explore/search?tab=default_tab&amp;search_scope=EVERYTHING&amp;vid=01CRU&amp;lang=en_US&amp;offset=0&amp;query=any,contains,991004806359702656","Catalog Record")</f>
        <v/>
      </c>
      <c r="AV141">
        <f>HYPERLINK("http://www.worldcat.org/oclc/5251248","WorldCat Record")</f>
        <v/>
      </c>
      <c r="AW141" t="inlineStr">
        <is>
          <t>478626571:eng</t>
        </is>
      </c>
      <c r="AX141" t="inlineStr">
        <is>
          <t>5251248</t>
        </is>
      </c>
      <c r="AY141" t="inlineStr">
        <is>
          <t>991004806359702656</t>
        </is>
      </c>
      <c r="AZ141" t="inlineStr">
        <is>
          <t>991004806359702656</t>
        </is>
      </c>
      <c r="BA141" t="inlineStr">
        <is>
          <t>2256291140002656</t>
        </is>
      </c>
      <c r="BB141" t="inlineStr">
        <is>
          <t>BOOK</t>
        </is>
      </c>
      <c r="BD141" t="inlineStr">
        <is>
          <t>9780272795316</t>
        </is>
      </c>
      <c r="BE141" t="inlineStr">
        <is>
          <t>32285001560498</t>
        </is>
      </c>
      <c r="BF141" t="inlineStr">
        <is>
          <t>893606485</t>
        </is>
      </c>
    </row>
    <row r="142">
      <c r="B142" t="inlineStr">
        <is>
          <t>CURAL</t>
        </is>
      </c>
      <c r="C142" t="inlineStr">
        <is>
          <t>SHELVES</t>
        </is>
      </c>
      <c r="D142" t="inlineStr">
        <is>
          <t>QP301 .A23 1986</t>
        </is>
      </c>
      <c r="E142" t="inlineStr">
        <is>
          <t>0                      QP 0301000A  23          1986</t>
        </is>
      </c>
      <c r="F142" t="inlineStr">
        <is>
          <t>Textbook of work physiology : physiological bases of exercise / Per-Olof Åstrand, Kaare Rodahl.</t>
        </is>
      </c>
      <c r="H142" t="inlineStr">
        <is>
          <t>No</t>
        </is>
      </c>
      <c r="I142" t="inlineStr">
        <is>
          <t>1</t>
        </is>
      </c>
      <c r="J142" t="inlineStr">
        <is>
          <t>No</t>
        </is>
      </c>
      <c r="K142" t="inlineStr">
        <is>
          <t>No</t>
        </is>
      </c>
      <c r="L142" t="inlineStr">
        <is>
          <t>0</t>
        </is>
      </c>
      <c r="M142" t="inlineStr">
        <is>
          <t>Åstrand, Per-Olof.</t>
        </is>
      </c>
      <c r="N142" t="inlineStr">
        <is>
          <t>New York : McGraw Hill, c1986.</t>
        </is>
      </c>
      <c r="O142" t="inlineStr">
        <is>
          <t>1986</t>
        </is>
      </c>
      <c r="P142" t="inlineStr">
        <is>
          <t>3rd ed.</t>
        </is>
      </c>
      <c r="Q142" t="inlineStr">
        <is>
          <t>eng</t>
        </is>
      </c>
      <c r="R142" t="inlineStr">
        <is>
          <t>nyu</t>
        </is>
      </c>
      <c r="S142" t="inlineStr">
        <is>
          <t>McGraw-Hill series in health education, physical education, and recreation</t>
        </is>
      </c>
      <c r="T142" t="inlineStr">
        <is>
          <t xml:space="preserve">QP </t>
        </is>
      </c>
      <c r="U142" t="n">
        <v>6</v>
      </c>
      <c r="V142" t="n">
        <v>6</v>
      </c>
      <c r="W142" t="inlineStr">
        <is>
          <t>1998-04-07</t>
        </is>
      </c>
      <c r="X142" t="inlineStr">
        <is>
          <t>1998-04-07</t>
        </is>
      </c>
      <c r="Y142" t="inlineStr">
        <is>
          <t>1991-11-21</t>
        </is>
      </c>
      <c r="Z142" t="inlineStr">
        <is>
          <t>1991-11-21</t>
        </is>
      </c>
      <c r="AA142" t="n">
        <v>395</v>
      </c>
      <c r="AB142" t="n">
        <v>226</v>
      </c>
      <c r="AC142" t="n">
        <v>653</v>
      </c>
      <c r="AD142" t="n">
        <v>1</v>
      </c>
      <c r="AE142" t="n">
        <v>4</v>
      </c>
      <c r="AF142" t="n">
        <v>6</v>
      </c>
      <c r="AG142" t="n">
        <v>23</v>
      </c>
      <c r="AH142" t="n">
        <v>4</v>
      </c>
      <c r="AI142" t="n">
        <v>10</v>
      </c>
      <c r="AJ142" t="n">
        <v>1</v>
      </c>
      <c r="AK142" t="n">
        <v>5</v>
      </c>
      <c r="AL142" t="n">
        <v>2</v>
      </c>
      <c r="AM142" t="n">
        <v>10</v>
      </c>
      <c r="AN142" t="n">
        <v>0</v>
      </c>
      <c r="AO142" t="n">
        <v>3</v>
      </c>
      <c r="AP142" t="n">
        <v>0</v>
      </c>
      <c r="AQ142" t="n">
        <v>0</v>
      </c>
      <c r="AR142" t="inlineStr">
        <is>
          <t>No</t>
        </is>
      </c>
      <c r="AS142" t="inlineStr">
        <is>
          <t>Yes</t>
        </is>
      </c>
      <c r="AT142">
        <f>HYPERLINK("http://catalog.hathitrust.org/Record/000825353","HathiTrust Record")</f>
        <v/>
      </c>
      <c r="AU142">
        <f>HYPERLINK("https://creighton-primo.hosted.exlibrisgroup.com/primo-explore/search?tab=default_tab&amp;search_scope=EVERYTHING&amp;vid=01CRU&amp;lang=en_US&amp;offset=0&amp;query=any,contains,991000702889702656","Catalog Record")</f>
        <v/>
      </c>
      <c r="AV142">
        <f>HYPERLINK("http://www.worldcat.org/oclc/12552853","WorldCat Record")</f>
        <v/>
      </c>
      <c r="AW142" t="inlineStr">
        <is>
          <t>4872527:eng</t>
        </is>
      </c>
      <c r="AX142" t="inlineStr">
        <is>
          <t>12552853</t>
        </is>
      </c>
      <c r="AY142" t="inlineStr">
        <is>
          <t>991000702889702656</t>
        </is>
      </c>
      <c r="AZ142" t="inlineStr">
        <is>
          <t>991000702889702656</t>
        </is>
      </c>
      <c r="BA142" t="inlineStr">
        <is>
          <t>2259326200002656</t>
        </is>
      </c>
      <c r="BB142" t="inlineStr">
        <is>
          <t>BOOK</t>
        </is>
      </c>
      <c r="BD142" t="inlineStr">
        <is>
          <t>9780070024168</t>
        </is>
      </c>
      <c r="BE142" t="inlineStr">
        <is>
          <t>32285000843234</t>
        </is>
      </c>
      <c r="BF142" t="inlineStr">
        <is>
          <t>893620719</t>
        </is>
      </c>
    </row>
    <row r="143">
      <c r="B143" t="inlineStr">
        <is>
          <t>CURAL</t>
        </is>
      </c>
      <c r="C143" t="inlineStr">
        <is>
          <t>SHELVES</t>
        </is>
      </c>
      <c r="D143" t="inlineStr">
        <is>
          <t>QP301 .A244 1994</t>
        </is>
      </c>
      <c r="E143" t="inlineStr">
        <is>
          <t>0                      QP 0301000A  244         1994</t>
        </is>
      </c>
      <c r="F143" t="inlineStr">
        <is>
          <t>Exercise physiology : laboratory manual / Gene M. Adams.</t>
        </is>
      </c>
      <c r="H143" t="inlineStr">
        <is>
          <t>No</t>
        </is>
      </c>
      <c r="I143" t="inlineStr">
        <is>
          <t>1</t>
        </is>
      </c>
      <c r="J143" t="inlineStr">
        <is>
          <t>No</t>
        </is>
      </c>
      <c r="K143" t="inlineStr">
        <is>
          <t>No</t>
        </is>
      </c>
      <c r="L143" t="inlineStr">
        <is>
          <t>0</t>
        </is>
      </c>
      <c r="M143" t="inlineStr">
        <is>
          <t>Adams, Gene M.</t>
        </is>
      </c>
      <c r="N143" t="inlineStr">
        <is>
          <t>Madison, Wis. : Brown &amp; Benchmark, c1994.</t>
        </is>
      </c>
      <c r="O143" t="inlineStr">
        <is>
          <t>1994</t>
        </is>
      </c>
      <c r="P143" t="inlineStr">
        <is>
          <t>2nd ed.</t>
        </is>
      </c>
      <c r="Q143" t="inlineStr">
        <is>
          <t>eng</t>
        </is>
      </c>
      <c r="R143" t="inlineStr">
        <is>
          <t>wiu</t>
        </is>
      </c>
      <c r="T143" t="inlineStr">
        <is>
          <t xml:space="preserve">QP </t>
        </is>
      </c>
      <c r="U143" t="n">
        <v>1</v>
      </c>
      <c r="V143" t="n">
        <v>1</v>
      </c>
      <c r="W143" t="inlineStr">
        <is>
          <t>2007-08-15</t>
        </is>
      </c>
      <c r="X143" t="inlineStr">
        <is>
          <t>2007-08-15</t>
        </is>
      </c>
      <c r="Y143" t="inlineStr">
        <is>
          <t>1994-07-12</t>
        </is>
      </c>
      <c r="Z143" t="inlineStr">
        <is>
          <t>1994-07-12</t>
        </is>
      </c>
      <c r="AA143" t="n">
        <v>58</v>
      </c>
      <c r="AB143" t="n">
        <v>43</v>
      </c>
      <c r="AC143" t="n">
        <v>153</v>
      </c>
      <c r="AD143" t="n">
        <v>1</v>
      </c>
      <c r="AE143" t="n">
        <v>2</v>
      </c>
      <c r="AF143" t="n">
        <v>0</v>
      </c>
      <c r="AG143" t="n">
        <v>3</v>
      </c>
      <c r="AH143" t="n">
        <v>0</v>
      </c>
      <c r="AI143" t="n">
        <v>2</v>
      </c>
      <c r="AJ143" t="n">
        <v>0</v>
      </c>
      <c r="AK143" t="n">
        <v>0</v>
      </c>
      <c r="AL143" t="n">
        <v>0</v>
      </c>
      <c r="AM143" t="n">
        <v>2</v>
      </c>
      <c r="AN143" t="n">
        <v>0</v>
      </c>
      <c r="AO143" t="n">
        <v>1</v>
      </c>
      <c r="AP143" t="n">
        <v>0</v>
      </c>
      <c r="AQ143" t="n">
        <v>0</v>
      </c>
      <c r="AR143" t="inlineStr">
        <is>
          <t>No</t>
        </is>
      </c>
      <c r="AS143" t="inlineStr">
        <is>
          <t>Yes</t>
        </is>
      </c>
      <c r="AT143">
        <f>HYPERLINK("http://catalog.hathitrust.org/Record/101954310","HathiTrust Record")</f>
        <v/>
      </c>
      <c r="AU143">
        <f>HYPERLINK("https://creighton-primo.hosted.exlibrisgroup.com/primo-explore/search?tab=default_tab&amp;search_scope=EVERYTHING&amp;vid=01CRU&amp;lang=en_US&amp;offset=0&amp;query=any,contains,991002319759702656","Catalog Record")</f>
        <v/>
      </c>
      <c r="AV143">
        <f>HYPERLINK("http://www.worldcat.org/oclc/30083198","WorldCat Record")</f>
        <v/>
      </c>
      <c r="AW143" t="inlineStr">
        <is>
          <t>22771276:eng</t>
        </is>
      </c>
      <c r="AX143" t="inlineStr">
        <is>
          <t>30083198</t>
        </is>
      </c>
      <c r="AY143" t="inlineStr">
        <is>
          <t>991002319759702656</t>
        </is>
      </c>
      <c r="AZ143" t="inlineStr">
        <is>
          <t>991002319759702656</t>
        </is>
      </c>
      <c r="BA143" t="inlineStr">
        <is>
          <t>2255010940002656</t>
        </is>
      </c>
      <c r="BB143" t="inlineStr">
        <is>
          <t>BOOK</t>
        </is>
      </c>
      <c r="BD143" t="inlineStr">
        <is>
          <t>9780697125965</t>
        </is>
      </c>
      <c r="BE143" t="inlineStr">
        <is>
          <t>32285001931970</t>
        </is>
      </c>
      <c r="BF143" t="inlineStr">
        <is>
          <t>893245021</t>
        </is>
      </c>
    </row>
    <row r="144">
      <c r="B144" t="inlineStr">
        <is>
          <t>CURAL</t>
        </is>
      </c>
      <c r="C144" t="inlineStr">
        <is>
          <t>SHELVES</t>
        </is>
      </c>
      <c r="D144" t="inlineStr">
        <is>
          <t>QP301 .B47 2003</t>
        </is>
      </c>
      <c r="E144" t="inlineStr">
        <is>
          <t>0                      QP 0301000B  47          2003</t>
        </is>
      </c>
      <c r="F144" t="inlineStr">
        <is>
          <t>Animal locomotion / Andrew A. Biewener.</t>
        </is>
      </c>
      <c r="H144" t="inlineStr">
        <is>
          <t>No</t>
        </is>
      </c>
      <c r="I144" t="inlineStr">
        <is>
          <t>1</t>
        </is>
      </c>
      <c r="J144" t="inlineStr">
        <is>
          <t>No</t>
        </is>
      </c>
      <c r="K144" t="inlineStr">
        <is>
          <t>No</t>
        </is>
      </c>
      <c r="L144" t="inlineStr">
        <is>
          <t>0</t>
        </is>
      </c>
      <c r="M144" t="inlineStr">
        <is>
          <t>Biewener, A. A. (Andrew A.)</t>
        </is>
      </c>
      <c r="N144" t="inlineStr">
        <is>
          <t>Oxford [England] ; New York : Oxford University Press, 2003.</t>
        </is>
      </c>
      <c r="O144" t="inlineStr">
        <is>
          <t>2003</t>
        </is>
      </c>
      <c r="Q144" t="inlineStr">
        <is>
          <t>eng</t>
        </is>
      </c>
      <c r="R144" t="inlineStr">
        <is>
          <t>enk</t>
        </is>
      </c>
      <c r="S144" t="inlineStr">
        <is>
          <t>Oxford animal biology series</t>
        </is>
      </c>
      <c r="T144" t="inlineStr">
        <is>
          <t xml:space="preserve">QP </t>
        </is>
      </c>
      <c r="U144" t="n">
        <v>29</v>
      </c>
      <c r="V144" t="n">
        <v>29</v>
      </c>
      <c r="W144" t="inlineStr">
        <is>
          <t>2008-07-29</t>
        </is>
      </c>
      <c r="X144" t="inlineStr">
        <is>
          <t>2008-07-29</t>
        </is>
      </c>
      <c r="Y144" t="inlineStr">
        <is>
          <t>2007-10-31</t>
        </is>
      </c>
      <c r="Z144" t="inlineStr">
        <is>
          <t>2007-10-31</t>
        </is>
      </c>
      <c r="AA144" t="n">
        <v>404</v>
      </c>
      <c r="AB144" t="n">
        <v>284</v>
      </c>
      <c r="AC144" t="n">
        <v>389</v>
      </c>
      <c r="AD144" t="n">
        <v>2</v>
      </c>
      <c r="AE144" t="n">
        <v>2</v>
      </c>
      <c r="AF144" t="n">
        <v>10</v>
      </c>
      <c r="AG144" t="n">
        <v>14</v>
      </c>
      <c r="AH144" t="n">
        <v>5</v>
      </c>
      <c r="AI144" t="n">
        <v>5</v>
      </c>
      <c r="AJ144" t="n">
        <v>2</v>
      </c>
      <c r="AK144" t="n">
        <v>5</v>
      </c>
      <c r="AL144" t="n">
        <v>7</v>
      </c>
      <c r="AM144" t="n">
        <v>9</v>
      </c>
      <c r="AN144" t="n">
        <v>1</v>
      </c>
      <c r="AO144" t="n">
        <v>1</v>
      </c>
      <c r="AP144" t="n">
        <v>0</v>
      </c>
      <c r="AQ144" t="n">
        <v>0</v>
      </c>
      <c r="AR144" t="inlineStr">
        <is>
          <t>No</t>
        </is>
      </c>
      <c r="AS144" t="inlineStr">
        <is>
          <t>No</t>
        </is>
      </c>
      <c r="AU144">
        <f>HYPERLINK("https://creighton-primo.hosted.exlibrisgroup.com/primo-explore/search?tab=default_tab&amp;search_scope=EVERYTHING&amp;vid=01CRU&amp;lang=en_US&amp;offset=0&amp;query=any,contains,991005132579702656","Catalog Record")</f>
        <v/>
      </c>
      <c r="AV144">
        <f>HYPERLINK("http://www.worldcat.org/oclc/52145477","WorldCat Record")</f>
        <v/>
      </c>
      <c r="AW144" t="inlineStr">
        <is>
          <t>663812:eng</t>
        </is>
      </c>
      <c r="AX144" t="inlineStr">
        <is>
          <t>52145477</t>
        </is>
      </c>
      <c r="AY144" t="inlineStr">
        <is>
          <t>991005132579702656</t>
        </is>
      </c>
      <c r="AZ144" t="inlineStr">
        <is>
          <t>991005132579702656</t>
        </is>
      </c>
      <c r="BA144" t="inlineStr">
        <is>
          <t>2259419630002656</t>
        </is>
      </c>
      <c r="BB144" t="inlineStr">
        <is>
          <t>BOOK</t>
        </is>
      </c>
      <c r="BD144" t="inlineStr">
        <is>
          <t>9780198500223</t>
        </is>
      </c>
      <c r="BE144" t="inlineStr">
        <is>
          <t>32285005363626</t>
        </is>
      </c>
      <c r="BF144" t="inlineStr">
        <is>
          <t>893248421</t>
        </is>
      </c>
    </row>
    <row r="145">
      <c r="B145" t="inlineStr">
        <is>
          <t>CURAL</t>
        </is>
      </c>
      <c r="C145" t="inlineStr">
        <is>
          <t>SHELVES</t>
        </is>
      </c>
      <c r="D145" t="inlineStr">
        <is>
          <t>QP301 .B4787 2008</t>
        </is>
      </c>
      <c r="E145" t="inlineStr">
        <is>
          <t>0                      QP 0301000B  4787        2008</t>
        </is>
      </c>
      <c r="F145" t="inlineStr">
        <is>
          <t>Measurement and evaluation in physical activity applications : exercise science, physical education, coaching, athletic training, and health / Phillip A. Bishop.</t>
        </is>
      </c>
      <c r="H145" t="inlineStr">
        <is>
          <t>No</t>
        </is>
      </c>
      <c r="I145" t="inlineStr">
        <is>
          <t>1</t>
        </is>
      </c>
      <c r="J145" t="inlineStr">
        <is>
          <t>No</t>
        </is>
      </c>
      <c r="K145" t="inlineStr">
        <is>
          <t>No</t>
        </is>
      </c>
      <c r="L145" t="inlineStr">
        <is>
          <t>0</t>
        </is>
      </c>
      <c r="M145" t="inlineStr">
        <is>
          <t>Bishop, Phillip A.</t>
        </is>
      </c>
      <c r="N145" t="inlineStr">
        <is>
          <t>Scottsdale, Az. : Holcomb Hathaway, c2008.</t>
        </is>
      </c>
      <c r="O145" t="inlineStr">
        <is>
          <t>2008</t>
        </is>
      </c>
      <c r="Q145" t="inlineStr">
        <is>
          <t>eng</t>
        </is>
      </c>
      <c r="R145" t="inlineStr">
        <is>
          <t>azu</t>
        </is>
      </c>
      <c r="T145" t="inlineStr">
        <is>
          <t xml:space="preserve">QP </t>
        </is>
      </c>
      <c r="U145" t="n">
        <v>1</v>
      </c>
      <c r="V145" t="n">
        <v>1</v>
      </c>
      <c r="W145" t="inlineStr">
        <is>
          <t>2008-10-29</t>
        </is>
      </c>
      <c r="X145" t="inlineStr">
        <is>
          <t>2008-10-29</t>
        </is>
      </c>
      <c r="Y145" t="inlineStr">
        <is>
          <t>2008-10-29</t>
        </is>
      </c>
      <c r="Z145" t="inlineStr">
        <is>
          <t>2008-10-29</t>
        </is>
      </c>
      <c r="AA145" t="n">
        <v>180</v>
      </c>
      <c r="AB145" t="n">
        <v>150</v>
      </c>
      <c r="AC145" t="n">
        <v>215</v>
      </c>
      <c r="AD145" t="n">
        <v>1</v>
      </c>
      <c r="AE145" t="n">
        <v>1</v>
      </c>
      <c r="AF145" t="n">
        <v>9</v>
      </c>
      <c r="AG145" t="n">
        <v>9</v>
      </c>
      <c r="AH145" t="n">
        <v>6</v>
      </c>
      <c r="AI145" t="n">
        <v>6</v>
      </c>
      <c r="AJ145" t="n">
        <v>1</v>
      </c>
      <c r="AK145" t="n">
        <v>1</v>
      </c>
      <c r="AL145" t="n">
        <v>5</v>
      </c>
      <c r="AM145" t="n">
        <v>5</v>
      </c>
      <c r="AN145" t="n">
        <v>0</v>
      </c>
      <c r="AO145" t="n">
        <v>0</v>
      </c>
      <c r="AP145" t="n">
        <v>0</v>
      </c>
      <c r="AQ145" t="n">
        <v>0</v>
      </c>
      <c r="AR145" t="inlineStr">
        <is>
          <t>No</t>
        </is>
      </c>
      <c r="AS145" t="inlineStr">
        <is>
          <t>No</t>
        </is>
      </c>
      <c r="AU145">
        <f>HYPERLINK("https://creighton-primo.hosted.exlibrisgroup.com/primo-explore/search?tab=default_tab&amp;search_scope=EVERYTHING&amp;vid=01CRU&amp;lang=en_US&amp;offset=0&amp;query=any,contains,991005268109702656","Catalog Record")</f>
        <v/>
      </c>
      <c r="AV145">
        <f>HYPERLINK("http://www.worldcat.org/oclc/183608836","WorldCat Record")</f>
        <v/>
      </c>
      <c r="AW145" t="inlineStr">
        <is>
          <t>1024571759:eng</t>
        </is>
      </c>
      <c r="AX145" t="inlineStr">
        <is>
          <t>183608836</t>
        </is>
      </c>
      <c r="AY145" t="inlineStr">
        <is>
          <t>991005268109702656</t>
        </is>
      </c>
      <c r="AZ145" t="inlineStr">
        <is>
          <t>991005268109702656</t>
        </is>
      </c>
      <c r="BA145" t="inlineStr">
        <is>
          <t>2265169320002656</t>
        </is>
      </c>
      <c r="BB145" t="inlineStr">
        <is>
          <t>BOOK</t>
        </is>
      </c>
      <c r="BD145" t="inlineStr">
        <is>
          <t>9781890871833</t>
        </is>
      </c>
      <c r="BE145" t="inlineStr">
        <is>
          <t>32285005464648</t>
        </is>
      </c>
      <c r="BF145" t="inlineStr">
        <is>
          <t>893707557</t>
        </is>
      </c>
    </row>
    <row r="146">
      <c r="B146" t="inlineStr">
        <is>
          <t>CURAL</t>
        </is>
      </c>
      <c r="C146" t="inlineStr">
        <is>
          <t>SHELVES</t>
        </is>
      </c>
      <c r="D146" t="inlineStr">
        <is>
          <t>QP301 .B88 1966</t>
        </is>
      </c>
      <c r="E146" t="inlineStr">
        <is>
          <t>0                      QP 0301000B  88          1966</t>
        </is>
      </c>
      <c r="F146" t="inlineStr">
        <is>
          <t>Efficiency of human movement / [by] Marion R. Broer. Photos. by E. F. Marten.</t>
        </is>
      </c>
      <c r="H146" t="inlineStr">
        <is>
          <t>No</t>
        </is>
      </c>
      <c r="I146" t="inlineStr">
        <is>
          <t>1</t>
        </is>
      </c>
      <c r="J146" t="inlineStr">
        <is>
          <t>No</t>
        </is>
      </c>
      <c r="K146" t="inlineStr">
        <is>
          <t>No</t>
        </is>
      </c>
      <c r="L146" t="inlineStr">
        <is>
          <t>0</t>
        </is>
      </c>
      <c r="M146" t="inlineStr">
        <is>
          <t>Broer, Marion Ruth.</t>
        </is>
      </c>
      <c r="N146" t="inlineStr">
        <is>
          <t>Philadelphia : Saunders, 1966.</t>
        </is>
      </c>
      <c r="O146" t="inlineStr">
        <is>
          <t>1966</t>
        </is>
      </c>
      <c r="P146" t="inlineStr">
        <is>
          <t>2d ed.</t>
        </is>
      </c>
      <c r="Q146" t="inlineStr">
        <is>
          <t>eng</t>
        </is>
      </c>
      <c r="R146" t="inlineStr">
        <is>
          <t>pau</t>
        </is>
      </c>
      <c r="T146" t="inlineStr">
        <is>
          <t xml:space="preserve">QP </t>
        </is>
      </c>
      <c r="U146" t="n">
        <v>4</v>
      </c>
      <c r="V146" t="n">
        <v>4</v>
      </c>
      <c r="W146" t="inlineStr">
        <is>
          <t>1994-04-05</t>
        </is>
      </c>
      <c r="X146" t="inlineStr">
        <is>
          <t>1994-04-05</t>
        </is>
      </c>
      <c r="Y146" t="inlineStr">
        <is>
          <t>1993-04-23</t>
        </is>
      </c>
      <c r="Z146" t="inlineStr">
        <is>
          <t>1993-04-23</t>
        </is>
      </c>
      <c r="AA146" t="n">
        <v>388</v>
      </c>
      <c r="AB146" t="n">
        <v>317</v>
      </c>
      <c r="AC146" t="n">
        <v>790</v>
      </c>
      <c r="AD146" t="n">
        <v>3</v>
      </c>
      <c r="AE146" t="n">
        <v>9</v>
      </c>
      <c r="AF146" t="n">
        <v>10</v>
      </c>
      <c r="AG146" t="n">
        <v>32</v>
      </c>
      <c r="AH146" t="n">
        <v>3</v>
      </c>
      <c r="AI146" t="n">
        <v>12</v>
      </c>
      <c r="AJ146" t="n">
        <v>3</v>
      </c>
      <c r="AK146" t="n">
        <v>5</v>
      </c>
      <c r="AL146" t="n">
        <v>4</v>
      </c>
      <c r="AM146" t="n">
        <v>11</v>
      </c>
      <c r="AN146" t="n">
        <v>2</v>
      </c>
      <c r="AO146" t="n">
        <v>8</v>
      </c>
      <c r="AP146" t="n">
        <v>0</v>
      </c>
      <c r="AQ146" t="n">
        <v>0</v>
      </c>
      <c r="AR146" t="inlineStr">
        <is>
          <t>No</t>
        </is>
      </c>
      <c r="AS146" t="inlineStr">
        <is>
          <t>Yes</t>
        </is>
      </c>
      <c r="AT146">
        <f>HYPERLINK("http://catalog.hathitrust.org/Record/001554302","HathiTrust Record")</f>
        <v/>
      </c>
      <c r="AU146">
        <f>HYPERLINK("https://creighton-primo.hosted.exlibrisgroup.com/primo-explore/search?tab=default_tab&amp;search_scope=EVERYTHING&amp;vid=01CRU&amp;lang=en_US&amp;offset=0&amp;query=any,contains,991003181379702656","Catalog Record")</f>
        <v/>
      </c>
      <c r="AV146">
        <f>HYPERLINK("http://www.worldcat.org/oclc/711826","WorldCat Record")</f>
        <v/>
      </c>
      <c r="AW146" t="inlineStr">
        <is>
          <t>1660805:eng</t>
        </is>
      </c>
      <c r="AX146" t="inlineStr">
        <is>
          <t>711826</t>
        </is>
      </c>
      <c r="AY146" t="inlineStr">
        <is>
          <t>991003181379702656</t>
        </is>
      </c>
      <c r="AZ146" t="inlineStr">
        <is>
          <t>991003181379702656</t>
        </is>
      </c>
      <c r="BA146" t="inlineStr">
        <is>
          <t>2264240170002656</t>
        </is>
      </c>
      <c r="BB146" t="inlineStr">
        <is>
          <t>BOOK</t>
        </is>
      </c>
      <c r="BE146" t="inlineStr">
        <is>
          <t>32285001623767</t>
        </is>
      </c>
      <c r="BF146" t="inlineStr">
        <is>
          <t>893342299</t>
        </is>
      </c>
    </row>
    <row r="147">
      <c r="B147" t="inlineStr">
        <is>
          <t>CURAL</t>
        </is>
      </c>
      <c r="C147" t="inlineStr">
        <is>
          <t>SHELVES</t>
        </is>
      </c>
      <c r="D147" t="inlineStr">
        <is>
          <t>QP301 .B8854 1987</t>
        </is>
      </c>
      <c r="E147" t="inlineStr">
        <is>
          <t>0                      QP 0301000B  8854        1987</t>
        </is>
      </c>
      <c r="F147" t="inlineStr">
        <is>
          <t>Fundamentals of human performance / George A. Brooks, Thomas D. Fahey.</t>
        </is>
      </c>
      <c r="H147" t="inlineStr">
        <is>
          <t>No</t>
        </is>
      </c>
      <c r="I147" t="inlineStr">
        <is>
          <t>1</t>
        </is>
      </c>
      <c r="J147" t="inlineStr">
        <is>
          <t>No</t>
        </is>
      </c>
      <c r="K147" t="inlineStr">
        <is>
          <t>No</t>
        </is>
      </c>
      <c r="L147" t="inlineStr">
        <is>
          <t>0</t>
        </is>
      </c>
      <c r="M147" t="inlineStr">
        <is>
          <t>Brooks, George A. (George Austin), 1944-</t>
        </is>
      </c>
      <c r="N147" t="inlineStr">
        <is>
          <t>New York : Macmillan ; London : Collier Macmillan, c1987.</t>
        </is>
      </c>
      <c r="O147" t="inlineStr">
        <is>
          <t>1987</t>
        </is>
      </c>
      <c r="Q147" t="inlineStr">
        <is>
          <t>eng</t>
        </is>
      </c>
      <c r="R147" t="inlineStr">
        <is>
          <t>nyu</t>
        </is>
      </c>
      <c r="T147" t="inlineStr">
        <is>
          <t xml:space="preserve">QP </t>
        </is>
      </c>
      <c r="U147" t="n">
        <v>4</v>
      </c>
      <c r="V147" t="n">
        <v>4</v>
      </c>
      <c r="W147" t="inlineStr">
        <is>
          <t>2009-12-02</t>
        </is>
      </c>
      <c r="X147" t="inlineStr">
        <is>
          <t>2009-12-02</t>
        </is>
      </c>
      <c r="Y147" t="inlineStr">
        <is>
          <t>1990-07-20</t>
        </is>
      </c>
      <c r="Z147" t="inlineStr">
        <is>
          <t>1990-07-20</t>
        </is>
      </c>
      <c r="AA147" t="n">
        <v>207</v>
      </c>
      <c r="AB147" t="n">
        <v>150</v>
      </c>
      <c r="AC147" t="n">
        <v>150</v>
      </c>
      <c r="AD147" t="n">
        <v>1</v>
      </c>
      <c r="AE147" t="n">
        <v>1</v>
      </c>
      <c r="AF147" t="n">
        <v>0</v>
      </c>
      <c r="AG147" t="n">
        <v>0</v>
      </c>
      <c r="AH147" t="n">
        <v>0</v>
      </c>
      <c r="AI147" t="n">
        <v>0</v>
      </c>
      <c r="AJ147" t="n">
        <v>0</v>
      </c>
      <c r="AK147" t="n">
        <v>0</v>
      </c>
      <c r="AL147" t="n">
        <v>0</v>
      </c>
      <c r="AM147" t="n">
        <v>0</v>
      </c>
      <c r="AN147" t="n">
        <v>0</v>
      </c>
      <c r="AO147" t="n">
        <v>0</v>
      </c>
      <c r="AP147" t="n">
        <v>0</v>
      </c>
      <c r="AQ147" t="n">
        <v>0</v>
      </c>
      <c r="AR147" t="inlineStr">
        <is>
          <t>No</t>
        </is>
      </c>
      <c r="AS147" t="inlineStr">
        <is>
          <t>No</t>
        </is>
      </c>
      <c r="AU147">
        <f>HYPERLINK("https://creighton-primo.hosted.exlibrisgroup.com/primo-explore/search?tab=default_tab&amp;search_scope=EVERYTHING&amp;vid=01CRU&amp;lang=en_US&amp;offset=0&amp;query=any,contains,991000828419702656","Catalog Record")</f>
        <v/>
      </c>
      <c r="AV147">
        <f>HYPERLINK("http://www.worldcat.org/oclc/13425614","WorldCat Record")</f>
        <v/>
      </c>
      <c r="AW147" t="inlineStr">
        <is>
          <t>180139463:eng</t>
        </is>
      </c>
      <c r="AX147" t="inlineStr">
        <is>
          <t>13425614</t>
        </is>
      </c>
      <c r="AY147" t="inlineStr">
        <is>
          <t>991000828419702656</t>
        </is>
      </c>
      <c r="AZ147" t="inlineStr">
        <is>
          <t>991000828419702656</t>
        </is>
      </c>
      <c r="BA147" t="inlineStr">
        <is>
          <t>2265019540002656</t>
        </is>
      </c>
      <c r="BB147" t="inlineStr">
        <is>
          <t>BOOK</t>
        </is>
      </c>
      <c r="BD147" t="inlineStr">
        <is>
          <t>9780023151507</t>
        </is>
      </c>
      <c r="BE147" t="inlineStr">
        <is>
          <t>32285000240068</t>
        </is>
      </c>
      <c r="BF147" t="inlineStr">
        <is>
          <t>893515647</t>
        </is>
      </c>
    </row>
    <row r="148">
      <c r="B148" t="inlineStr">
        <is>
          <t>CURAL</t>
        </is>
      </c>
      <c r="C148" t="inlineStr">
        <is>
          <t>SHELVES</t>
        </is>
      </c>
      <c r="D148" t="inlineStr">
        <is>
          <t>QP301 .B95</t>
        </is>
      </c>
      <c r="E148" t="inlineStr">
        <is>
          <t>0                      QP 0301000B  95</t>
        </is>
      </c>
      <c r="F148" t="inlineStr">
        <is>
          <t>A laboratory manual for exercise physiology / by Ronald James Byrd and Freddie Melton Browning.</t>
        </is>
      </c>
      <c r="H148" t="inlineStr">
        <is>
          <t>No</t>
        </is>
      </c>
      <c r="I148" t="inlineStr">
        <is>
          <t>1</t>
        </is>
      </c>
      <c r="J148" t="inlineStr">
        <is>
          <t>No</t>
        </is>
      </c>
      <c r="K148" t="inlineStr">
        <is>
          <t>No</t>
        </is>
      </c>
      <c r="L148" t="inlineStr">
        <is>
          <t>0</t>
        </is>
      </c>
      <c r="M148" t="inlineStr">
        <is>
          <t>Byrd, Ronald James, 1932-</t>
        </is>
      </c>
      <c r="N148" t="inlineStr">
        <is>
          <t>Springfield, Ill. : C. C. Thomas, c1972.</t>
        </is>
      </c>
      <c r="O148" t="inlineStr">
        <is>
          <t>1972</t>
        </is>
      </c>
      <c r="Q148" t="inlineStr">
        <is>
          <t>eng</t>
        </is>
      </c>
      <c r="R148" t="inlineStr">
        <is>
          <t>___</t>
        </is>
      </c>
      <c r="T148" t="inlineStr">
        <is>
          <t xml:space="preserve">QP </t>
        </is>
      </c>
      <c r="U148" t="n">
        <v>5</v>
      </c>
      <c r="V148" t="n">
        <v>5</v>
      </c>
      <c r="W148" t="inlineStr">
        <is>
          <t>2010-09-02</t>
        </is>
      </c>
      <c r="X148" t="inlineStr">
        <is>
          <t>2010-09-02</t>
        </is>
      </c>
      <c r="Y148" t="inlineStr">
        <is>
          <t>1993-02-26</t>
        </is>
      </c>
      <c r="Z148" t="inlineStr">
        <is>
          <t>1993-02-26</t>
        </is>
      </c>
      <c r="AA148" t="n">
        <v>173</v>
      </c>
      <c r="AB148" t="n">
        <v>148</v>
      </c>
      <c r="AC148" t="n">
        <v>149</v>
      </c>
      <c r="AD148" t="n">
        <v>3</v>
      </c>
      <c r="AE148" t="n">
        <v>3</v>
      </c>
      <c r="AF148" t="n">
        <v>3</v>
      </c>
      <c r="AG148" t="n">
        <v>3</v>
      </c>
      <c r="AH148" t="n">
        <v>1</v>
      </c>
      <c r="AI148" t="n">
        <v>1</v>
      </c>
      <c r="AJ148" t="n">
        <v>0</v>
      </c>
      <c r="AK148" t="n">
        <v>0</v>
      </c>
      <c r="AL148" t="n">
        <v>0</v>
      </c>
      <c r="AM148" t="n">
        <v>0</v>
      </c>
      <c r="AN148" t="n">
        <v>2</v>
      </c>
      <c r="AO148" t="n">
        <v>2</v>
      </c>
      <c r="AP148" t="n">
        <v>0</v>
      </c>
      <c r="AQ148" t="n">
        <v>0</v>
      </c>
      <c r="AR148" t="inlineStr">
        <is>
          <t>No</t>
        </is>
      </c>
      <c r="AS148" t="inlineStr">
        <is>
          <t>No</t>
        </is>
      </c>
      <c r="AU148">
        <f>HYPERLINK("https://creighton-primo.hosted.exlibrisgroup.com/primo-explore/search?tab=default_tab&amp;search_scope=EVERYTHING&amp;vid=01CRU&amp;lang=en_US&amp;offset=0&amp;query=any,contains,991003139349702656","Catalog Record")</f>
        <v/>
      </c>
      <c r="AV148">
        <f>HYPERLINK("http://www.worldcat.org/oclc/681056","WorldCat Record")</f>
        <v/>
      </c>
      <c r="AW148" t="inlineStr">
        <is>
          <t>586744085:eng</t>
        </is>
      </c>
      <c r="AX148" t="inlineStr">
        <is>
          <t>681056</t>
        </is>
      </c>
      <c r="AY148" t="inlineStr">
        <is>
          <t>991003139349702656</t>
        </is>
      </c>
      <c r="AZ148" t="inlineStr">
        <is>
          <t>991003139349702656</t>
        </is>
      </c>
      <c r="BA148" t="inlineStr">
        <is>
          <t>2268530010002656</t>
        </is>
      </c>
      <c r="BB148" t="inlineStr">
        <is>
          <t>BOOK</t>
        </is>
      </c>
      <c r="BE148" t="inlineStr">
        <is>
          <t>32285001560522</t>
        </is>
      </c>
      <c r="BF148" t="inlineStr">
        <is>
          <t>893409956</t>
        </is>
      </c>
    </row>
    <row r="149">
      <c r="B149" t="inlineStr">
        <is>
          <t>CURAL</t>
        </is>
      </c>
      <c r="C149" t="inlineStr">
        <is>
          <t>SHELVES</t>
        </is>
      </c>
      <c r="D149" t="inlineStr">
        <is>
          <t>QP301 .C46 2001</t>
        </is>
      </c>
      <c r="E149" t="inlineStr">
        <is>
          <t>0                      QP 0301000C  46          2001</t>
        </is>
      </c>
      <c r="F149" t="inlineStr">
        <is>
          <t>Exercise physiology for health care professionals / Frank J. Cerny, Harold W. Burton.</t>
        </is>
      </c>
      <c r="H149" t="inlineStr">
        <is>
          <t>No</t>
        </is>
      </c>
      <c r="I149" t="inlineStr">
        <is>
          <t>1</t>
        </is>
      </c>
      <c r="J149" t="inlineStr">
        <is>
          <t>Yes</t>
        </is>
      </c>
      <c r="K149" t="inlineStr">
        <is>
          <t>No</t>
        </is>
      </c>
      <c r="L149" t="inlineStr">
        <is>
          <t>0</t>
        </is>
      </c>
      <c r="M149" t="inlineStr">
        <is>
          <t>Cerny, Frank J., 1946-</t>
        </is>
      </c>
      <c r="N149" t="inlineStr">
        <is>
          <t>Champaign, IL : Human Kinetics, c2001.</t>
        </is>
      </c>
      <c r="O149" t="inlineStr">
        <is>
          <t>2001</t>
        </is>
      </c>
      <c r="Q149" t="inlineStr">
        <is>
          <t>eng</t>
        </is>
      </c>
      <c r="R149" t="inlineStr">
        <is>
          <t>ilu</t>
        </is>
      </c>
      <c r="T149" t="inlineStr">
        <is>
          <t xml:space="preserve">QP </t>
        </is>
      </c>
      <c r="U149" t="n">
        <v>4</v>
      </c>
      <c r="V149" t="n">
        <v>12</v>
      </c>
      <c r="W149" t="inlineStr">
        <is>
          <t>2003-05-02</t>
        </is>
      </c>
      <c r="X149" t="inlineStr">
        <is>
          <t>2006-02-28</t>
        </is>
      </c>
      <c r="Y149" t="inlineStr">
        <is>
          <t>2001-10-13</t>
        </is>
      </c>
      <c r="Z149" t="inlineStr">
        <is>
          <t>2003-01-10</t>
        </is>
      </c>
      <c r="AA149" t="n">
        <v>397</v>
      </c>
      <c r="AB149" t="n">
        <v>287</v>
      </c>
      <c r="AC149" t="n">
        <v>288</v>
      </c>
      <c r="AD149" t="n">
        <v>6</v>
      </c>
      <c r="AE149" t="n">
        <v>6</v>
      </c>
      <c r="AF149" t="n">
        <v>17</v>
      </c>
      <c r="AG149" t="n">
        <v>17</v>
      </c>
      <c r="AH149" t="n">
        <v>8</v>
      </c>
      <c r="AI149" t="n">
        <v>8</v>
      </c>
      <c r="AJ149" t="n">
        <v>4</v>
      </c>
      <c r="AK149" t="n">
        <v>4</v>
      </c>
      <c r="AL149" t="n">
        <v>5</v>
      </c>
      <c r="AM149" t="n">
        <v>5</v>
      </c>
      <c r="AN149" t="n">
        <v>4</v>
      </c>
      <c r="AO149" t="n">
        <v>4</v>
      </c>
      <c r="AP149" t="n">
        <v>0</v>
      </c>
      <c r="AQ149" t="n">
        <v>0</v>
      </c>
      <c r="AR149" t="inlineStr">
        <is>
          <t>No</t>
        </is>
      </c>
      <c r="AS149" t="inlineStr">
        <is>
          <t>Yes</t>
        </is>
      </c>
      <c r="AT149">
        <f>HYPERLINK("http://catalog.hathitrust.org/Record/004218743","HathiTrust Record")</f>
        <v/>
      </c>
      <c r="AU149">
        <f>HYPERLINK("https://creighton-primo.hosted.exlibrisgroup.com/primo-explore/search?tab=default_tab&amp;search_scope=EVERYTHING&amp;vid=01CRU&amp;lang=en_US&amp;offset=0&amp;query=any,contains,991001707909702656","Catalog Record")</f>
        <v/>
      </c>
      <c r="AV149">
        <f>HYPERLINK("http://www.worldcat.org/oclc/45835604","WorldCat Record")</f>
        <v/>
      </c>
      <c r="AW149" t="inlineStr">
        <is>
          <t>2285943:eng</t>
        </is>
      </c>
      <c r="AX149" t="inlineStr">
        <is>
          <t>45835604</t>
        </is>
      </c>
      <c r="AY149" t="inlineStr">
        <is>
          <t>991001707909702656</t>
        </is>
      </c>
      <c r="AZ149" t="inlineStr">
        <is>
          <t>991001707909702656</t>
        </is>
      </c>
      <c r="BA149" t="inlineStr">
        <is>
          <t>2268269260002656</t>
        </is>
      </c>
      <c r="BB149" t="inlineStr">
        <is>
          <t>BOOK</t>
        </is>
      </c>
      <c r="BD149" t="inlineStr">
        <is>
          <t>9780880117524</t>
        </is>
      </c>
      <c r="BE149" t="inlineStr">
        <is>
          <t>32285004395736</t>
        </is>
      </c>
      <c r="BF149" t="inlineStr">
        <is>
          <t>893315980</t>
        </is>
      </c>
    </row>
    <row r="150">
      <c r="B150" t="inlineStr">
        <is>
          <t>CURAL</t>
        </is>
      </c>
      <c r="C150" t="inlineStr">
        <is>
          <t>SHELVES</t>
        </is>
      </c>
      <c r="D150" t="inlineStr">
        <is>
          <t>QP301 .D39 1986</t>
        </is>
      </c>
      <c r="E150" t="inlineStr">
        <is>
          <t>0                      QP 0301000D  39          1986</t>
        </is>
      </c>
      <c r="F150" t="inlineStr">
        <is>
          <t>Physiology of exercise for physical education and athletics / Herbert A. deVries.</t>
        </is>
      </c>
      <c r="H150" t="inlineStr">
        <is>
          <t>No</t>
        </is>
      </c>
      <c r="I150" t="inlineStr">
        <is>
          <t>1</t>
        </is>
      </c>
      <c r="J150" t="inlineStr">
        <is>
          <t>No</t>
        </is>
      </c>
      <c r="K150" t="inlineStr">
        <is>
          <t>No</t>
        </is>
      </c>
      <c r="L150" t="inlineStr">
        <is>
          <t>0</t>
        </is>
      </c>
      <c r="M150" t="inlineStr">
        <is>
          <t>DeVries, Herbert A.</t>
        </is>
      </c>
      <c r="N150" t="inlineStr">
        <is>
          <t>Dubuque, Iowa : Wm. C. Brown, c1986.</t>
        </is>
      </c>
      <c r="O150" t="inlineStr">
        <is>
          <t>1986</t>
        </is>
      </c>
      <c r="P150" t="inlineStr">
        <is>
          <t>4th ed.</t>
        </is>
      </c>
      <c r="Q150" t="inlineStr">
        <is>
          <t>eng</t>
        </is>
      </c>
      <c r="R150" t="inlineStr">
        <is>
          <t>iau</t>
        </is>
      </c>
      <c r="T150" t="inlineStr">
        <is>
          <t xml:space="preserve">QP </t>
        </is>
      </c>
      <c r="U150" t="n">
        <v>7</v>
      </c>
      <c r="V150" t="n">
        <v>7</v>
      </c>
      <c r="W150" t="inlineStr">
        <is>
          <t>2000-05-12</t>
        </is>
      </c>
      <c r="X150" t="inlineStr">
        <is>
          <t>2000-05-12</t>
        </is>
      </c>
      <c r="Y150" t="inlineStr">
        <is>
          <t>1993-02-26</t>
        </is>
      </c>
      <c r="Z150" t="inlineStr">
        <is>
          <t>1993-02-26</t>
        </is>
      </c>
      <c r="AA150" t="n">
        <v>301</v>
      </c>
      <c r="AB150" t="n">
        <v>232</v>
      </c>
      <c r="AC150" t="n">
        <v>667</v>
      </c>
      <c r="AD150" t="n">
        <v>3</v>
      </c>
      <c r="AE150" t="n">
        <v>9</v>
      </c>
      <c r="AF150" t="n">
        <v>10</v>
      </c>
      <c r="AG150" t="n">
        <v>22</v>
      </c>
      <c r="AH150" t="n">
        <v>7</v>
      </c>
      <c r="AI150" t="n">
        <v>11</v>
      </c>
      <c r="AJ150" t="n">
        <v>1</v>
      </c>
      <c r="AK150" t="n">
        <v>2</v>
      </c>
      <c r="AL150" t="n">
        <v>1</v>
      </c>
      <c r="AM150" t="n">
        <v>4</v>
      </c>
      <c r="AN150" t="n">
        <v>2</v>
      </c>
      <c r="AO150" t="n">
        <v>7</v>
      </c>
      <c r="AP150" t="n">
        <v>0</v>
      </c>
      <c r="AQ150" t="n">
        <v>0</v>
      </c>
      <c r="AR150" t="inlineStr">
        <is>
          <t>No</t>
        </is>
      </c>
      <c r="AS150" t="inlineStr">
        <is>
          <t>No</t>
        </is>
      </c>
      <c r="AU150">
        <f>HYPERLINK("https://creighton-primo.hosted.exlibrisgroup.com/primo-explore/search?tab=default_tab&amp;search_scope=EVERYTHING&amp;vid=01CRU&amp;lang=en_US&amp;offset=0&amp;query=any,contains,991000825309702656","Catalog Record")</f>
        <v/>
      </c>
      <c r="AV150">
        <f>HYPERLINK("http://www.worldcat.org/oclc/13420027","WorldCat Record")</f>
        <v/>
      </c>
      <c r="AW150" t="inlineStr">
        <is>
          <t>1606069:eng</t>
        </is>
      </c>
      <c r="AX150" t="inlineStr">
        <is>
          <t>13420027</t>
        </is>
      </c>
      <c r="AY150" t="inlineStr">
        <is>
          <t>991000825309702656</t>
        </is>
      </c>
      <c r="AZ150" t="inlineStr">
        <is>
          <t>991000825309702656</t>
        </is>
      </c>
      <c r="BA150" t="inlineStr">
        <is>
          <t>2263541900002656</t>
        </is>
      </c>
      <c r="BB150" t="inlineStr">
        <is>
          <t>BOOK</t>
        </is>
      </c>
      <c r="BD150" t="inlineStr">
        <is>
          <t>9780697009883</t>
        </is>
      </c>
      <c r="BE150" t="inlineStr">
        <is>
          <t>32285001560548</t>
        </is>
      </c>
      <c r="BF150" t="inlineStr">
        <is>
          <t>893683786</t>
        </is>
      </c>
    </row>
    <row r="151">
      <c r="B151" t="inlineStr">
        <is>
          <t>CURAL</t>
        </is>
      </c>
      <c r="C151" t="inlineStr">
        <is>
          <t>SHELVES</t>
        </is>
      </c>
      <c r="D151" t="inlineStr">
        <is>
          <t>QP301 .E935 1996</t>
        </is>
      </c>
      <c r="E151" t="inlineStr">
        <is>
          <t>0                      QP 0301000E  935         1996</t>
        </is>
      </c>
      <c r="F151" t="inlineStr">
        <is>
          <t>Exercise and immune function / edited by Laurie Hoffman-Goetz.</t>
        </is>
      </c>
      <c r="H151" t="inlineStr">
        <is>
          <t>No</t>
        </is>
      </c>
      <c r="I151" t="inlineStr">
        <is>
          <t>1</t>
        </is>
      </c>
      <c r="J151" t="inlineStr">
        <is>
          <t>No</t>
        </is>
      </c>
      <c r="K151" t="inlineStr">
        <is>
          <t>No</t>
        </is>
      </c>
      <c r="L151" t="inlineStr">
        <is>
          <t>0</t>
        </is>
      </c>
      <c r="N151" t="inlineStr">
        <is>
          <t>Boca Raton : CRC Press, c1996.</t>
        </is>
      </c>
      <c r="O151" t="inlineStr">
        <is>
          <t>1996</t>
        </is>
      </c>
      <c r="Q151" t="inlineStr">
        <is>
          <t>eng</t>
        </is>
      </c>
      <c r="R151" t="inlineStr">
        <is>
          <t>flu</t>
        </is>
      </c>
      <c r="S151" t="inlineStr">
        <is>
          <t>Nutrition in exercise and sport</t>
        </is>
      </c>
      <c r="T151" t="inlineStr">
        <is>
          <t xml:space="preserve">QP </t>
        </is>
      </c>
      <c r="U151" t="n">
        <v>10</v>
      </c>
      <c r="V151" t="n">
        <v>10</v>
      </c>
      <c r="W151" t="inlineStr">
        <is>
          <t>1999-11-29</t>
        </is>
      </c>
      <c r="X151" t="inlineStr">
        <is>
          <t>1999-11-29</t>
        </is>
      </c>
      <c r="Y151" t="inlineStr">
        <is>
          <t>1996-10-11</t>
        </is>
      </c>
      <c r="Z151" t="inlineStr">
        <is>
          <t>1996-10-11</t>
        </is>
      </c>
      <c r="AA151" t="n">
        <v>313</v>
      </c>
      <c r="AB151" t="n">
        <v>247</v>
      </c>
      <c r="AC151" t="n">
        <v>252</v>
      </c>
      <c r="AD151" t="n">
        <v>2</v>
      </c>
      <c r="AE151" t="n">
        <v>2</v>
      </c>
      <c r="AF151" t="n">
        <v>10</v>
      </c>
      <c r="AG151" t="n">
        <v>10</v>
      </c>
      <c r="AH151" t="n">
        <v>4</v>
      </c>
      <c r="AI151" t="n">
        <v>4</v>
      </c>
      <c r="AJ151" t="n">
        <v>3</v>
      </c>
      <c r="AK151" t="n">
        <v>3</v>
      </c>
      <c r="AL151" t="n">
        <v>3</v>
      </c>
      <c r="AM151" t="n">
        <v>3</v>
      </c>
      <c r="AN151" t="n">
        <v>1</v>
      </c>
      <c r="AO151" t="n">
        <v>1</v>
      </c>
      <c r="AP151" t="n">
        <v>0</v>
      </c>
      <c r="AQ151" t="n">
        <v>0</v>
      </c>
      <c r="AR151" t="inlineStr">
        <is>
          <t>No</t>
        </is>
      </c>
      <c r="AS151" t="inlineStr">
        <is>
          <t>No</t>
        </is>
      </c>
      <c r="AU151">
        <f>HYPERLINK("https://creighton-primo.hosted.exlibrisgroup.com/primo-explore/search?tab=default_tab&amp;search_scope=EVERYTHING&amp;vid=01CRU&amp;lang=en_US&amp;offset=0&amp;query=any,contains,991002566739702656","Catalog Record")</f>
        <v/>
      </c>
      <c r="AV151">
        <f>HYPERLINK("http://www.worldcat.org/oclc/33359480","WorldCat Record")</f>
        <v/>
      </c>
      <c r="AW151" t="inlineStr">
        <is>
          <t>55979264:eng</t>
        </is>
      </c>
      <c r="AX151" t="inlineStr">
        <is>
          <t>33359480</t>
        </is>
      </c>
      <c r="AY151" t="inlineStr">
        <is>
          <t>991002566739702656</t>
        </is>
      </c>
      <c r="AZ151" t="inlineStr">
        <is>
          <t>991002566739702656</t>
        </is>
      </c>
      <c r="BA151" t="inlineStr">
        <is>
          <t>2263166750002656</t>
        </is>
      </c>
      <c r="BB151" t="inlineStr">
        <is>
          <t>BOOK</t>
        </is>
      </c>
      <c r="BD151" t="inlineStr">
        <is>
          <t>9780849381904</t>
        </is>
      </c>
      <c r="BE151" t="inlineStr">
        <is>
          <t>32285002365632</t>
        </is>
      </c>
      <c r="BF151" t="inlineStr">
        <is>
          <t>893898926</t>
        </is>
      </c>
    </row>
    <row r="152">
      <c r="B152" t="inlineStr">
        <is>
          <t>CURAL</t>
        </is>
      </c>
      <c r="C152" t="inlineStr">
        <is>
          <t>SHELVES</t>
        </is>
      </c>
      <c r="D152" t="inlineStr">
        <is>
          <t>QP301 .E95 1985</t>
        </is>
      </c>
      <c r="E152" t="inlineStr">
        <is>
          <t>0                      QP 0301000E  95          1985</t>
        </is>
      </c>
      <c r="F152" t="inlineStr">
        <is>
          <t>Exercise endocrinology / editors, K. Fotherby, S.B. Pal.</t>
        </is>
      </c>
      <c r="H152" t="inlineStr">
        <is>
          <t>No</t>
        </is>
      </c>
      <c r="I152" t="inlineStr">
        <is>
          <t>1</t>
        </is>
      </c>
      <c r="J152" t="inlineStr">
        <is>
          <t>No</t>
        </is>
      </c>
      <c r="K152" t="inlineStr">
        <is>
          <t>No</t>
        </is>
      </c>
      <c r="L152" t="inlineStr">
        <is>
          <t>0</t>
        </is>
      </c>
      <c r="N152" t="inlineStr">
        <is>
          <t>Berlin ; New York : De Gruyter, 1985.</t>
        </is>
      </c>
      <c r="O152" t="inlineStr">
        <is>
          <t>1985</t>
        </is>
      </c>
      <c r="Q152" t="inlineStr">
        <is>
          <t>eng</t>
        </is>
      </c>
      <c r="R152" t="inlineStr">
        <is>
          <t xml:space="preserve">gw </t>
        </is>
      </c>
      <c r="T152" t="inlineStr">
        <is>
          <t xml:space="preserve">QP </t>
        </is>
      </c>
      <c r="U152" t="n">
        <v>2</v>
      </c>
      <c r="V152" t="n">
        <v>2</v>
      </c>
      <c r="W152" t="inlineStr">
        <is>
          <t>1993-11-24</t>
        </is>
      </c>
      <c r="X152" t="inlineStr">
        <is>
          <t>1993-11-24</t>
        </is>
      </c>
      <c r="Y152" t="inlineStr">
        <is>
          <t>1993-02-26</t>
        </is>
      </c>
      <c r="Z152" t="inlineStr">
        <is>
          <t>1993-02-26</t>
        </is>
      </c>
      <c r="AA152" t="n">
        <v>151</v>
      </c>
      <c r="AB152" t="n">
        <v>109</v>
      </c>
      <c r="AC152" t="n">
        <v>122</v>
      </c>
      <c r="AD152" t="n">
        <v>2</v>
      </c>
      <c r="AE152" t="n">
        <v>2</v>
      </c>
      <c r="AF152" t="n">
        <v>1</v>
      </c>
      <c r="AG152" t="n">
        <v>1</v>
      </c>
      <c r="AH152" t="n">
        <v>0</v>
      </c>
      <c r="AI152" t="n">
        <v>0</v>
      </c>
      <c r="AJ152" t="n">
        <v>0</v>
      </c>
      <c r="AK152" t="n">
        <v>0</v>
      </c>
      <c r="AL152" t="n">
        <v>0</v>
      </c>
      <c r="AM152" t="n">
        <v>0</v>
      </c>
      <c r="AN152" t="n">
        <v>1</v>
      </c>
      <c r="AO152" t="n">
        <v>1</v>
      </c>
      <c r="AP152" t="n">
        <v>0</v>
      </c>
      <c r="AQ152" t="n">
        <v>0</v>
      </c>
      <c r="AR152" t="inlineStr">
        <is>
          <t>No</t>
        </is>
      </c>
      <c r="AS152" t="inlineStr">
        <is>
          <t>Yes</t>
        </is>
      </c>
      <c r="AT152">
        <f>HYPERLINK("http://catalog.hathitrust.org/Record/000573959","HathiTrust Record")</f>
        <v/>
      </c>
      <c r="AU152">
        <f>HYPERLINK("https://creighton-primo.hosted.exlibrisgroup.com/primo-explore/search?tab=default_tab&amp;search_scope=EVERYTHING&amp;vid=01CRU&amp;lang=en_US&amp;offset=0&amp;query=any,contains,991000543719702656","Catalog Record")</f>
        <v/>
      </c>
      <c r="AV152">
        <f>HYPERLINK("http://www.worldcat.org/oclc/11497957","WorldCat Record")</f>
        <v/>
      </c>
      <c r="AW152" t="inlineStr">
        <is>
          <t>350248056:eng</t>
        </is>
      </c>
      <c r="AX152" t="inlineStr">
        <is>
          <t>11497957</t>
        </is>
      </c>
      <c r="AY152" t="inlineStr">
        <is>
          <t>991000543719702656</t>
        </is>
      </c>
      <c r="AZ152" t="inlineStr">
        <is>
          <t>991000543719702656</t>
        </is>
      </c>
      <c r="BA152" t="inlineStr">
        <is>
          <t>2262906310002656</t>
        </is>
      </c>
      <c r="BB152" t="inlineStr">
        <is>
          <t>BOOK</t>
        </is>
      </c>
      <c r="BD152" t="inlineStr">
        <is>
          <t>9780899250304</t>
        </is>
      </c>
      <c r="BE152" t="inlineStr">
        <is>
          <t>32285001560555</t>
        </is>
      </c>
      <c r="BF152" t="inlineStr">
        <is>
          <t>893871774</t>
        </is>
      </c>
    </row>
    <row r="153">
      <c r="B153" t="inlineStr">
        <is>
          <t>CURAL</t>
        </is>
      </c>
      <c r="C153" t="inlineStr">
        <is>
          <t>SHELVES</t>
        </is>
      </c>
      <c r="D153" t="inlineStr">
        <is>
          <t>QP301 .H634 2006</t>
        </is>
      </c>
      <c r="E153" t="inlineStr">
        <is>
          <t>0                      QP 0301000H  634         2006</t>
        </is>
      </c>
      <c r="F153" t="inlineStr">
        <is>
          <t>Norms for fitness, performance, and health / Jay Hoffman.</t>
        </is>
      </c>
      <c r="H153" t="inlineStr">
        <is>
          <t>No</t>
        </is>
      </c>
      <c r="I153" t="inlineStr">
        <is>
          <t>1</t>
        </is>
      </c>
      <c r="J153" t="inlineStr">
        <is>
          <t>No</t>
        </is>
      </c>
      <c r="K153" t="inlineStr">
        <is>
          <t>No</t>
        </is>
      </c>
      <c r="L153" t="inlineStr">
        <is>
          <t>0</t>
        </is>
      </c>
      <c r="M153" t="inlineStr">
        <is>
          <t>Hoffman, Jay, 1961-</t>
        </is>
      </c>
      <c r="N153" t="inlineStr">
        <is>
          <t>Champaign, IL : Human Kinetics, c2006.</t>
        </is>
      </c>
      <c r="O153" t="inlineStr">
        <is>
          <t>2006</t>
        </is>
      </c>
      <c r="Q153" t="inlineStr">
        <is>
          <t>eng</t>
        </is>
      </c>
      <c r="R153" t="inlineStr">
        <is>
          <t>ilu</t>
        </is>
      </c>
      <c r="T153" t="inlineStr">
        <is>
          <t xml:space="preserve">QP </t>
        </is>
      </c>
      <c r="U153" t="n">
        <v>2</v>
      </c>
      <c r="V153" t="n">
        <v>2</v>
      </c>
      <c r="W153" t="inlineStr">
        <is>
          <t>2007-11-28</t>
        </is>
      </c>
      <c r="X153" t="inlineStr">
        <is>
          <t>2007-11-28</t>
        </is>
      </c>
      <c r="Y153" t="inlineStr">
        <is>
          <t>2007-11-28</t>
        </is>
      </c>
      <c r="Z153" t="inlineStr">
        <is>
          <t>2007-11-28</t>
        </is>
      </c>
      <c r="AA153" t="n">
        <v>646</v>
      </c>
      <c r="AB153" t="n">
        <v>487</v>
      </c>
      <c r="AC153" t="n">
        <v>488</v>
      </c>
      <c r="AD153" t="n">
        <v>4</v>
      </c>
      <c r="AE153" t="n">
        <v>4</v>
      </c>
      <c r="AF153" t="n">
        <v>22</v>
      </c>
      <c r="AG153" t="n">
        <v>22</v>
      </c>
      <c r="AH153" t="n">
        <v>14</v>
      </c>
      <c r="AI153" t="n">
        <v>14</v>
      </c>
      <c r="AJ153" t="n">
        <v>3</v>
      </c>
      <c r="AK153" t="n">
        <v>3</v>
      </c>
      <c r="AL153" t="n">
        <v>7</v>
      </c>
      <c r="AM153" t="n">
        <v>7</v>
      </c>
      <c r="AN153" t="n">
        <v>3</v>
      </c>
      <c r="AO153" t="n">
        <v>3</v>
      </c>
      <c r="AP153" t="n">
        <v>0</v>
      </c>
      <c r="AQ153" t="n">
        <v>0</v>
      </c>
      <c r="AR153" t="inlineStr">
        <is>
          <t>No</t>
        </is>
      </c>
      <c r="AS153" t="inlineStr">
        <is>
          <t>No</t>
        </is>
      </c>
      <c r="AU153">
        <f>HYPERLINK("https://creighton-primo.hosted.exlibrisgroup.com/primo-explore/search?tab=default_tab&amp;search_scope=EVERYTHING&amp;vid=01CRU&amp;lang=en_US&amp;offset=0&amp;query=any,contains,991005132799702656","Catalog Record")</f>
        <v/>
      </c>
      <c r="AV153">
        <f>HYPERLINK("http://www.worldcat.org/oclc/61513011","WorldCat Record")</f>
        <v/>
      </c>
      <c r="AW153" t="inlineStr">
        <is>
          <t>48502471:eng</t>
        </is>
      </c>
      <c r="AX153" t="inlineStr">
        <is>
          <t>61513011</t>
        </is>
      </c>
      <c r="AY153" t="inlineStr">
        <is>
          <t>991005132799702656</t>
        </is>
      </c>
      <c r="AZ153" t="inlineStr">
        <is>
          <t>991005132799702656</t>
        </is>
      </c>
      <c r="BA153" t="inlineStr">
        <is>
          <t>2261723470002656</t>
        </is>
      </c>
      <c r="BB153" t="inlineStr">
        <is>
          <t>BOOK</t>
        </is>
      </c>
      <c r="BD153" t="inlineStr">
        <is>
          <t>9780736054836</t>
        </is>
      </c>
      <c r="BE153" t="inlineStr">
        <is>
          <t>32285005368658</t>
        </is>
      </c>
      <c r="BF153" t="inlineStr">
        <is>
          <t>893332444</t>
        </is>
      </c>
    </row>
    <row r="154">
      <c r="B154" t="inlineStr">
        <is>
          <t>CURAL</t>
        </is>
      </c>
      <c r="C154" t="inlineStr">
        <is>
          <t>SHELVES</t>
        </is>
      </c>
      <c r="D154" t="inlineStr">
        <is>
          <t>QP301 .I57 1979</t>
        </is>
      </c>
      <c r="E154" t="inlineStr">
        <is>
          <t>0                      QP 0301000I  57          1979</t>
        </is>
      </c>
      <c r="F154" t="inlineStr">
        <is>
          <t>Biochemistry of exercise IV / edited by Jacques Poortmans and Georges Niset.</t>
        </is>
      </c>
      <c r="H154" t="inlineStr">
        <is>
          <t>Yes</t>
        </is>
      </c>
      <c r="I154" t="inlineStr">
        <is>
          <t>1</t>
        </is>
      </c>
      <c r="J154" t="inlineStr">
        <is>
          <t>Yes</t>
        </is>
      </c>
      <c r="K154" t="inlineStr">
        <is>
          <t>No</t>
        </is>
      </c>
      <c r="L154" t="inlineStr">
        <is>
          <t>0</t>
        </is>
      </c>
      <c r="M154" t="inlineStr">
        <is>
          <t>International Symposium on Biochemistry of Exercise (4th : 1979 : University of Brussels)</t>
        </is>
      </c>
      <c r="N154" t="inlineStr">
        <is>
          <t>Baltimore : University Park Press, c1981.</t>
        </is>
      </c>
      <c r="O154" t="inlineStr">
        <is>
          <t>1981</t>
        </is>
      </c>
      <c r="Q154" t="inlineStr">
        <is>
          <t>eng</t>
        </is>
      </c>
      <c r="R154" t="inlineStr">
        <is>
          <t>mdu</t>
        </is>
      </c>
      <c r="S154" t="inlineStr">
        <is>
          <t>International series on sports sciences ; v. 11A-11B</t>
        </is>
      </c>
      <c r="T154" t="inlineStr">
        <is>
          <t xml:space="preserve">QP </t>
        </is>
      </c>
      <c r="U154" t="n">
        <v>0</v>
      </c>
      <c r="V154" t="n">
        <v>3</v>
      </c>
      <c r="X154" t="inlineStr">
        <is>
          <t>2000-01-30</t>
        </is>
      </c>
      <c r="Y154" t="inlineStr">
        <is>
          <t>1993-02-26</t>
        </is>
      </c>
      <c r="Z154" t="inlineStr">
        <is>
          <t>1993-02-26</t>
        </is>
      </c>
      <c r="AA154" t="n">
        <v>228</v>
      </c>
      <c r="AB154" t="n">
        <v>196</v>
      </c>
      <c r="AC154" t="n">
        <v>203</v>
      </c>
      <c r="AD154" t="n">
        <v>3</v>
      </c>
      <c r="AE154" t="n">
        <v>3</v>
      </c>
      <c r="AF154" t="n">
        <v>4</v>
      </c>
      <c r="AG154" t="n">
        <v>4</v>
      </c>
      <c r="AH154" t="n">
        <v>2</v>
      </c>
      <c r="AI154" t="n">
        <v>2</v>
      </c>
      <c r="AJ154" t="n">
        <v>0</v>
      </c>
      <c r="AK154" t="n">
        <v>0</v>
      </c>
      <c r="AL154" t="n">
        <v>1</v>
      </c>
      <c r="AM154" t="n">
        <v>1</v>
      </c>
      <c r="AN154" t="n">
        <v>2</v>
      </c>
      <c r="AO154" t="n">
        <v>2</v>
      </c>
      <c r="AP154" t="n">
        <v>0</v>
      </c>
      <c r="AQ154" t="n">
        <v>0</v>
      </c>
      <c r="AR154" t="inlineStr">
        <is>
          <t>No</t>
        </is>
      </c>
      <c r="AS154" t="inlineStr">
        <is>
          <t>Yes</t>
        </is>
      </c>
      <c r="AT154">
        <f>HYPERLINK("http://catalog.hathitrust.org/Record/000261407","HathiTrust Record")</f>
        <v/>
      </c>
      <c r="AU154">
        <f>HYPERLINK("https://creighton-primo.hosted.exlibrisgroup.com/primo-explore/search?tab=default_tab&amp;search_scope=EVERYTHING&amp;vid=01CRU&amp;lang=en_US&amp;offset=0&amp;query=any,contains,991005069849702656","Catalog Record")</f>
        <v/>
      </c>
      <c r="AV154">
        <f>HYPERLINK("http://www.worldcat.org/oclc/7006644","WorldCat Record")</f>
        <v/>
      </c>
      <c r="AW154" t="inlineStr">
        <is>
          <t>5090995054:eng</t>
        </is>
      </c>
      <c r="AX154" t="inlineStr">
        <is>
          <t>7006644</t>
        </is>
      </c>
      <c r="AY154" t="inlineStr">
        <is>
          <t>991005069849702656</t>
        </is>
      </c>
      <c r="AZ154" t="inlineStr">
        <is>
          <t>991005069849702656</t>
        </is>
      </c>
      <c r="BA154" t="inlineStr">
        <is>
          <t>2267952130002656</t>
        </is>
      </c>
      <c r="BB154" t="inlineStr">
        <is>
          <t>BOOK</t>
        </is>
      </c>
      <c r="BD154" t="inlineStr">
        <is>
          <t>9780839116196</t>
        </is>
      </c>
      <c r="BE154" t="inlineStr">
        <is>
          <t>32285001560589</t>
        </is>
      </c>
      <c r="BF154" t="inlineStr">
        <is>
          <t>893606771</t>
        </is>
      </c>
    </row>
    <row r="155">
      <c r="B155" t="inlineStr">
        <is>
          <t>CURAL</t>
        </is>
      </c>
      <c r="C155" t="inlineStr">
        <is>
          <t>SHELVES</t>
        </is>
      </c>
      <c r="D155" t="inlineStr">
        <is>
          <t>QP301 .I57 1979 PT.B</t>
        </is>
      </c>
      <c r="E155" t="inlineStr">
        <is>
          <t>0                      QP 0301000I  57          1979                                        PT.B</t>
        </is>
      </c>
      <c r="F155" t="inlineStr">
        <is>
          <t>Biochemistry of exercise IV / edited by Jacques Poortmans and Georges Niset.</t>
        </is>
      </c>
      <c r="G155" t="inlineStr">
        <is>
          <t>PT.B*</t>
        </is>
      </c>
      <c r="H155" t="inlineStr">
        <is>
          <t>Yes</t>
        </is>
      </c>
      <c r="I155" t="inlineStr">
        <is>
          <t>1</t>
        </is>
      </c>
      <c r="J155" t="inlineStr">
        <is>
          <t>No</t>
        </is>
      </c>
      <c r="K155" t="inlineStr">
        <is>
          <t>No</t>
        </is>
      </c>
      <c r="L155" t="inlineStr">
        <is>
          <t>0</t>
        </is>
      </c>
      <c r="M155" t="inlineStr">
        <is>
          <t>International Symposium on Biochemistry of Exercise (4th : 1979 : University of Brussels)</t>
        </is>
      </c>
      <c r="N155" t="inlineStr">
        <is>
          <t>Baltimore : University Park Press, c1981.</t>
        </is>
      </c>
      <c r="O155" t="inlineStr">
        <is>
          <t>1981</t>
        </is>
      </c>
      <c r="Q155" t="inlineStr">
        <is>
          <t>eng</t>
        </is>
      </c>
      <c r="R155" t="inlineStr">
        <is>
          <t>mdu</t>
        </is>
      </c>
      <c r="S155" t="inlineStr">
        <is>
          <t>International series on sports sciences ; v. 11A-11B</t>
        </is>
      </c>
      <c r="T155" t="inlineStr">
        <is>
          <t xml:space="preserve">QP </t>
        </is>
      </c>
      <c r="U155" t="n">
        <v>3</v>
      </c>
      <c r="V155" t="n">
        <v>3</v>
      </c>
      <c r="W155" t="inlineStr">
        <is>
          <t>2000-01-30</t>
        </is>
      </c>
      <c r="X155" t="inlineStr">
        <is>
          <t>2000-01-30</t>
        </is>
      </c>
      <c r="Y155" t="inlineStr">
        <is>
          <t>1993-02-26</t>
        </is>
      </c>
      <c r="Z155" t="inlineStr">
        <is>
          <t>1993-02-26</t>
        </is>
      </c>
      <c r="AA155" t="n">
        <v>228</v>
      </c>
      <c r="AB155" t="n">
        <v>196</v>
      </c>
      <c r="AC155" t="n">
        <v>203</v>
      </c>
      <c r="AD155" t="n">
        <v>3</v>
      </c>
      <c r="AE155" t="n">
        <v>3</v>
      </c>
      <c r="AF155" t="n">
        <v>4</v>
      </c>
      <c r="AG155" t="n">
        <v>4</v>
      </c>
      <c r="AH155" t="n">
        <v>2</v>
      </c>
      <c r="AI155" t="n">
        <v>2</v>
      </c>
      <c r="AJ155" t="n">
        <v>0</v>
      </c>
      <c r="AK155" t="n">
        <v>0</v>
      </c>
      <c r="AL155" t="n">
        <v>1</v>
      </c>
      <c r="AM155" t="n">
        <v>1</v>
      </c>
      <c r="AN155" t="n">
        <v>2</v>
      </c>
      <c r="AO155" t="n">
        <v>2</v>
      </c>
      <c r="AP155" t="n">
        <v>0</v>
      </c>
      <c r="AQ155" t="n">
        <v>0</v>
      </c>
      <c r="AR155" t="inlineStr">
        <is>
          <t>No</t>
        </is>
      </c>
      <c r="AS155" t="inlineStr">
        <is>
          <t>Yes</t>
        </is>
      </c>
      <c r="AT155">
        <f>HYPERLINK("http://catalog.hathitrust.org/Record/000261407","HathiTrust Record")</f>
        <v/>
      </c>
      <c r="AU155">
        <f>HYPERLINK("https://creighton-primo.hosted.exlibrisgroup.com/primo-explore/search?tab=default_tab&amp;search_scope=EVERYTHING&amp;vid=01CRU&amp;lang=en_US&amp;offset=0&amp;query=any,contains,991005069849702656","Catalog Record")</f>
        <v/>
      </c>
      <c r="AV155">
        <f>HYPERLINK("http://www.worldcat.org/oclc/7006644","WorldCat Record")</f>
        <v/>
      </c>
      <c r="AW155" t="inlineStr">
        <is>
          <t>5090995054:eng</t>
        </is>
      </c>
      <c r="AX155" t="inlineStr">
        <is>
          <t>7006644</t>
        </is>
      </c>
      <c r="AY155" t="inlineStr">
        <is>
          <t>991005069849702656</t>
        </is>
      </c>
      <c r="AZ155" t="inlineStr">
        <is>
          <t>991005069849702656</t>
        </is>
      </c>
      <c r="BA155" t="inlineStr">
        <is>
          <t>2267952130002656</t>
        </is>
      </c>
      <c r="BB155" t="inlineStr">
        <is>
          <t>BOOK</t>
        </is>
      </c>
      <c r="BD155" t="inlineStr">
        <is>
          <t>9780839116196</t>
        </is>
      </c>
      <c r="BE155" t="inlineStr">
        <is>
          <t>32285001560597</t>
        </is>
      </c>
      <c r="BF155" t="inlineStr">
        <is>
          <t>893606770</t>
        </is>
      </c>
    </row>
    <row r="156">
      <c r="B156" t="inlineStr">
        <is>
          <t>CURAL</t>
        </is>
      </c>
      <c r="C156" t="inlineStr">
        <is>
          <t>SHELVES</t>
        </is>
      </c>
      <c r="D156" t="inlineStr">
        <is>
          <t>QP301 .I57 1988</t>
        </is>
      </c>
      <c r="E156" t="inlineStr">
        <is>
          <t>0                      QP 0301000I  57          1988</t>
        </is>
      </c>
      <c r="F156" t="inlineStr">
        <is>
          <t>Biochemistry of exercise VII / edited by Albert W. Taylor ... [et al.].</t>
        </is>
      </c>
      <c r="H156" t="inlineStr">
        <is>
          <t>No</t>
        </is>
      </c>
      <c r="I156" t="inlineStr">
        <is>
          <t>1</t>
        </is>
      </c>
      <c r="J156" t="inlineStr">
        <is>
          <t>No</t>
        </is>
      </c>
      <c r="K156" t="inlineStr">
        <is>
          <t>No</t>
        </is>
      </c>
      <c r="L156" t="inlineStr">
        <is>
          <t>0</t>
        </is>
      </c>
      <c r="M156" t="inlineStr">
        <is>
          <t>International Biochemistry of Exercise Conference (7th : 1988 : London, Ont.)</t>
        </is>
      </c>
      <c r="N156" t="inlineStr">
        <is>
          <t>Champaign, Ill. : Human Kinetics Books, c1990.</t>
        </is>
      </c>
      <c r="O156" t="inlineStr">
        <is>
          <t>1990</t>
        </is>
      </c>
      <c r="Q156" t="inlineStr">
        <is>
          <t>eng</t>
        </is>
      </c>
      <c r="R156" t="inlineStr">
        <is>
          <t>ilu</t>
        </is>
      </c>
      <c r="S156" t="inlineStr">
        <is>
          <t>International series on sport sciences, 0160-0559 ; v. 21</t>
        </is>
      </c>
      <c r="T156" t="inlineStr">
        <is>
          <t xml:space="preserve">QP </t>
        </is>
      </c>
      <c r="U156" t="n">
        <v>7</v>
      </c>
      <c r="V156" t="n">
        <v>7</v>
      </c>
      <c r="W156" t="inlineStr">
        <is>
          <t>2000-02-05</t>
        </is>
      </c>
      <c r="X156" t="inlineStr">
        <is>
          <t>2000-02-05</t>
        </is>
      </c>
      <c r="Y156" t="inlineStr">
        <is>
          <t>1991-11-04</t>
        </is>
      </c>
      <c r="Z156" t="inlineStr">
        <is>
          <t>1991-11-04</t>
        </is>
      </c>
      <c r="AA156" t="n">
        <v>244</v>
      </c>
      <c r="AB156" t="n">
        <v>160</v>
      </c>
      <c r="AC156" t="n">
        <v>167</v>
      </c>
      <c r="AD156" t="n">
        <v>2</v>
      </c>
      <c r="AE156" t="n">
        <v>2</v>
      </c>
      <c r="AF156" t="n">
        <v>5</v>
      </c>
      <c r="AG156" t="n">
        <v>5</v>
      </c>
      <c r="AH156" t="n">
        <v>3</v>
      </c>
      <c r="AI156" t="n">
        <v>3</v>
      </c>
      <c r="AJ156" t="n">
        <v>1</v>
      </c>
      <c r="AK156" t="n">
        <v>1</v>
      </c>
      <c r="AL156" t="n">
        <v>1</v>
      </c>
      <c r="AM156" t="n">
        <v>1</v>
      </c>
      <c r="AN156" t="n">
        <v>1</v>
      </c>
      <c r="AO156" t="n">
        <v>1</v>
      </c>
      <c r="AP156" t="n">
        <v>0</v>
      </c>
      <c r="AQ156" t="n">
        <v>0</v>
      </c>
      <c r="AR156" t="inlineStr">
        <is>
          <t>No</t>
        </is>
      </c>
      <c r="AS156" t="inlineStr">
        <is>
          <t>No</t>
        </is>
      </c>
      <c r="AU156">
        <f>HYPERLINK("https://creighton-primo.hosted.exlibrisgroup.com/primo-explore/search?tab=default_tab&amp;search_scope=EVERYTHING&amp;vid=01CRU&amp;lang=en_US&amp;offset=0&amp;query=any,contains,991001585809702656","Catalog Record")</f>
        <v/>
      </c>
      <c r="AV156">
        <f>HYPERLINK("http://www.worldcat.org/oclc/20529121","WorldCat Record")</f>
        <v/>
      </c>
      <c r="AW156" t="inlineStr">
        <is>
          <t>499643430:eng</t>
        </is>
      </c>
      <c r="AX156" t="inlineStr">
        <is>
          <t>20529121</t>
        </is>
      </c>
      <c r="AY156" t="inlineStr">
        <is>
          <t>991001585809702656</t>
        </is>
      </c>
      <c r="AZ156" t="inlineStr">
        <is>
          <t>991001585809702656</t>
        </is>
      </c>
      <c r="BA156" t="inlineStr">
        <is>
          <t>2268085310002656</t>
        </is>
      </c>
      <c r="BB156" t="inlineStr">
        <is>
          <t>BOOK</t>
        </is>
      </c>
      <c r="BD156" t="inlineStr">
        <is>
          <t>9780873222600</t>
        </is>
      </c>
      <c r="BE156" t="inlineStr">
        <is>
          <t>32285000729433</t>
        </is>
      </c>
      <c r="BF156" t="inlineStr">
        <is>
          <t>893797646</t>
        </is>
      </c>
    </row>
    <row r="157">
      <c r="B157" t="inlineStr">
        <is>
          <t>CURAL</t>
        </is>
      </c>
      <c r="C157" t="inlineStr">
        <is>
          <t>SHELVES</t>
        </is>
      </c>
      <c r="D157" t="inlineStr">
        <is>
          <t>QP301 .J57 1991</t>
        </is>
      </c>
      <c r="E157" t="inlineStr">
        <is>
          <t>0                      QP 0301000J  57          1991</t>
        </is>
      </c>
      <c r="F157" t="inlineStr">
        <is>
          <t>Biomechanics and exercise physiology / Arthur T. Johnson.</t>
        </is>
      </c>
      <c r="H157" t="inlineStr">
        <is>
          <t>No</t>
        </is>
      </c>
      <c r="I157" t="inlineStr">
        <is>
          <t>1</t>
        </is>
      </c>
      <c r="J157" t="inlineStr">
        <is>
          <t>No</t>
        </is>
      </c>
      <c r="K157" t="inlineStr">
        <is>
          <t>No</t>
        </is>
      </c>
      <c r="L157" t="inlineStr">
        <is>
          <t>0</t>
        </is>
      </c>
      <c r="M157" t="inlineStr">
        <is>
          <t>Johnson, Arthur T.</t>
        </is>
      </c>
      <c r="N157" t="inlineStr">
        <is>
          <t>New York : J. Wiley &amp; Sons, c1991.</t>
        </is>
      </c>
      <c r="O157" t="inlineStr">
        <is>
          <t>1991</t>
        </is>
      </c>
      <c r="Q157" t="inlineStr">
        <is>
          <t>eng</t>
        </is>
      </c>
      <c r="R157" t="inlineStr">
        <is>
          <t>nyu</t>
        </is>
      </c>
      <c r="T157" t="inlineStr">
        <is>
          <t xml:space="preserve">QP </t>
        </is>
      </c>
      <c r="U157" t="n">
        <v>1</v>
      </c>
      <c r="V157" t="n">
        <v>1</v>
      </c>
      <c r="W157" t="inlineStr">
        <is>
          <t>2008-02-21</t>
        </is>
      </c>
      <c r="X157" t="inlineStr">
        <is>
          <t>2008-02-21</t>
        </is>
      </c>
      <c r="Y157" t="inlineStr">
        <is>
          <t>1991-06-11</t>
        </is>
      </c>
      <c r="Z157" t="inlineStr">
        <is>
          <t>1991-06-11</t>
        </is>
      </c>
      <c r="AA157" t="n">
        <v>333</v>
      </c>
      <c r="AB157" t="n">
        <v>240</v>
      </c>
      <c r="AC157" t="n">
        <v>321</v>
      </c>
      <c r="AD157" t="n">
        <v>3</v>
      </c>
      <c r="AE157" t="n">
        <v>3</v>
      </c>
      <c r="AF157" t="n">
        <v>13</v>
      </c>
      <c r="AG157" t="n">
        <v>16</v>
      </c>
      <c r="AH157" t="n">
        <v>5</v>
      </c>
      <c r="AI157" t="n">
        <v>8</v>
      </c>
      <c r="AJ157" t="n">
        <v>3</v>
      </c>
      <c r="AK157" t="n">
        <v>3</v>
      </c>
      <c r="AL157" t="n">
        <v>7</v>
      </c>
      <c r="AM157" t="n">
        <v>9</v>
      </c>
      <c r="AN157" t="n">
        <v>2</v>
      </c>
      <c r="AO157" t="n">
        <v>2</v>
      </c>
      <c r="AP157" t="n">
        <v>0</v>
      </c>
      <c r="AQ157" t="n">
        <v>0</v>
      </c>
      <c r="AR157" t="inlineStr">
        <is>
          <t>No</t>
        </is>
      </c>
      <c r="AS157" t="inlineStr">
        <is>
          <t>Yes</t>
        </is>
      </c>
      <c r="AT157">
        <f>HYPERLINK("http://catalog.hathitrust.org/Record/002235399","HathiTrust Record")</f>
        <v/>
      </c>
      <c r="AU157">
        <f>HYPERLINK("https://creighton-primo.hosted.exlibrisgroup.com/primo-explore/search?tab=default_tab&amp;search_scope=EVERYTHING&amp;vid=01CRU&amp;lang=en_US&amp;offset=0&amp;query=any,contains,991001746239702656","Catalog Record")</f>
        <v/>
      </c>
      <c r="AV157">
        <f>HYPERLINK("http://www.worldcat.org/oclc/22113789","WorldCat Record")</f>
        <v/>
      </c>
      <c r="AW157" t="inlineStr">
        <is>
          <t>138682737:eng</t>
        </is>
      </c>
      <c r="AX157" t="inlineStr">
        <is>
          <t>22113789</t>
        </is>
      </c>
      <c r="AY157" t="inlineStr">
        <is>
          <t>991001746239702656</t>
        </is>
      </c>
      <c r="AZ157" t="inlineStr">
        <is>
          <t>991001746239702656</t>
        </is>
      </c>
      <c r="BA157" t="inlineStr">
        <is>
          <t>2266765450002656</t>
        </is>
      </c>
      <c r="BB157" t="inlineStr">
        <is>
          <t>BOOK</t>
        </is>
      </c>
      <c r="BD157" t="inlineStr">
        <is>
          <t>9780471853985</t>
        </is>
      </c>
      <c r="BE157" t="inlineStr">
        <is>
          <t>32285000655026</t>
        </is>
      </c>
      <c r="BF157" t="inlineStr">
        <is>
          <t>893809174</t>
        </is>
      </c>
    </row>
    <row r="158">
      <c r="B158" t="inlineStr">
        <is>
          <t>CURAL</t>
        </is>
      </c>
      <c r="C158" t="inlineStr">
        <is>
          <t>SHELVES</t>
        </is>
      </c>
      <c r="D158" t="inlineStr">
        <is>
          <t>QP301 .L27 1978</t>
        </is>
      </c>
      <c r="E158" t="inlineStr">
        <is>
          <t>0                      QP 0301000L  27          1978</t>
        </is>
      </c>
      <c r="F158" t="inlineStr">
        <is>
          <t>Physiology of exercise : responses and adaptations / David R. Lamb.</t>
        </is>
      </c>
      <c r="H158" t="inlineStr">
        <is>
          <t>No</t>
        </is>
      </c>
      <c r="I158" t="inlineStr">
        <is>
          <t>1</t>
        </is>
      </c>
      <c r="J158" t="inlineStr">
        <is>
          <t>No</t>
        </is>
      </c>
      <c r="K158" t="inlineStr">
        <is>
          <t>No</t>
        </is>
      </c>
      <c r="L158" t="inlineStr">
        <is>
          <t>0</t>
        </is>
      </c>
      <c r="M158" t="inlineStr">
        <is>
          <t>Lamb, David R.</t>
        </is>
      </c>
      <c r="N158" t="inlineStr">
        <is>
          <t>New York : Macmillan, c1978.</t>
        </is>
      </c>
      <c r="O158" t="inlineStr">
        <is>
          <t>1978</t>
        </is>
      </c>
      <c r="Q158" t="inlineStr">
        <is>
          <t>eng</t>
        </is>
      </c>
      <c r="R158" t="inlineStr">
        <is>
          <t>nyu</t>
        </is>
      </c>
      <c r="T158" t="inlineStr">
        <is>
          <t xml:space="preserve">QP </t>
        </is>
      </c>
      <c r="U158" t="n">
        <v>2</v>
      </c>
      <c r="V158" t="n">
        <v>2</v>
      </c>
      <c r="W158" t="inlineStr">
        <is>
          <t>1997-06-18</t>
        </is>
      </c>
      <c r="X158" t="inlineStr">
        <is>
          <t>1997-06-18</t>
        </is>
      </c>
      <c r="Y158" t="inlineStr">
        <is>
          <t>1993-02-26</t>
        </is>
      </c>
      <c r="Z158" t="inlineStr">
        <is>
          <t>1993-02-26</t>
        </is>
      </c>
      <c r="AA158" t="n">
        <v>297</v>
      </c>
      <c r="AB158" t="n">
        <v>212</v>
      </c>
      <c r="AC158" t="n">
        <v>378</v>
      </c>
      <c r="AD158" t="n">
        <v>3</v>
      </c>
      <c r="AE158" t="n">
        <v>4</v>
      </c>
      <c r="AF158" t="n">
        <v>5</v>
      </c>
      <c r="AG158" t="n">
        <v>14</v>
      </c>
      <c r="AH158" t="n">
        <v>0</v>
      </c>
      <c r="AI158" t="n">
        <v>6</v>
      </c>
      <c r="AJ158" t="n">
        <v>1</v>
      </c>
      <c r="AK158" t="n">
        <v>2</v>
      </c>
      <c r="AL158" t="n">
        <v>3</v>
      </c>
      <c r="AM158" t="n">
        <v>5</v>
      </c>
      <c r="AN158" t="n">
        <v>1</v>
      </c>
      <c r="AO158" t="n">
        <v>2</v>
      </c>
      <c r="AP158" t="n">
        <v>0</v>
      </c>
      <c r="AQ158" t="n">
        <v>0</v>
      </c>
      <c r="AR158" t="inlineStr">
        <is>
          <t>No</t>
        </is>
      </c>
      <c r="AS158" t="inlineStr">
        <is>
          <t>No</t>
        </is>
      </c>
      <c r="AU158">
        <f>HYPERLINK("https://creighton-primo.hosted.exlibrisgroup.com/primo-explore/search?tab=default_tab&amp;search_scope=EVERYTHING&amp;vid=01CRU&amp;lang=en_US&amp;offset=0&amp;query=any,contains,991004282169702656","Catalog Record")</f>
        <v/>
      </c>
      <c r="AV158">
        <f>HYPERLINK("http://www.worldcat.org/oclc/2912360","WorldCat Record")</f>
        <v/>
      </c>
      <c r="AW158" t="inlineStr">
        <is>
          <t>197832524:eng</t>
        </is>
      </c>
      <c r="AX158" t="inlineStr">
        <is>
          <t>2912360</t>
        </is>
      </c>
      <c r="AY158" t="inlineStr">
        <is>
          <t>991004282169702656</t>
        </is>
      </c>
      <c r="AZ158" t="inlineStr">
        <is>
          <t>991004282169702656</t>
        </is>
      </c>
      <c r="BA158" t="inlineStr">
        <is>
          <t>2267865480002656</t>
        </is>
      </c>
      <c r="BB158" t="inlineStr">
        <is>
          <t>BOOK</t>
        </is>
      </c>
      <c r="BD158" t="inlineStr">
        <is>
          <t>9780023672002</t>
        </is>
      </c>
      <c r="BE158" t="inlineStr">
        <is>
          <t>32285001560639</t>
        </is>
      </c>
      <c r="BF158" t="inlineStr">
        <is>
          <t>893259544</t>
        </is>
      </c>
    </row>
    <row r="159">
      <c r="B159" t="inlineStr">
        <is>
          <t>CURAL</t>
        </is>
      </c>
      <c r="C159" t="inlineStr">
        <is>
          <t>SHELVES</t>
        </is>
      </c>
      <c r="D159" t="inlineStr">
        <is>
          <t>QP301 .M3754 1999</t>
        </is>
      </c>
      <c r="E159" t="inlineStr">
        <is>
          <t>0                      QP 0301000M  3754        1999</t>
        </is>
      </c>
      <c r="F159" t="inlineStr">
        <is>
          <t>Concepts in fitness programming / Robert G. McMurray.</t>
        </is>
      </c>
      <c r="H159" t="inlineStr">
        <is>
          <t>No</t>
        </is>
      </c>
      <c r="I159" t="inlineStr">
        <is>
          <t>1</t>
        </is>
      </c>
      <c r="J159" t="inlineStr">
        <is>
          <t>No</t>
        </is>
      </c>
      <c r="K159" t="inlineStr">
        <is>
          <t>No</t>
        </is>
      </c>
      <c r="L159" t="inlineStr">
        <is>
          <t>0</t>
        </is>
      </c>
      <c r="M159" t="inlineStr">
        <is>
          <t>McMurray, Robert G.</t>
        </is>
      </c>
      <c r="N159" t="inlineStr">
        <is>
          <t>Boca Raton : CRC Press, c1999.</t>
        </is>
      </c>
      <c r="O159" t="inlineStr">
        <is>
          <t>1999</t>
        </is>
      </c>
      <c r="Q159" t="inlineStr">
        <is>
          <t>eng</t>
        </is>
      </c>
      <c r="R159" t="inlineStr">
        <is>
          <t>flu</t>
        </is>
      </c>
      <c r="S159" t="inlineStr">
        <is>
          <t>CRC series in exercise physiology</t>
        </is>
      </c>
      <c r="T159" t="inlineStr">
        <is>
          <t xml:space="preserve">QP </t>
        </is>
      </c>
      <c r="U159" t="n">
        <v>8</v>
      </c>
      <c r="V159" t="n">
        <v>8</v>
      </c>
      <c r="W159" t="inlineStr">
        <is>
          <t>2003-02-07</t>
        </is>
      </c>
      <c r="X159" t="inlineStr">
        <is>
          <t>2003-02-07</t>
        </is>
      </c>
      <c r="Y159" t="inlineStr">
        <is>
          <t>1999-03-24</t>
        </is>
      </c>
      <c r="Z159" t="inlineStr">
        <is>
          <t>1999-03-24</t>
        </is>
      </c>
      <c r="AA159" t="n">
        <v>418</v>
      </c>
      <c r="AB159" t="n">
        <v>348</v>
      </c>
      <c r="AC159" t="n">
        <v>369</v>
      </c>
      <c r="AD159" t="n">
        <v>2</v>
      </c>
      <c r="AE159" t="n">
        <v>2</v>
      </c>
      <c r="AF159" t="n">
        <v>13</v>
      </c>
      <c r="AG159" t="n">
        <v>13</v>
      </c>
      <c r="AH159" t="n">
        <v>8</v>
      </c>
      <c r="AI159" t="n">
        <v>8</v>
      </c>
      <c r="AJ159" t="n">
        <v>2</v>
      </c>
      <c r="AK159" t="n">
        <v>2</v>
      </c>
      <c r="AL159" t="n">
        <v>6</v>
      </c>
      <c r="AM159" t="n">
        <v>6</v>
      </c>
      <c r="AN159" t="n">
        <v>1</v>
      </c>
      <c r="AO159" t="n">
        <v>1</v>
      </c>
      <c r="AP159" t="n">
        <v>0</v>
      </c>
      <c r="AQ159" t="n">
        <v>0</v>
      </c>
      <c r="AR159" t="inlineStr">
        <is>
          <t>No</t>
        </is>
      </c>
      <c r="AS159" t="inlineStr">
        <is>
          <t>No</t>
        </is>
      </c>
      <c r="AU159">
        <f>HYPERLINK("https://creighton-primo.hosted.exlibrisgroup.com/primo-explore/search?tab=default_tab&amp;search_scope=EVERYTHING&amp;vid=01CRU&amp;lang=en_US&amp;offset=0&amp;query=any,contains,991002970259702656","Catalog Record")</f>
        <v/>
      </c>
      <c r="AV159">
        <f>HYPERLINK("http://www.worldcat.org/oclc/39763744","WorldCat Record")</f>
        <v/>
      </c>
      <c r="AW159" t="inlineStr">
        <is>
          <t>41747850:eng</t>
        </is>
      </c>
      <c r="AX159" t="inlineStr">
        <is>
          <t>39763744</t>
        </is>
      </c>
      <c r="AY159" t="inlineStr">
        <is>
          <t>991002970259702656</t>
        </is>
      </c>
      <c r="AZ159" t="inlineStr">
        <is>
          <t>991002970259702656</t>
        </is>
      </c>
      <c r="BA159" t="inlineStr">
        <is>
          <t>2265955910002656</t>
        </is>
      </c>
      <c r="BB159" t="inlineStr">
        <is>
          <t>BOOK</t>
        </is>
      </c>
      <c r="BD159" t="inlineStr">
        <is>
          <t>9780849387142</t>
        </is>
      </c>
      <c r="BE159" t="inlineStr">
        <is>
          <t>32285003545877</t>
        </is>
      </c>
      <c r="BF159" t="inlineStr">
        <is>
          <t>893317494</t>
        </is>
      </c>
    </row>
    <row r="160">
      <c r="B160" t="inlineStr">
        <is>
          <t>CURAL</t>
        </is>
      </c>
      <c r="C160" t="inlineStr">
        <is>
          <t>SHELVES</t>
        </is>
      </c>
      <c r="D160" t="inlineStr">
        <is>
          <t>QP301 .M52</t>
        </is>
      </c>
      <c r="E160" t="inlineStr">
        <is>
          <t>0                      QP 0301000M  52</t>
        </is>
      </c>
      <c r="F160" t="inlineStr">
        <is>
          <t>Laboratory experiences in exercise physiology / Ernest D. Michael, Edmund J. Burke, Edward V. Avakian.</t>
        </is>
      </c>
      <c r="H160" t="inlineStr">
        <is>
          <t>No</t>
        </is>
      </c>
      <c r="I160" t="inlineStr">
        <is>
          <t>1</t>
        </is>
      </c>
      <c r="J160" t="inlineStr">
        <is>
          <t>No</t>
        </is>
      </c>
      <c r="K160" t="inlineStr">
        <is>
          <t>No</t>
        </is>
      </c>
      <c r="L160" t="inlineStr">
        <is>
          <t>0</t>
        </is>
      </c>
      <c r="M160" t="inlineStr">
        <is>
          <t>Michael, Ernest D.</t>
        </is>
      </c>
      <c r="N160" t="inlineStr">
        <is>
          <t>Ithaca, N.Y. : Mouvement Publications, 1979.</t>
        </is>
      </c>
      <c r="O160" t="inlineStr">
        <is>
          <t>1979</t>
        </is>
      </c>
      <c r="Q160" t="inlineStr">
        <is>
          <t>eng</t>
        </is>
      </c>
      <c r="R160" t="inlineStr">
        <is>
          <t>nyu</t>
        </is>
      </c>
      <c r="T160" t="inlineStr">
        <is>
          <t xml:space="preserve">QP </t>
        </is>
      </c>
      <c r="U160" t="n">
        <v>1</v>
      </c>
      <c r="V160" t="n">
        <v>1</v>
      </c>
      <c r="W160" t="inlineStr">
        <is>
          <t>2008-02-25</t>
        </is>
      </c>
      <c r="X160" t="inlineStr">
        <is>
          <t>2008-02-25</t>
        </is>
      </c>
      <c r="Y160" t="inlineStr">
        <is>
          <t>1993-02-26</t>
        </is>
      </c>
      <c r="Z160" t="inlineStr">
        <is>
          <t>1993-02-26</t>
        </is>
      </c>
      <c r="AA160" t="n">
        <v>159</v>
      </c>
      <c r="AB160" t="n">
        <v>118</v>
      </c>
      <c r="AC160" t="n">
        <v>129</v>
      </c>
      <c r="AD160" t="n">
        <v>3</v>
      </c>
      <c r="AE160" t="n">
        <v>3</v>
      </c>
      <c r="AF160" t="n">
        <v>3</v>
      </c>
      <c r="AG160" t="n">
        <v>4</v>
      </c>
      <c r="AH160" t="n">
        <v>1</v>
      </c>
      <c r="AI160" t="n">
        <v>2</v>
      </c>
      <c r="AJ160" t="n">
        <v>0</v>
      </c>
      <c r="AK160" t="n">
        <v>0</v>
      </c>
      <c r="AL160" t="n">
        <v>0</v>
      </c>
      <c r="AM160" t="n">
        <v>0</v>
      </c>
      <c r="AN160" t="n">
        <v>2</v>
      </c>
      <c r="AO160" t="n">
        <v>2</v>
      </c>
      <c r="AP160" t="n">
        <v>0</v>
      </c>
      <c r="AQ160" t="n">
        <v>0</v>
      </c>
      <c r="AR160" t="inlineStr">
        <is>
          <t>No</t>
        </is>
      </c>
      <c r="AS160" t="inlineStr">
        <is>
          <t>No</t>
        </is>
      </c>
      <c r="AU160">
        <f>HYPERLINK("https://creighton-primo.hosted.exlibrisgroup.com/primo-explore/search?tab=default_tab&amp;search_scope=EVERYTHING&amp;vid=01CRU&amp;lang=en_US&amp;offset=0&amp;query=any,contains,991005071279702656","Catalog Record")</f>
        <v/>
      </c>
      <c r="AV160">
        <f>HYPERLINK("http://www.worldcat.org/oclc/7026637","WorldCat Record")</f>
        <v/>
      </c>
      <c r="AW160" t="inlineStr">
        <is>
          <t>24909554:eng</t>
        </is>
      </c>
      <c r="AX160" t="inlineStr">
        <is>
          <t>7026637</t>
        </is>
      </c>
      <c r="AY160" t="inlineStr">
        <is>
          <t>991005071279702656</t>
        </is>
      </c>
      <c r="AZ160" t="inlineStr">
        <is>
          <t>991005071279702656</t>
        </is>
      </c>
      <c r="BA160" t="inlineStr">
        <is>
          <t>2263992020002656</t>
        </is>
      </c>
      <c r="BB160" t="inlineStr">
        <is>
          <t>BOOK</t>
        </is>
      </c>
      <c r="BE160" t="inlineStr">
        <is>
          <t>32285001560654</t>
        </is>
      </c>
      <c r="BF160" t="inlineStr">
        <is>
          <t>893895804</t>
        </is>
      </c>
    </row>
    <row r="161">
      <c r="B161" t="inlineStr">
        <is>
          <t>CURAL</t>
        </is>
      </c>
      <c r="C161" t="inlineStr">
        <is>
          <t>SHELVES</t>
        </is>
      </c>
      <c r="D161" t="inlineStr">
        <is>
          <t>QP301 .M65 1976</t>
        </is>
      </c>
      <c r="E161" t="inlineStr">
        <is>
          <t>0                      QP 0301000M  65          1976</t>
        </is>
      </c>
      <c r="F161" t="inlineStr">
        <is>
          <t>Physiology of exercise / Laurence E. Morehouse, Augustus T. Miller, Jr.</t>
        </is>
      </c>
      <c r="H161" t="inlineStr">
        <is>
          <t>No</t>
        </is>
      </c>
      <c r="I161" t="inlineStr">
        <is>
          <t>1</t>
        </is>
      </c>
      <c r="J161" t="inlineStr">
        <is>
          <t>No</t>
        </is>
      </c>
      <c r="K161" t="inlineStr">
        <is>
          <t>Yes</t>
        </is>
      </c>
      <c r="L161" t="inlineStr">
        <is>
          <t>0</t>
        </is>
      </c>
      <c r="M161" t="inlineStr">
        <is>
          <t>Morehouse, Laurence Englemohr, 1913-1995.</t>
        </is>
      </c>
      <c r="N161" t="inlineStr">
        <is>
          <t>Saint Louis : Mosby, 1976.</t>
        </is>
      </c>
      <c r="O161" t="inlineStr">
        <is>
          <t>1976</t>
        </is>
      </c>
      <c r="P161" t="inlineStr">
        <is>
          <t>7th ed.</t>
        </is>
      </c>
      <c r="Q161" t="inlineStr">
        <is>
          <t>eng</t>
        </is>
      </c>
      <c r="R161" t="inlineStr">
        <is>
          <t>mou</t>
        </is>
      </c>
      <c r="T161" t="inlineStr">
        <is>
          <t xml:space="preserve">QP </t>
        </is>
      </c>
      <c r="U161" t="n">
        <v>4</v>
      </c>
      <c r="V161" t="n">
        <v>4</v>
      </c>
      <c r="W161" t="inlineStr">
        <is>
          <t>2009-12-02</t>
        </is>
      </c>
      <c r="X161" t="inlineStr">
        <is>
          <t>2009-12-02</t>
        </is>
      </c>
      <c r="Y161" t="inlineStr">
        <is>
          <t>1993-02-26</t>
        </is>
      </c>
      <c r="Z161" t="inlineStr">
        <is>
          <t>1993-02-26</t>
        </is>
      </c>
      <c r="AA161" t="n">
        <v>430</v>
      </c>
      <c r="AB161" t="n">
        <v>336</v>
      </c>
      <c r="AC161" t="n">
        <v>712</v>
      </c>
      <c r="AD161" t="n">
        <v>5</v>
      </c>
      <c r="AE161" t="n">
        <v>10</v>
      </c>
      <c r="AF161" t="n">
        <v>11</v>
      </c>
      <c r="AG161" t="n">
        <v>27</v>
      </c>
      <c r="AH161" t="n">
        <v>2</v>
      </c>
      <c r="AI161" t="n">
        <v>8</v>
      </c>
      <c r="AJ161" t="n">
        <v>1</v>
      </c>
      <c r="AK161" t="n">
        <v>3</v>
      </c>
      <c r="AL161" t="n">
        <v>5</v>
      </c>
      <c r="AM161" t="n">
        <v>12</v>
      </c>
      <c r="AN161" t="n">
        <v>4</v>
      </c>
      <c r="AO161" t="n">
        <v>8</v>
      </c>
      <c r="AP161" t="n">
        <v>0</v>
      </c>
      <c r="AQ161" t="n">
        <v>0</v>
      </c>
      <c r="AR161" t="inlineStr">
        <is>
          <t>No</t>
        </is>
      </c>
      <c r="AS161" t="inlineStr">
        <is>
          <t>Yes</t>
        </is>
      </c>
      <c r="AT161">
        <f>HYPERLINK("http://catalog.hathitrust.org/Record/000018881","HathiTrust Record")</f>
        <v/>
      </c>
      <c r="AU161">
        <f>HYPERLINK("https://creighton-primo.hosted.exlibrisgroup.com/primo-explore/search?tab=default_tab&amp;search_scope=EVERYTHING&amp;vid=01CRU&amp;lang=en_US&amp;offset=0&amp;query=any,contains,991003806319702656","Catalog Record")</f>
        <v/>
      </c>
      <c r="AV161">
        <f>HYPERLINK("http://www.worldcat.org/oclc/1530774","WorldCat Record")</f>
        <v/>
      </c>
      <c r="AW161" t="inlineStr">
        <is>
          <t>4918836865:eng</t>
        </is>
      </c>
      <c r="AX161" t="inlineStr">
        <is>
          <t>1530774</t>
        </is>
      </c>
      <c r="AY161" t="inlineStr">
        <is>
          <t>991003806319702656</t>
        </is>
      </c>
      <c r="AZ161" t="inlineStr">
        <is>
          <t>991003806319702656</t>
        </is>
      </c>
      <c r="BA161" t="inlineStr">
        <is>
          <t>2269827750002656</t>
        </is>
      </c>
      <c r="BB161" t="inlineStr">
        <is>
          <t>BOOK</t>
        </is>
      </c>
      <c r="BD161" t="inlineStr">
        <is>
          <t>9780801634857</t>
        </is>
      </c>
      <c r="BE161" t="inlineStr">
        <is>
          <t>32285001560662</t>
        </is>
      </c>
      <c r="BF161" t="inlineStr">
        <is>
          <t>893787798</t>
        </is>
      </c>
    </row>
    <row r="162">
      <c r="B162" t="inlineStr">
        <is>
          <t>CURAL</t>
        </is>
      </c>
      <c r="C162" t="inlineStr">
        <is>
          <t>SHELVES</t>
        </is>
      </c>
      <c r="D162" t="inlineStr">
        <is>
          <t>QP301 .M82 1979</t>
        </is>
      </c>
      <c r="E162" t="inlineStr">
        <is>
          <t>0                      QP 0301000M  82          1979</t>
        </is>
      </c>
      <c r="F162" t="inlineStr">
        <is>
          <t>Muybridge's Complete human and animal locomotion : all 781 plates from the 1887 Animal locomotion / by Eadweard Muybridge ; introd. to the Dover edition by Anita Ventura Mozley.</t>
        </is>
      </c>
      <c r="G162" t="inlineStr">
        <is>
          <t>V.3</t>
        </is>
      </c>
      <c r="H162" t="inlineStr">
        <is>
          <t>Yes</t>
        </is>
      </c>
      <c r="I162" t="inlineStr">
        <is>
          <t>1</t>
        </is>
      </c>
      <c r="J162" t="inlineStr">
        <is>
          <t>No</t>
        </is>
      </c>
      <c r="K162" t="inlineStr">
        <is>
          <t>No</t>
        </is>
      </c>
      <c r="L162" t="inlineStr">
        <is>
          <t>0</t>
        </is>
      </c>
      <c r="M162" t="inlineStr">
        <is>
          <t>Muybridge, Eadweard, 1830-1904.</t>
        </is>
      </c>
      <c r="N162" t="inlineStr">
        <is>
          <t>New York : Dover Publications, c1979.</t>
        </is>
      </c>
      <c r="O162" t="inlineStr">
        <is>
          <t>1979</t>
        </is>
      </c>
      <c r="Q162" t="inlineStr">
        <is>
          <t>eng</t>
        </is>
      </c>
      <c r="R162" t="inlineStr">
        <is>
          <t>nyu</t>
        </is>
      </c>
      <c r="T162" t="inlineStr">
        <is>
          <t xml:space="preserve">QP </t>
        </is>
      </c>
      <c r="U162" t="n">
        <v>1</v>
      </c>
      <c r="V162" t="n">
        <v>4</v>
      </c>
      <c r="W162" t="inlineStr">
        <is>
          <t>1996-06-04</t>
        </is>
      </c>
      <c r="X162" t="inlineStr">
        <is>
          <t>1996-06-04</t>
        </is>
      </c>
      <c r="Y162" t="inlineStr">
        <is>
          <t>1993-02-26</t>
        </is>
      </c>
      <c r="Z162" t="inlineStr">
        <is>
          <t>1993-02-26</t>
        </is>
      </c>
      <c r="AA162" t="n">
        <v>700</v>
      </c>
      <c r="AB162" t="n">
        <v>598</v>
      </c>
      <c r="AC162" t="n">
        <v>617</v>
      </c>
      <c r="AD162" t="n">
        <v>8</v>
      </c>
      <c r="AE162" t="n">
        <v>8</v>
      </c>
      <c r="AF162" t="n">
        <v>20</v>
      </c>
      <c r="AG162" t="n">
        <v>22</v>
      </c>
      <c r="AH162" t="n">
        <v>6</v>
      </c>
      <c r="AI162" t="n">
        <v>7</v>
      </c>
      <c r="AJ162" t="n">
        <v>4</v>
      </c>
      <c r="AK162" t="n">
        <v>5</v>
      </c>
      <c r="AL162" t="n">
        <v>10</v>
      </c>
      <c r="AM162" t="n">
        <v>10</v>
      </c>
      <c r="AN162" t="n">
        <v>6</v>
      </c>
      <c r="AO162" t="n">
        <v>6</v>
      </c>
      <c r="AP162" t="n">
        <v>0</v>
      </c>
      <c r="AQ162" t="n">
        <v>0</v>
      </c>
      <c r="AR162" t="inlineStr">
        <is>
          <t>No</t>
        </is>
      </c>
      <c r="AS162" t="inlineStr">
        <is>
          <t>Yes</t>
        </is>
      </c>
      <c r="AT162">
        <f>HYPERLINK("http://catalog.hathitrust.org/Record/000695307","HathiTrust Record")</f>
        <v/>
      </c>
      <c r="AU162">
        <f>HYPERLINK("https://creighton-primo.hosted.exlibrisgroup.com/primo-explore/search?tab=default_tab&amp;search_scope=EVERYTHING&amp;vid=01CRU&amp;lang=en_US&amp;offset=0&amp;query=any,contains,991004835229702656","Catalog Record")</f>
        <v/>
      </c>
      <c r="AV162">
        <f>HYPERLINK("http://www.worldcat.org/oclc/5447180","WorldCat Record")</f>
        <v/>
      </c>
      <c r="AW162" t="inlineStr">
        <is>
          <t>1151148415:eng</t>
        </is>
      </c>
      <c r="AX162" t="inlineStr">
        <is>
          <t>5447180</t>
        </is>
      </c>
      <c r="AY162" t="inlineStr">
        <is>
          <t>991004835229702656</t>
        </is>
      </c>
      <c r="AZ162" t="inlineStr">
        <is>
          <t>991004835229702656</t>
        </is>
      </c>
      <c r="BA162" t="inlineStr">
        <is>
          <t>2259346580002656</t>
        </is>
      </c>
      <c r="BB162" t="inlineStr">
        <is>
          <t>BOOK</t>
        </is>
      </c>
      <c r="BD162" t="inlineStr">
        <is>
          <t>9780486237923</t>
        </is>
      </c>
      <c r="BE162" t="inlineStr">
        <is>
          <t>32285001560688</t>
        </is>
      </c>
      <c r="BF162" t="inlineStr">
        <is>
          <t>893260227</t>
        </is>
      </c>
    </row>
    <row r="163">
      <c r="B163" t="inlineStr">
        <is>
          <t>CURAL</t>
        </is>
      </c>
      <c r="C163" t="inlineStr">
        <is>
          <t>SHELVES</t>
        </is>
      </c>
      <c r="D163" t="inlineStr">
        <is>
          <t>QP301 .M82 1979</t>
        </is>
      </c>
      <c r="E163" t="inlineStr">
        <is>
          <t>0                      QP 0301000M  82          1979</t>
        </is>
      </c>
      <c r="F163" t="inlineStr">
        <is>
          <t>Muybridge's Complete human and animal locomotion : all 781 plates from the 1887 Animal locomotion / by Eadweard Muybridge ; introd. to the Dover edition by Anita Ventura Mozley.</t>
        </is>
      </c>
      <c r="G163" t="inlineStr">
        <is>
          <t>V.2</t>
        </is>
      </c>
      <c r="H163" t="inlineStr">
        <is>
          <t>Yes</t>
        </is>
      </c>
      <c r="I163" t="inlineStr">
        <is>
          <t>1</t>
        </is>
      </c>
      <c r="J163" t="inlineStr">
        <is>
          <t>No</t>
        </is>
      </c>
      <c r="K163" t="inlineStr">
        <is>
          <t>No</t>
        </is>
      </c>
      <c r="L163" t="inlineStr">
        <is>
          <t>0</t>
        </is>
      </c>
      <c r="M163" t="inlineStr">
        <is>
          <t>Muybridge, Eadweard, 1830-1904.</t>
        </is>
      </c>
      <c r="N163" t="inlineStr">
        <is>
          <t>New York : Dover Publications, c1979.</t>
        </is>
      </c>
      <c r="O163" t="inlineStr">
        <is>
          <t>1979</t>
        </is>
      </c>
      <c r="Q163" t="inlineStr">
        <is>
          <t>eng</t>
        </is>
      </c>
      <c r="R163" t="inlineStr">
        <is>
          <t>nyu</t>
        </is>
      </c>
      <c r="T163" t="inlineStr">
        <is>
          <t xml:space="preserve">QP </t>
        </is>
      </c>
      <c r="U163" t="n">
        <v>2</v>
      </c>
      <c r="V163" t="n">
        <v>4</v>
      </c>
      <c r="W163" t="inlineStr">
        <is>
          <t>1995-03-01</t>
        </is>
      </c>
      <c r="X163" t="inlineStr">
        <is>
          <t>1996-06-04</t>
        </is>
      </c>
      <c r="Y163" t="inlineStr">
        <is>
          <t>1993-02-26</t>
        </is>
      </c>
      <c r="Z163" t="inlineStr">
        <is>
          <t>1993-02-26</t>
        </is>
      </c>
      <c r="AA163" t="n">
        <v>700</v>
      </c>
      <c r="AB163" t="n">
        <v>598</v>
      </c>
      <c r="AC163" t="n">
        <v>617</v>
      </c>
      <c r="AD163" t="n">
        <v>8</v>
      </c>
      <c r="AE163" t="n">
        <v>8</v>
      </c>
      <c r="AF163" t="n">
        <v>20</v>
      </c>
      <c r="AG163" t="n">
        <v>22</v>
      </c>
      <c r="AH163" t="n">
        <v>6</v>
      </c>
      <c r="AI163" t="n">
        <v>7</v>
      </c>
      <c r="AJ163" t="n">
        <v>4</v>
      </c>
      <c r="AK163" t="n">
        <v>5</v>
      </c>
      <c r="AL163" t="n">
        <v>10</v>
      </c>
      <c r="AM163" t="n">
        <v>10</v>
      </c>
      <c r="AN163" t="n">
        <v>6</v>
      </c>
      <c r="AO163" t="n">
        <v>6</v>
      </c>
      <c r="AP163" t="n">
        <v>0</v>
      </c>
      <c r="AQ163" t="n">
        <v>0</v>
      </c>
      <c r="AR163" t="inlineStr">
        <is>
          <t>No</t>
        </is>
      </c>
      <c r="AS163" t="inlineStr">
        <is>
          <t>Yes</t>
        </is>
      </c>
      <c r="AT163">
        <f>HYPERLINK("http://catalog.hathitrust.org/Record/000695307","HathiTrust Record")</f>
        <v/>
      </c>
      <c r="AU163">
        <f>HYPERLINK("https://creighton-primo.hosted.exlibrisgroup.com/primo-explore/search?tab=default_tab&amp;search_scope=EVERYTHING&amp;vid=01CRU&amp;lang=en_US&amp;offset=0&amp;query=any,contains,991004835229702656","Catalog Record")</f>
        <v/>
      </c>
      <c r="AV163">
        <f>HYPERLINK("http://www.worldcat.org/oclc/5447180","WorldCat Record")</f>
        <v/>
      </c>
      <c r="AW163" t="inlineStr">
        <is>
          <t>1151148415:eng</t>
        </is>
      </c>
      <c r="AX163" t="inlineStr">
        <is>
          <t>5447180</t>
        </is>
      </c>
      <c r="AY163" t="inlineStr">
        <is>
          <t>991004835229702656</t>
        </is>
      </c>
      <c r="AZ163" t="inlineStr">
        <is>
          <t>991004835229702656</t>
        </is>
      </c>
      <c r="BA163" t="inlineStr">
        <is>
          <t>2259346580002656</t>
        </is>
      </c>
      <c r="BB163" t="inlineStr">
        <is>
          <t>BOOK</t>
        </is>
      </c>
      <c r="BD163" t="inlineStr">
        <is>
          <t>9780486237923</t>
        </is>
      </c>
      <c r="BE163" t="inlineStr">
        <is>
          <t>32285001560670</t>
        </is>
      </c>
      <c r="BF163" t="inlineStr">
        <is>
          <t>893254148</t>
        </is>
      </c>
    </row>
    <row r="164">
      <c r="B164" t="inlineStr">
        <is>
          <t>CURAL</t>
        </is>
      </c>
      <c r="C164" t="inlineStr">
        <is>
          <t>SHELVES</t>
        </is>
      </c>
      <c r="D164" t="inlineStr">
        <is>
          <t>QP301 .M82 1979</t>
        </is>
      </c>
      <c r="E164" t="inlineStr">
        <is>
          <t>0                      QP 0301000M  82          1979</t>
        </is>
      </c>
      <c r="F164" t="inlineStr">
        <is>
          <t>Muybridge's Complete human and animal locomotion : all 781 plates from the 1887 Animal locomotion / by Eadweard Muybridge ; introd. to the Dover edition by Anita Ventura Mozley.</t>
        </is>
      </c>
      <c r="G164" t="inlineStr">
        <is>
          <t>V.1</t>
        </is>
      </c>
      <c r="H164" t="inlineStr">
        <is>
          <t>Yes</t>
        </is>
      </c>
      <c r="I164" t="inlineStr">
        <is>
          <t>1</t>
        </is>
      </c>
      <c r="J164" t="inlineStr">
        <is>
          <t>No</t>
        </is>
      </c>
      <c r="K164" t="inlineStr">
        <is>
          <t>No</t>
        </is>
      </c>
      <c r="L164" t="inlineStr">
        <is>
          <t>0</t>
        </is>
      </c>
      <c r="M164" t="inlineStr">
        <is>
          <t>Muybridge, Eadweard, 1830-1904.</t>
        </is>
      </c>
      <c r="N164" t="inlineStr">
        <is>
          <t>New York : Dover Publications, c1979.</t>
        </is>
      </c>
      <c r="O164" t="inlineStr">
        <is>
          <t>1979</t>
        </is>
      </c>
      <c r="Q164" t="inlineStr">
        <is>
          <t>eng</t>
        </is>
      </c>
      <c r="R164" t="inlineStr">
        <is>
          <t>nyu</t>
        </is>
      </c>
      <c r="T164" t="inlineStr">
        <is>
          <t xml:space="preserve">QP </t>
        </is>
      </c>
      <c r="U164" t="n">
        <v>1</v>
      </c>
      <c r="V164" t="n">
        <v>4</v>
      </c>
      <c r="X164" t="inlineStr">
        <is>
          <t>1996-06-04</t>
        </is>
      </c>
      <c r="Y164" t="inlineStr">
        <is>
          <t>1992-04-20</t>
        </is>
      </c>
      <c r="Z164" t="inlineStr">
        <is>
          <t>1993-02-26</t>
        </is>
      </c>
      <c r="AA164" t="n">
        <v>700</v>
      </c>
      <c r="AB164" t="n">
        <v>598</v>
      </c>
      <c r="AC164" t="n">
        <v>617</v>
      </c>
      <c r="AD164" t="n">
        <v>8</v>
      </c>
      <c r="AE164" t="n">
        <v>8</v>
      </c>
      <c r="AF164" t="n">
        <v>20</v>
      </c>
      <c r="AG164" t="n">
        <v>22</v>
      </c>
      <c r="AH164" t="n">
        <v>6</v>
      </c>
      <c r="AI164" t="n">
        <v>7</v>
      </c>
      <c r="AJ164" t="n">
        <v>4</v>
      </c>
      <c r="AK164" t="n">
        <v>5</v>
      </c>
      <c r="AL164" t="n">
        <v>10</v>
      </c>
      <c r="AM164" t="n">
        <v>10</v>
      </c>
      <c r="AN164" t="n">
        <v>6</v>
      </c>
      <c r="AO164" t="n">
        <v>6</v>
      </c>
      <c r="AP164" t="n">
        <v>0</v>
      </c>
      <c r="AQ164" t="n">
        <v>0</v>
      </c>
      <c r="AR164" t="inlineStr">
        <is>
          <t>No</t>
        </is>
      </c>
      <c r="AS164" t="inlineStr">
        <is>
          <t>Yes</t>
        </is>
      </c>
      <c r="AT164">
        <f>HYPERLINK("http://catalog.hathitrust.org/Record/000695307","HathiTrust Record")</f>
        <v/>
      </c>
      <c r="AU164">
        <f>HYPERLINK("https://creighton-primo.hosted.exlibrisgroup.com/primo-explore/search?tab=default_tab&amp;search_scope=EVERYTHING&amp;vid=01CRU&amp;lang=en_US&amp;offset=0&amp;query=any,contains,991004835229702656","Catalog Record")</f>
        <v/>
      </c>
      <c r="AV164">
        <f>HYPERLINK("http://www.worldcat.org/oclc/5447180","WorldCat Record")</f>
        <v/>
      </c>
      <c r="AW164" t="inlineStr">
        <is>
          <t>1151148415:eng</t>
        </is>
      </c>
      <c r="AX164" t="inlineStr">
        <is>
          <t>5447180</t>
        </is>
      </c>
      <c r="AY164" t="inlineStr">
        <is>
          <t>991004835229702656</t>
        </is>
      </c>
      <c r="AZ164" t="inlineStr">
        <is>
          <t>991004835229702656</t>
        </is>
      </c>
      <c r="BA164" t="inlineStr">
        <is>
          <t>2259346580002656</t>
        </is>
      </c>
      <c r="BB164" t="inlineStr">
        <is>
          <t>BOOK</t>
        </is>
      </c>
      <c r="BD164" t="inlineStr">
        <is>
          <t>9780486237923</t>
        </is>
      </c>
      <c r="BE164" t="inlineStr">
        <is>
          <t>32285001044329</t>
        </is>
      </c>
      <c r="BF164" t="inlineStr">
        <is>
          <t>893260228</t>
        </is>
      </c>
    </row>
    <row r="165">
      <c r="B165" t="inlineStr">
        <is>
          <t>CURAL</t>
        </is>
      </c>
      <c r="C165" t="inlineStr">
        <is>
          <t>SHELVES</t>
        </is>
      </c>
      <c r="D165" t="inlineStr">
        <is>
          <t>QP301 .M83 1957</t>
        </is>
      </c>
      <c r="E165" t="inlineStr">
        <is>
          <t>0                      QP 0301000M  83          1957</t>
        </is>
      </c>
      <c r="F165" t="inlineStr">
        <is>
          <t>Animals in motion. Edited by Lewis S. Brown.</t>
        </is>
      </c>
      <c r="H165" t="inlineStr">
        <is>
          <t>No</t>
        </is>
      </c>
      <c r="I165" t="inlineStr">
        <is>
          <t>1</t>
        </is>
      </c>
      <c r="J165" t="inlineStr">
        <is>
          <t>No</t>
        </is>
      </c>
      <c r="K165" t="inlineStr">
        <is>
          <t>No</t>
        </is>
      </c>
      <c r="L165" t="inlineStr">
        <is>
          <t>0</t>
        </is>
      </c>
      <c r="M165" t="inlineStr">
        <is>
          <t>Muybridge, Eadweard, 1830-1904.</t>
        </is>
      </c>
      <c r="N165" t="inlineStr">
        <is>
          <t>New York, Dover Publications [1957]</t>
        </is>
      </c>
      <c r="O165" t="inlineStr">
        <is>
          <t>1957</t>
        </is>
      </c>
      <c r="Q165" t="inlineStr">
        <is>
          <t>eng</t>
        </is>
      </c>
      <c r="R165" t="inlineStr">
        <is>
          <t>nyu</t>
        </is>
      </c>
      <c r="T165" t="inlineStr">
        <is>
          <t xml:space="preserve">QP </t>
        </is>
      </c>
      <c r="U165" t="n">
        <v>2</v>
      </c>
      <c r="V165" t="n">
        <v>2</v>
      </c>
      <c r="W165" t="inlineStr">
        <is>
          <t>2006-12-10</t>
        </is>
      </c>
      <c r="X165" t="inlineStr">
        <is>
          <t>2006-12-10</t>
        </is>
      </c>
      <c r="Y165" t="inlineStr">
        <is>
          <t>1997-08-06</t>
        </is>
      </c>
      <c r="Z165" t="inlineStr">
        <is>
          <t>1997-08-06</t>
        </is>
      </c>
      <c r="AA165" t="n">
        <v>1290</v>
      </c>
      <c r="AB165" t="n">
        <v>1053</v>
      </c>
      <c r="AC165" t="n">
        <v>1154</v>
      </c>
      <c r="AD165" t="n">
        <v>4</v>
      </c>
      <c r="AE165" t="n">
        <v>7</v>
      </c>
      <c r="AF165" t="n">
        <v>23</v>
      </c>
      <c r="AG165" t="n">
        <v>28</v>
      </c>
      <c r="AH165" t="n">
        <v>8</v>
      </c>
      <c r="AI165" t="n">
        <v>10</v>
      </c>
      <c r="AJ165" t="n">
        <v>6</v>
      </c>
      <c r="AK165" t="n">
        <v>7</v>
      </c>
      <c r="AL165" t="n">
        <v>12</v>
      </c>
      <c r="AM165" t="n">
        <v>13</v>
      </c>
      <c r="AN165" t="n">
        <v>3</v>
      </c>
      <c r="AO165" t="n">
        <v>5</v>
      </c>
      <c r="AP165" t="n">
        <v>0</v>
      </c>
      <c r="AQ165" t="n">
        <v>0</v>
      </c>
      <c r="AR165" t="inlineStr">
        <is>
          <t>No</t>
        </is>
      </c>
      <c r="AS165" t="inlineStr">
        <is>
          <t>Yes</t>
        </is>
      </c>
      <c r="AT165">
        <f>HYPERLINK("http://catalog.hathitrust.org/Record/000013088","HathiTrust Record")</f>
        <v/>
      </c>
      <c r="AU165">
        <f>HYPERLINK("https://creighton-primo.hosted.exlibrisgroup.com/primo-explore/search?tab=default_tab&amp;search_scope=EVERYTHING&amp;vid=01CRU&amp;lang=en_US&amp;offset=0&amp;query=any,contains,991005264589702656","Catalog Record")</f>
        <v/>
      </c>
      <c r="AV165">
        <f>HYPERLINK("http://www.worldcat.org/oclc/850428","WorldCat Record")</f>
        <v/>
      </c>
      <c r="AW165" t="inlineStr">
        <is>
          <t>491285:eng</t>
        </is>
      </c>
      <c r="AX165" t="inlineStr">
        <is>
          <t>850428</t>
        </is>
      </c>
      <c r="AY165" t="inlineStr">
        <is>
          <t>991005264589702656</t>
        </is>
      </c>
      <c r="AZ165" t="inlineStr">
        <is>
          <t>991005264589702656</t>
        </is>
      </c>
      <c r="BA165" t="inlineStr">
        <is>
          <t>2265899050002656</t>
        </is>
      </c>
      <c r="BB165" t="inlineStr">
        <is>
          <t>BOOK</t>
        </is>
      </c>
      <c r="BE165" t="inlineStr">
        <is>
          <t>32285003013439</t>
        </is>
      </c>
      <c r="BF165" t="inlineStr">
        <is>
          <t>893619708</t>
        </is>
      </c>
    </row>
    <row r="166">
      <c r="B166" t="inlineStr">
        <is>
          <t>CURAL</t>
        </is>
      </c>
      <c r="C166" t="inlineStr">
        <is>
          <t>SHELVES</t>
        </is>
      </c>
      <c r="D166" t="inlineStr">
        <is>
          <t>QP301 .M85 1955</t>
        </is>
      </c>
      <c r="E166" t="inlineStr">
        <is>
          <t>0                      QP 0301000M  85          1955</t>
        </is>
      </c>
      <c r="F166" t="inlineStr">
        <is>
          <t>The human figure in motion. Introd. by Robert Taft.</t>
        </is>
      </c>
      <c r="H166" t="inlineStr">
        <is>
          <t>No</t>
        </is>
      </c>
      <c r="I166" t="inlineStr">
        <is>
          <t>1</t>
        </is>
      </c>
      <c r="J166" t="inlineStr">
        <is>
          <t>No</t>
        </is>
      </c>
      <c r="K166" t="inlineStr">
        <is>
          <t>No</t>
        </is>
      </c>
      <c r="L166" t="inlineStr">
        <is>
          <t>0</t>
        </is>
      </c>
      <c r="M166" t="inlineStr">
        <is>
          <t>Muybridge, Eadweard, 1830-1904.</t>
        </is>
      </c>
      <c r="N166" t="inlineStr">
        <is>
          <t>New York, Dover Publications [1955]</t>
        </is>
      </c>
      <c r="O166" t="inlineStr">
        <is>
          <t>1955</t>
        </is>
      </c>
      <c r="Q166" t="inlineStr">
        <is>
          <t>eng</t>
        </is>
      </c>
      <c r="R166" t="inlineStr">
        <is>
          <t>nyu</t>
        </is>
      </c>
      <c r="T166" t="inlineStr">
        <is>
          <t xml:space="preserve">QP </t>
        </is>
      </c>
      <c r="U166" t="n">
        <v>6</v>
      </c>
      <c r="V166" t="n">
        <v>6</v>
      </c>
      <c r="W166" t="inlineStr">
        <is>
          <t>2008-02-25</t>
        </is>
      </c>
      <c r="X166" t="inlineStr">
        <is>
          <t>2008-02-25</t>
        </is>
      </c>
      <c r="Y166" t="inlineStr">
        <is>
          <t>1992-04-22</t>
        </is>
      </c>
      <c r="Z166" t="inlineStr">
        <is>
          <t>1992-04-22</t>
        </is>
      </c>
      <c r="AA166" t="n">
        <v>1291</v>
      </c>
      <c r="AB166" t="n">
        <v>1037</v>
      </c>
      <c r="AC166" t="n">
        <v>1166</v>
      </c>
      <c r="AD166" t="n">
        <v>8</v>
      </c>
      <c r="AE166" t="n">
        <v>8</v>
      </c>
      <c r="AF166" t="n">
        <v>31</v>
      </c>
      <c r="AG166" t="n">
        <v>32</v>
      </c>
      <c r="AH166" t="n">
        <v>14</v>
      </c>
      <c r="AI166" t="n">
        <v>15</v>
      </c>
      <c r="AJ166" t="n">
        <v>6</v>
      </c>
      <c r="AK166" t="n">
        <v>7</v>
      </c>
      <c r="AL166" t="n">
        <v>14</v>
      </c>
      <c r="AM166" t="n">
        <v>14</v>
      </c>
      <c r="AN166" t="n">
        <v>5</v>
      </c>
      <c r="AO166" t="n">
        <v>5</v>
      </c>
      <c r="AP166" t="n">
        <v>0</v>
      </c>
      <c r="AQ166" t="n">
        <v>0</v>
      </c>
      <c r="AR166" t="inlineStr">
        <is>
          <t>No</t>
        </is>
      </c>
      <c r="AS166" t="inlineStr">
        <is>
          <t>Yes</t>
        </is>
      </c>
      <c r="AT166">
        <f>HYPERLINK("http://catalog.hathitrust.org/Record/000003526","HathiTrust Record")</f>
        <v/>
      </c>
      <c r="AU166">
        <f>HYPERLINK("https://creighton-primo.hosted.exlibrisgroup.com/primo-explore/search?tab=default_tab&amp;search_scope=EVERYTHING&amp;vid=01CRU&amp;lang=en_US&amp;offset=0&amp;query=any,contains,991001913719702656","Catalog Record")</f>
        <v/>
      </c>
      <c r="AV166">
        <f>HYPERLINK("http://www.worldcat.org/oclc/242951","WorldCat Record")</f>
        <v/>
      </c>
      <c r="AW166" t="inlineStr">
        <is>
          <t>864262:eng</t>
        </is>
      </c>
      <c r="AX166" t="inlineStr">
        <is>
          <t>242951</t>
        </is>
      </c>
      <c r="AY166" t="inlineStr">
        <is>
          <t>991001913719702656</t>
        </is>
      </c>
      <c r="AZ166" t="inlineStr">
        <is>
          <t>991001913719702656</t>
        </is>
      </c>
      <c r="BA166" t="inlineStr">
        <is>
          <t>2269534150002656</t>
        </is>
      </c>
      <c r="BB166" t="inlineStr">
        <is>
          <t>BOOK</t>
        </is>
      </c>
      <c r="BE166" t="inlineStr">
        <is>
          <t>32285001069318</t>
        </is>
      </c>
      <c r="BF166" t="inlineStr">
        <is>
          <t>893346885</t>
        </is>
      </c>
    </row>
    <row r="167">
      <c r="B167" t="inlineStr">
        <is>
          <t>CURAL</t>
        </is>
      </c>
      <c r="C167" t="inlineStr">
        <is>
          <t>SHELVES</t>
        </is>
      </c>
      <c r="D167" t="inlineStr">
        <is>
          <t>QP301 .N53 1986</t>
        </is>
      </c>
      <c r="E167" t="inlineStr">
        <is>
          <t>0                      QP 0301000N  53          1986</t>
        </is>
      </c>
      <c r="F167" t="inlineStr">
        <is>
          <t>The sports medicine fitness course / David C. Nieman.</t>
        </is>
      </c>
      <c r="H167" t="inlineStr">
        <is>
          <t>No</t>
        </is>
      </c>
      <c r="I167" t="inlineStr">
        <is>
          <t>1</t>
        </is>
      </c>
      <c r="J167" t="inlineStr">
        <is>
          <t>No</t>
        </is>
      </c>
      <c r="K167" t="inlineStr">
        <is>
          <t>No</t>
        </is>
      </c>
      <c r="L167" t="inlineStr">
        <is>
          <t>0</t>
        </is>
      </c>
      <c r="M167" t="inlineStr">
        <is>
          <t>Nieman, David C., 1950-</t>
        </is>
      </c>
      <c r="N167" t="inlineStr">
        <is>
          <t>Palo Alto, Calif. : Bull Pub. Co. ; New York, NY : Distributed in the U.S. by Kampmann, c1986.</t>
        </is>
      </c>
      <c r="O167" t="inlineStr">
        <is>
          <t>1986</t>
        </is>
      </c>
      <c r="Q167" t="inlineStr">
        <is>
          <t>eng</t>
        </is>
      </c>
      <c r="R167" t="inlineStr">
        <is>
          <t>cau</t>
        </is>
      </c>
      <c r="T167" t="inlineStr">
        <is>
          <t xml:space="preserve">QP </t>
        </is>
      </c>
      <c r="U167" t="n">
        <v>6</v>
      </c>
      <c r="V167" t="n">
        <v>6</v>
      </c>
      <c r="W167" t="inlineStr">
        <is>
          <t>1999-11-16</t>
        </is>
      </c>
      <c r="X167" t="inlineStr">
        <is>
          <t>1999-11-16</t>
        </is>
      </c>
      <c r="Y167" t="inlineStr">
        <is>
          <t>1990-04-04</t>
        </is>
      </c>
      <c r="Z167" t="inlineStr">
        <is>
          <t>1990-04-04</t>
        </is>
      </c>
      <c r="AA167" t="n">
        <v>230</v>
      </c>
      <c r="AB167" t="n">
        <v>209</v>
      </c>
      <c r="AC167" t="n">
        <v>226</v>
      </c>
      <c r="AD167" t="n">
        <v>3</v>
      </c>
      <c r="AE167" t="n">
        <v>3</v>
      </c>
      <c r="AF167" t="n">
        <v>4</v>
      </c>
      <c r="AG167" t="n">
        <v>6</v>
      </c>
      <c r="AH167" t="n">
        <v>1</v>
      </c>
      <c r="AI167" t="n">
        <v>2</v>
      </c>
      <c r="AJ167" t="n">
        <v>1</v>
      </c>
      <c r="AK167" t="n">
        <v>2</v>
      </c>
      <c r="AL167" t="n">
        <v>0</v>
      </c>
      <c r="AM167" t="n">
        <v>0</v>
      </c>
      <c r="AN167" t="n">
        <v>2</v>
      </c>
      <c r="AO167" t="n">
        <v>2</v>
      </c>
      <c r="AP167" t="n">
        <v>0</v>
      </c>
      <c r="AQ167" t="n">
        <v>0</v>
      </c>
      <c r="AR167" t="inlineStr">
        <is>
          <t>No</t>
        </is>
      </c>
      <c r="AS167" t="inlineStr">
        <is>
          <t>Yes</t>
        </is>
      </c>
      <c r="AT167">
        <f>HYPERLINK("http://catalog.hathitrust.org/Record/000821142","HathiTrust Record")</f>
        <v/>
      </c>
      <c r="AU167">
        <f>HYPERLINK("https://creighton-primo.hosted.exlibrisgroup.com/primo-explore/search?tab=default_tab&amp;search_scope=EVERYTHING&amp;vid=01CRU&amp;lang=en_US&amp;offset=0&amp;query=any,contains,991000849749702656","Catalog Record")</f>
        <v/>
      </c>
      <c r="AV167">
        <f>HYPERLINK("http://www.worldcat.org/oclc/13581629","WorldCat Record")</f>
        <v/>
      </c>
      <c r="AW167" t="inlineStr">
        <is>
          <t>7515952:eng</t>
        </is>
      </c>
      <c r="AX167" t="inlineStr">
        <is>
          <t>13581629</t>
        </is>
      </c>
      <c r="AY167" t="inlineStr">
        <is>
          <t>991000849749702656</t>
        </is>
      </c>
      <c r="AZ167" t="inlineStr">
        <is>
          <t>991000849749702656</t>
        </is>
      </c>
      <c r="BA167" t="inlineStr">
        <is>
          <t>2259781230002656</t>
        </is>
      </c>
      <c r="BB167" t="inlineStr">
        <is>
          <t>BOOK</t>
        </is>
      </c>
      <c r="BD167" t="inlineStr">
        <is>
          <t>9780915950768</t>
        </is>
      </c>
      <c r="BE167" t="inlineStr">
        <is>
          <t>32285000110022</t>
        </is>
      </c>
      <c r="BF167" t="inlineStr">
        <is>
          <t>893884817</t>
        </is>
      </c>
    </row>
    <row r="168">
      <c r="B168" t="inlineStr">
        <is>
          <t>CURAL</t>
        </is>
      </c>
      <c r="C168" t="inlineStr">
        <is>
          <t>SHELVES</t>
        </is>
      </c>
      <c r="D168" t="inlineStr">
        <is>
          <t>QP301 .P374 1988</t>
        </is>
      </c>
      <c r="E168" t="inlineStr">
        <is>
          <t>0                      QP 0301000P  374         1988</t>
        </is>
      </c>
      <c r="F168" t="inlineStr">
        <is>
          <t>Biological effects of physical activity / R. Sanders Williams, Andrew G. Wallace, editors.</t>
        </is>
      </c>
      <c r="H168" t="inlineStr">
        <is>
          <t>No</t>
        </is>
      </c>
      <c r="I168" t="inlineStr">
        <is>
          <t>1</t>
        </is>
      </c>
      <c r="J168" t="inlineStr">
        <is>
          <t>No</t>
        </is>
      </c>
      <c r="K168" t="inlineStr">
        <is>
          <t>No</t>
        </is>
      </c>
      <c r="L168" t="inlineStr">
        <is>
          <t>0</t>
        </is>
      </c>
      <c r="M168" t="inlineStr">
        <is>
          <t>PepsiCo Foundation Conference on Fitness and Health (1st : 1988 : Duke University)</t>
        </is>
      </c>
      <c r="N168" t="inlineStr">
        <is>
          <t>Champaign, Ill. : Human Kinetics Books, c1989.</t>
        </is>
      </c>
      <c r="O168" t="inlineStr">
        <is>
          <t>1989</t>
        </is>
      </c>
      <c r="Q168" t="inlineStr">
        <is>
          <t>eng</t>
        </is>
      </c>
      <c r="R168" t="inlineStr">
        <is>
          <t>ilu</t>
        </is>
      </c>
      <c r="S168" t="inlineStr">
        <is>
          <t>HKP sport science monograph series, 0894-4229 ; v. 2</t>
        </is>
      </c>
      <c r="T168" t="inlineStr">
        <is>
          <t xml:space="preserve">QP </t>
        </is>
      </c>
      <c r="U168" t="n">
        <v>21</v>
      </c>
      <c r="V168" t="n">
        <v>21</v>
      </c>
      <c r="W168" t="inlineStr">
        <is>
          <t>2009-12-02</t>
        </is>
      </c>
      <c r="X168" t="inlineStr">
        <is>
          <t>2009-12-02</t>
        </is>
      </c>
      <c r="Y168" t="inlineStr">
        <is>
          <t>1992-07-03</t>
        </is>
      </c>
      <c r="Z168" t="inlineStr">
        <is>
          <t>1992-07-03</t>
        </is>
      </c>
      <c r="AA168" t="n">
        <v>428</v>
      </c>
      <c r="AB168" t="n">
        <v>354</v>
      </c>
      <c r="AC168" t="n">
        <v>360</v>
      </c>
      <c r="AD168" t="n">
        <v>4</v>
      </c>
      <c r="AE168" t="n">
        <v>4</v>
      </c>
      <c r="AF168" t="n">
        <v>11</v>
      </c>
      <c r="AG168" t="n">
        <v>11</v>
      </c>
      <c r="AH168" t="n">
        <v>4</v>
      </c>
      <c r="AI168" t="n">
        <v>4</v>
      </c>
      <c r="AJ168" t="n">
        <v>2</v>
      </c>
      <c r="AK168" t="n">
        <v>2</v>
      </c>
      <c r="AL168" t="n">
        <v>5</v>
      </c>
      <c r="AM168" t="n">
        <v>5</v>
      </c>
      <c r="AN168" t="n">
        <v>3</v>
      </c>
      <c r="AO168" t="n">
        <v>3</v>
      </c>
      <c r="AP168" t="n">
        <v>0</v>
      </c>
      <c r="AQ168" t="n">
        <v>0</v>
      </c>
      <c r="AR168" t="inlineStr">
        <is>
          <t>No</t>
        </is>
      </c>
      <c r="AS168" t="inlineStr">
        <is>
          <t>Yes</t>
        </is>
      </c>
      <c r="AT168">
        <f>HYPERLINK("http://catalog.hathitrust.org/Record/101891614","HathiTrust Record")</f>
        <v/>
      </c>
      <c r="AU168">
        <f>HYPERLINK("https://creighton-primo.hosted.exlibrisgroup.com/primo-explore/search?tab=default_tab&amp;search_scope=EVERYTHING&amp;vid=01CRU&amp;lang=en_US&amp;offset=0&amp;query=any,contains,991001439949702656","Catalog Record")</f>
        <v/>
      </c>
      <c r="AV168">
        <f>HYPERLINK("http://www.worldcat.org/oclc/19222780","WorldCat Record")</f>
        <v/>
      </c>
      <c r="AW168" t="inlineStr">
        <is>
          <t>21437587:eng</t>
        </is>
      </c>
      <c r="AX168" t="inlineStr">
        <is>
          <t>19222780</t>
        </is>
      </c>
      <c r="AY168" t="inlineStr">
        <is>
          <t>991001439949702656</t>
        </is>
      </c>
      <c r="AZ168" t="inlineStr">
        <is>
          <t>991001439949702656</t>
        </is>
      </c>
      <c r="BA168" t="inlineStr">
        <is>
          <t>2259496650002656</t>
        </is>
      </c>
      <c r="BB168" t="inlineStr">
        <is>
          <t>BOOK</t>
        </is>
      </c>
      <c r="BD168" t="inlineStr">
        <is>
          <t>9780873222181</t>
        </is>
      </c>
      <c r="BE168" t="inlineStr">
        <is>
          <t>32285001157105</t>
        </is>
      </c>
      <c r="BF168" t="inlineStr">
        <is>
          <t>893244138</t>
        </is>
      </c>
    </row>
    <row r="169">
      <c r="B169" t="inlineStr">
        <is>
          <t>CURAL</t>
        </is>
      </c>
      <c r="C169" t="inlineStr">
        <is>
          <t>SHELVES</t>
        </is>
      </c>
      <c r="D169" t="inlineStr">
        <is>
          <t>QP301 .P384 1988 v.2</t>
        </is>
      </c>
      <c r="E169" t="inlineStr">
        <is>
          <t>0                      QP 0301000P  384         1988                                        v.2</t>
        </is>
      </c>
      <c r="F169" t="inlineStr">
        <is>
          <t>Youth, exercise, and sport / edited by Carl V. Gisolfi, David R. Lamb.</t>
        </is>
      </c>
      <c r="G169" t="inlineStr">
        <is>
          <t>V. 2</t>
        </is>
      </c>
      <c r="H169" t="inlineStr">
        <is>
          <t>No</t>
        </is>
      </c>
      <c r="I169" t="inlineStr">
        <is>
          <t>1</t>
        </is>
      </c>
      <c r="J169" t="inlineStr">
        <is>
          <t>No</t>
        </is>
      </c>
      <c r="K169" t="inlineStr">
        <is>
          <t>No</t>
        </is>
      </c>
      <c r="L169" t="inlineStr">
        <is>
          <t>0</t>
        </is>
      </c>
      <c r="N169" t="inlineStr">
        <is>
          <t>Indianapolis, Ind. : Benchmark Press, c1989.</t>
        </is>
      </c>
      <c r="O169" t="inlineStr">
        <is>
          <t>1989</t>
        </is>
      </c>
      <c r="Q169" t="inlineStr">
        <is>
          <t>eng</t>
        </is>
      </c>
      <c r="R169" t="inlineStr">
        <is>
          <t>inu</t>
        </is>
      </c>
      <c r="S169" t="inlineStr">
        <is>
          <t>Perspectives in exercise science and sports medicine ; v. 2</t>
        </is>
      </c>
      <c r="T169" t="inlineStr">
        <is>
          <t xml:space="preserve">QP </t>
        </is>
      </c>
      <c r="U169" t="n">
        <v>2</v>
      </c>
      <c r="V169" t="n">
        <v>2</v>
      </c>
      <c r="W169" t="inlineStr">
        <is>
          <t>2009-02-06</t>
        </is>
      </c>
      <c r="X169" t="inlineStr">
        <is>
          <t>2009-02-06</t>
        </is>
      </c>
      <c r="Y169" t="inlineStr">
        <is>
          <t>2000-06-15</t>
        </is>
      </c>
      <c r="Z169" t="inlineStr">
        <is>
          <t>2000-06-15</t>
        </is>
      </c>
      <c r="AA169" t="n">
        <v>77</v>
      </c>
      <c r="AB169" t="n">
        <v>54</v>
      </c>
      <c r="AC169" t="n">
        <v>93</v>
      </c>
      <c r="AD169" t="n">
        <v>1</v>
      </c>
      <c r="AE169" t="n">
        <v>1</v>
      </c>
      <c r="AF169" t="n">
        <v>1</v>
      </c>
      <c r="AG169" t="n">
        <v>3</v>
      </c>
      <c r="AH169" t="n">
        <v>1</v>
      </c>
      <c r="AI169" t="n">
        <v>2</v>
      </c>
      <c r="AJ169" t="n">
        <v>0</v>
      </c>
      <c r="AK169" t="n">
        <v>1</v>
      </c>
      <c r="AL169" t="n">
        <v>0</v>
      </c>
      <c r="AM169" t="n">
        <v>0</v>
      </c>
      <c r="AN169" t="n">
        <v>0</v>
      </c>
      <c r="AO169" t="n">
        <v>0</v>
      </c>
      <c r="AP169" t="n">
        <v>0</v>
      </c>
      <c r="AQ169" t="n">
        <v>0</v>
      </c>
      <c r="AR169" t="inlineStr">
        <is>
          <t>No</t>
        </is>
      </c>
      <c r="AS169" t="inlineStr">
        <is>
          <t>Yes</t>
        </is>
      </c>
      <c r="AT169">
        <f>HYPERLINK("http://catalog.hathitrust.org/Record/004533816","HathiTrust Record")</f>
        <v/>
      </c>
      <c r="AU169">
        <f>HYPERLINK("https://creighton-primo.hosted.exlibrisgroup.com/primo-explore/search?tab=default_tab&amp;search_scope=EVERYTHING&amp;vid=01CRU&amp;lang=en_US&amp;offset=0&amp;query=any,contains,991003187019702656","Catalog Record")</f>
        <v/>
      </c>
      <c r="AV169">
        <f>HYPERLINK("http://www.worldcat.org/oclc/27764910","WorldCat Record")</f>
        <v/>
      </c>
      <c r="AW169" t="inlineStr">
        <is>
          <t>355721134:eng</t>
        </is>
      </c>
      <c r="AX169" t="inlineStr">
        <is>
          <t>27764910</t>
        </is>
      </c>
      <c r="AY169" t="inlineStr">
        <is>
          <t>991003187019702656</t>
        </is>
      </c>
      <c r="AZ169" t="inlineStr">
        <is>
          <t>991003187019702656</t>
        </is>
      </c>
      <c r="BA169" t="inlineStr">
        <is>
          <t>2263022830002656</t>
        </is>
      </c>
      <c r="BB169" t="inlineStr">
        <is>
          <t>BOOK</t>
        </is>
      </c>
      <c r="BD169" t="inlineStr">
        <is>
          <t>9780936157320</t>
        </is>
      </c>
      <c r="BE169" t="inlineStr">
        <is>
          <t>32285000935782</t>
        </is>
      </c>
      <c r="BF169" t="inlineStr">
        <is>
          <t>893317720</t>
        </is>
      </c>
    </row>
    <row r="170">
      <c r="B170" t="inlineStr">
        <is>
          <t>CURAL</t>
        </is>
      </c>
      <c r="C170" t="inlineStr">
        <is>
          <t>SHELVES</t>
        </is>
      </c>
      <c r="D170" t="inlineStr">
        <is>
          <t>QP301 .P384 1988 v.7</t>
        </is>
      </c>
      <c r="E170" t="inlineStr">
        <is>
          <t>0                      QP 0301000P  384         1988                                        v.7</t>
        </is>
      </c>
      <c r="F170" t="inlineStr">
        <is>
          <t>Physiology and nutrition for competitive sport / edited by David R. Lamb, Howard G. Knuttgen, Robert Murray.</t>
        </is>
      </c>
      <c r="G170" t="inlineStr">
        <is>
          <t>V. 7</t>
        </is>
      </c>
      <c r="H170" t="inlineStr">
        <is>
          <t>No</t>
        </is>
      </c>
      <c r="I170" t="inlineStr">
        <is>
          <t>1</t>
        </is>
      </c>
      <c r="J170" t="inlineStr">
        <is>
          <t>No</t>
        </is>
      </c>
      <c r="K170" t="inlineStr">
        <is>
          <t>No</t>
        </is>
      </c>
      <c r="L170" t="inlineStr">
        <is>
          <t>0</t>
        </is>
      </c>
      <c r="N170" t="inlineStr">
        <is>
          <t>Carmel, Ind. : Cooper Publishing Group, c1994.</t>
        </is>
      </c>
      <c r="O170" t="inlineStr">
        <is>
          <t>1994</t>
        </is>
      </c>
      <c r="Q170" t="inlineStr">
        <is>
          <t>eng</t>
        </is>
      </c>
      <c r="R170" t="inlineStr">
        <is>
          <t>inu</t>
        </is>
      </c>
      <c r="S170" t="inlineStr">
        <is>
          <t>Perspectives in exercise science and sports medicine ; v. 7</t>
        </is>
      </c>
      <c r="T170" t="inlineStr">
        <is>
          <t xml:space="preserve">QP </t>
        </is>
      </c>
      <c r="U170" t="n">
        <v>18</v>
      </c>
      <c r="V170" t="n">
        <v>18</v>
      </c>
      <c r="W170" t="inlineStr">
        <is>
          <t>2000-11-19</t>
        </is>
      </c>
      <c r="X170" t="inlineStr">
        <is>
          <t>2000-11-19</t>
        </is>
      </c>
      <c r="Y170" t="inlineStr">
        <is>
          <t>1995-02-28</t>
        </is>
      </c>
      <c r="Z170" t="inlineStr">
        <is>
          <t>1995-02-28</t>
        </is>
      </c>
      <c r="AA170" t="n">
        <v>81</v>
      </c>
      <c r="AB170" t="n">
        <v>63</v>
      </c>
      <c r="AC170" t="n">
        <v>86</v>
      </c>
      <c r="AD170" t="n">
        <v>0</v>
      </c>
      <c r="AE170" t="n">
        <v>0</v>
      </c>
      <c r="AF170" t="n">
        <v>3</v>
      </c>
      <c r="AG170" t="n">
        <v>4</v>
      </c>
      <c r="AH170" t="n">
        <v>3</v>
      </c>
      <c r="AI170" t="n">
        <v>3</v>
      </c>
      <c r="AJ170" t="n">
        <v>0</v>
      </c>
      <c r="AK170" t="n">
        <v>1</v>
      </c>
      <c r="AL170" t="n">
        <v>0</v>
      </c>
      <c r="AM170" t="n">
        <v>0</v>
      </c>
      <c r="AN170" t="n">
        <v>0</v>
      </c>
      <c r="AO170" t="n">
        <v>0</v>
      </c>
      <c r="AP170" t="n">
        <v>0</v>
      </c>
      <c r="AQ170" t="n">
        <v>0</v>
      </c>
      <c r="AR170" t="inlineStr">
        <is>
          <t>No</t>
        </is>
      </c>
      <c r="AS170" t="inlineStr">
        <is>
          <t>Yes</t>
        </is>
      </c>
      <c r="AT170">
        <f>HYPERLINK("http://catalog.hathitrust.org/Record/004533817","HathiTrust Record")</f>
        <v/>
      </c>
      <c r="AU170">
        <f>HYPERLINK("https://creighton-primo.hosted.exlibrisgroup.com/primo-explore/search?tab=default_tab&amp;search_scope=EVERYTHING&amp;vid=01CRU&amp;lang=en_US&amp;offset=0&amp;query=any,contains,991002372909702656","Catalog Record")</f>
        <v/>
      </c>
      <c r="AV170">
        <f>HYPERLINK("http://www.worldcat.org/oclc/38299607","WorldCat Record")</f>
        <v/>
      </c>
      <c r="AW170" t="inlineStr">
        <is>
          <t>346101222:eng</t>
        </is>
      </c>
      <c r="AX170" t="inlineStr">
        <is>
          <t>38299607</t>
        </is>
      </c>
      <c r="AY170" t="inlineStr">
        <is>
          <t>991002372909702656</t>
        </is>
      </c>
      <c r="AZ170" t="inlineStr">
        <is>
          <t>991002372909702656</t>
        </is>
      </c>
      <c r="BA170" t="inlineStr">
        <is>
          <t>2269913460002656</t>
        </is>
      </c>
      <c r="BB170" t="inlineStr">
        <is>
          <t>BOOK</t>
        </is>
      </c>
      <c r="BD170" t="inlineStr">
        <is>
          <t>9781884125096</t>
        </is>
      </c>
      <c r="BE170" t="inlineStr">
        <is>
          <t>32285002010626</t>
        </is>
      </c>
      <c r="BF170" t="inlineStr">
        <is>
          <t>893903852</t>
        </is>
      </c>
    </row>
    <row r="171">
      <c r="B171" t="inlineStr">
        <is>
          <t>CURAL</t>
        </is>
      </c>
      <c r="C171" t="inlineStr">
        <is>
          <t>SHELVES</t>
        </is>
      </c>
      <c r="D171" t="inlineStr">
        <is>
          <t>QP301 .P384 1988, v.1</t>
        </is>
      </c>
      <c r="E171" t="inlineStr">
        <is>
          <t>0                      QP 0301000P  384         1988                                        v.1</t>
        </is>
      </c>
      <c r="F171" t="inlineStr">
        <is>
          <t>Prolonged exercise / edited by David R. Lamb, Robert Murray.</t>
        </is>
      </c>
      <c r="G171" t="inlineStr">
        <is>
          <t>V. 1</t>
        </is>
      </c>
      <c r="H171" t="inlineStr">
        <is>
          <t>No</t>
        </is>
      </c>
      <c r="I171" t="inlineStr">
        <is>
          <t>1</t>
        </is>
      </c>
      <c r="J171" t="inlineStr">
        <is>
          <t>No</t>
        </is>
      </c>
      <c r="K171" t="inlineStr">
        <is>
          <t>No</t>
        </is>
      </c>
      <c r="L171" t="inlineStr">
        <is>
          <t>0</t>
        </is>
      </c>
      <c r="N171" t="inlineStr">
        <is>
          <t>Indianapolis, Ind. : Benchmark Press, c1988.</t>
        </is>
      </c>
      <c r="O171" t="inlineStr">
        <is>
          <t>1988</t>
        </is>
      </c>
      <c r="Q171" t="inlineStr">
        <is>
          <t>eng</t>
        </is>
      </c>
      <c r="R171" t="inlineStr">
        <is>
          <t>xxu</t>
        </is>
      </c>
      <c r="S171" t="inlineStr">
        <is>
          <t>Perspectives in exercise science and sports medicine ; v. 1</t>
        </is>
      </c>
      <c r="T171" t="inlineStr">
        <is>
          <t xml:space="preserve">QP </t>
        </is>
      </c>
      <c r="U171" t="n">
        <v>3</v>
      </c>
      <c r="V171" t="n">
        <v>3</v>
      </c>
      <c r="W171" t="inlineStr">
        <is>
          <t>1995-09-29</t>
        </is>
      </c>
      <c r="X171" t="inlineStr">
        <is>
          <t>1995-09-29</t>
        </is>
      </c>
      <c r="Y171" t="inlineStr">
        <is>
          <t>1992-03-19</t>
        </is>
      </c>
      <c r="Z171" t="inlineStr">
        <is>
          <t>1992-03-19</t>
        </is>
      </c>
      <c r="AA171" t="n">
        <v>88</v>
      </c>
      <c r="AB171" t="n">
        <v>64</v>
      </c>
      <c r="AC171" t="n">
        <v>90</v>
      </c>
      <c r="AD171" t="n">
        <v>1</v>
      </c>
      <c r="AE171" t="n">
        <v>1</v>
      </c>
      <c r="AF171" t="n">
        <v>2</v>
      </c>
      <c r="AG171" t="n">
        <v>4</v>
      </c>
      <c r="AH171" t="n">
        <v>1</v>
      </c>
      <c r="AI171" t="n">
        <v>2</v>
      </c>
      <c r="AJ171" t="n">
        <v>0</v>
      </c>
      <c r="AK171" t="n">
        <v>1</v>
      </c>
      <c r="AL171" t="n">
        <v>0</v>
      </c>
      <c r="AM171" t="n">
        <v>0</v>
      </c>
      <c r="AN171" t="n">
        <v>1</v>
      </c>
      <c r="AO171" t="n">
        <v>1</v>
      </c>
      <c r="AP171" t="n">
        <v>0</v>
      </c>
      <c r="AQ171" t="n">
        <v>0</v>
      </c>
      <c r="AR171" t="inlineStr">
        <is>
          <t>No</t>
        </is>
      </c>
      <c r="AS171" t="inlineStr">
        <is>
          <t>Yes</t>
        </is>
      </c>
      <c r="AT171">
        <f>HYPERLINK("http://catalog.hathitrust.org/Record/004533820","HathiTrust Record")</f>
        <v/>
      </c>
      <c r="AU171">
        <f>HYPERLINK("https://creighton-primo.hosted.exlibrisgroup.com/primo-explore/search?tab=default_tab&amp;search_scope=EVERYTHING&amp;vid=01CRU&amp;lang=en_US&amp;offset=0&amp;query=any,contains,991001548429702656","Catalog Record")</f>
        <v/>
      </c>
      <c r="AV171">
        <f>HYPERLINK("http://www.worldcat.org/oclc/27764925","WorldCat Record")</f>
        <v/>
      </c>
      <c r="AW171" t="inlineStr">
        <is>
          <t>55684753:eng</t>
        </is>
      </c>
      <c r="AX171" t="inlineStr">
        <is>
          <t>27764925</t>
        </is>
      </c>
      <c r="AY171" t="inlineStr">
        <is>
          <t>991001548429702656</t>
        </is>
      </c>
      <c r="AZ171" t="inlineStr">
        <is>
          <t>991001548429702656</t>
        </is>
      </c>
      <c r="BA171" t="inlineStr">
        <is>
          <t>2255136510002656</t>
        </is>
      </c>
      <c r="BB171" t="inlineStr">
        <is>
          <t>BOOK</t>
        </is>
      </c>
      <c r="BD171" t="inlineStr">
        <is>
          <t>9780936157344</t>
        </is>
      </c>
      <c r="BE171" t="inlineStr">
        <is>
          <t>32285001006237</t>
        </is>
      </c>
      <c r="BF171" t="inlineStr">
        <is>
          <t>893690678</t>
        </is>
      </c>
    </row>
    <row r="172">
      <c r="B172" t="inlineStr">
        <is>
          <t>CURAL</t>
        </is>
      </c>
      <c r="C172" t="inlineStr">
        <is>
          <t>SHELVES</t>
        </is>
      </c>
      <c r="D172" t="inlineStr">
        <is>
          <t>QP301 .P384 1988, v.3</t>
        </is>
      </c>
      <c r="E172" t="inlineStr">
        <is>
          <t>0                      QP 0301000P  384         1988                                        v.3</t>
        </is>
      </c>
      <c r="F172" t="inlineStr">
        <is>
          <t>Fluid homeostasis during exercise / edited by Carl V. Gisolfi, David R. Lamb.</t>
        </is>
      </c>
      <c r="G172" t="inlineStr">
        <is>
          <t>V. 3</t>
        </is>
      </c>
      <c r="H172" t="inlineStr">
        <is>
          <t>No</t>
        </is>
      </c>
      <c r="I172" t="inlineStr">
        <is>
          <t>1</t>
        </is>
      </c>
      <c r="J172" t="inlineStr">
        <is>
          <t>No</t>
        </is>
      </c>
      <c r="K172" t="inlineStr">
        <is>
          <t>No</t>
        </is>
      </c>
      <c r="L172" t="inlineStr">
        <is>
          <t>0</t>
        </is>
      </c>
      <c r="N172" t="inlineStr">
        <is>
          <t>Indianapolis, IN : Cooper Publishing Group, c1990.</t>
        </is>
      </c>
      <c r="O172" t="inlineStr">
        <is>
          <t>1990</t>
        </is>
      </c>
      <c r="Q172" t="inlineStr">
        <is>
          <t>eng</t>
        </is>
      </c>
      <c r="R172" t="inlineStr">
        <is>
          <t>inu</t>
        </is>
      </c>
      <c r="S172" t="inlineStr">
        <is>
          <t>Perspectives in exercise science and sports medicine ; v. 3</t>
        </is>
      </c>
      <c r="T172" t="inlineStr">
        <is>
          <t xml:space="preserve">QP </t>
        </is>
      </c>
      <c r="U172" t="n">
        <v>6</v>
      </c>
      <c r="V172" t="n">
        <v>6</v>
      </c>
      <c r="W172" t="inlineStr">
        <is>
          <t>1999-10-08</t>
        </is>
      </c>
      <c r="X172" t="inlineStr">
        <is>
          <t>1999-10-08</t>
        </is>
      </c>
      <c r="Y172" t="inlineStr">
        <is>
          <t>1996-06-27</t>
        </is>
      </c>
      <c r="Z172" t="inlineStr">
        <is>
          <t>1996-06-27</t>
        </is>
      </c>
      <c r="AA172" t="n">
        <v>34</v>
      </c>
      <c r="AB172" t="n">
        <v>30</v>
      </c>
      <c r="AC172" t="n">
        <v>74</v>
      </c>
      <c r="AD172" t="n">
        <v>1</v>
      </c>
      <c r="AE172" t="n">
        <v>1</v>
      </c>
      <c r="AF172" t="n">
        <v>2</v>
      </c>
      <c r="AG172" t="n">
        <v>4</v>
      </c>
      <c r="AH172" t="n">
        <v>2</v>
      </c>
      <c r="AI172" t="n">
        <v>3</v>
      </c>
      <c r="AJ172" t="n">
        <v>0</v>
      </c>
      <c r="AK172" t="n">
        <v>1</v>
      </c>
      <c r="AL172" t="n">
        <v>0</v>
      </c>
      <c r="AM172" t="n">
        <v>0</v>
      </c>
      <c r="AN172" t="n">
        <v>0</v>
      </c>
      <c r="AO172" t="n">
        <v>0</v>
      </c>
      <c r="AP172" t="n">
        <v>0</v>
      </c>
      <c r="AQ172" t="n">
        <v>0</v>
      </c>
      <c r="AR172" t="inlineStr">
        <is>
          <t>No</t>
        </is>
      </c>
      <c r="AS172" t="inlineStr">
        <is>
          <t>No</t>
        </is>
      </c>
      <c r="AU172">
        <f>HYPERLINK("https://creighton-primo.hosted.exlibrisgroup.com/primo-explore/search?tab=default_tab&amp;search_scope=EVERYTHING&amp;vid=01CRU&amp;lang=en_US&amp;offset=0&amp;query=any,contains,991002388209702656","Catalog Record")</f>
        <v/>
      </c>
      <c r="AV172">
        <f>HYPERLINK("http://www.worldcat.org/oclc/31023573","WorldCat Record")</f>
        <v/>
      </c>
      <c r="AW172" t="inlineStr">
        <is>
          <t>374208319:eng</t>
        </is>
      </c>
      <c r="AX172" t="inlineStr">
        <is>
          <t>31023573</t>
        </is>
      </c>
      <c r="AY172" t="inlineStr">
        <is>
          <t>991002388209702656</t>
        </is>
      </c>
      <c r="AZ172" t="inlineStr">
        <is>
          <t>991002388209702656</t>
        </is>
      </c>
      <c r="BA172" t="inlineStr">
        <is>
          <t>2266157530002656</t>
        </is>
      </c>
      <c r="BB172" t="inlineStr">
        <is>
          <t>BOOK</t>
        </is>
      </c>
      <c r="BD172" t="inlineStr">
        <is>
          <t>9781884125072</t>
        </is>
      </c>
      <c r="BE172" t="inlineStr">
        <is>
          <t>32285002174224</t>
        </is>
      </c>
      <c r="BF172" t="inlineStr">
        <is>
          <t>893322868</t>
        </is>
      </c>
    </row>
    <row r="173">
      <c r="B173" t="inlineStr">
        <is>
          <t>CURAL</t>
        </is>
      </c>
      <c r="C173" t="inlineStr">
        <is>
          <t>SHELVES</t>
        </is>
      </c>
      <c r="D173" t="inlineStr">
        <is>
          <t>QP301 .P384 1988, v.4</t>
        </is>
      </c>
      <c r="E173" t="inlineStr">
        <is>
          <t>0                      QP 0301000P  384         1988                                        v.4</t>
        </is>
      </c>
      <c r="F173" t="inlineStr">
        <is>
          <t>Ergogenics : enhancement of performance in exercise and sport / edited by David R. Lamb, Melvin H. Williams.</t>
        </is>
      </c>
      <c r="G173" t="inlineStr">
        <is>
          <t>V. 4</t>
        </is>
      </c>
      <c r="H173" t="inlineStr">
        <is>
          <t>No</t>
        </is>
      </c>
      <c r="I173" t="inlineStr">
        <is>
          <t>1</t>
        </is>
      </c>
      <c r="J173" t="inlineStr">
        <is>
          <t>No</t>
        </is>
      </c>
      <c r="K173" t="inlineStr">
        <is>
          <t>No</t>
        </is>
      </c>
      <c r="L173" t="inlineStr">
        <is>
          <t>0</t>
        </is>
      </c>
      <c r="N173" t="inlineStr">
        <is>
          <t>[Dubuque, Iowa?] : Brown &amp; Benchmark, c1991.</t>
        </is>
      </c>
      <c r="O173" t="inlineStr">
        <is>
          <t>1991</t>
        </is>
      </c>
      <c r="Q173" t="inlineStr">
        <is>
          <t>eng</t>
        </is>
      </c>
      <c r="R173" t="inlineStr">
        <is>
          <t>iau</t>
        </is>
      </c>
      <c r="S173" t="inlineStr">
        <is>
          <t>Perspectives in exercise science and sports medicine ; v. 4</t>
        </is>
      </c>
      <c r="T173" t="inlineStr">
        <is>
          <t xml:space="preserve">QP </t>
        </is>
      </c>
      <c r="U173" t="n">
        <v>20</v>
      </c>
      <c r="V173" t="n">
        <v>20</v>
      </c>
      <c r="W173" t="inlineStr">
        <is>
          <t>1999-11-18</t>
        </is>
      </c>
      <c r="X173" t="inlineStr">
        <is>
          <t>1999-11-18</t>
        </is>
      </c>
      <c r="Y173" t="inlineStr">
        <is>
          <t>1992-03-19</t>
        </is>
      </c>
      <c r="Z173" t="inlineStr">
        <is>
          <t>1992-03-19</t>
        </is>
      </c>
      <c r="AA173" t="n">
        <v>76</v>
      </c>
      <c r="AB173" t="n">
        <v>56</v>
      </c>
      <c r="AC173" t="n">
        <v>108</v>
      </c>
      <c r="AD173" t="n">
        <v>2</v>
      </c>
      <c r="AE173" t="n">
        <v>2</v>
      </c>
      <c r="AF173" t="n">
        <v>1</v>
      </c>
      <c r="AG173" t="n">
        <v>5</v>
      </c>
      <c r="AH173" t="n">
        <v>0</v>
      </c>
      <c r="AI173" t="n">
        <v>3</v>
      </c>
      <c r="AJ173" t="n">
        <v>0</v>
      </c>
      <c r="AK173" t="n">
        <v>1</v>
      </c>
      <c r="AL173" t="n">
        <v>0</v>
      </c>
      <c r="AM173" t="n">
        <v>0</v>
      </c>
      <c r="AN173" t="n">
        <v>1</v>
      </c>
      <c r="AO173" t="n">
        <v>1</v>
      </c>
      <c r="AP173" t="n">
        <v>0</v>
      </c>
      <c r="AQ173" t="n">
        <v>0</v>
      </c>
      <c r="AR173" t="inlineStr">
        <is>
          <t>No</t>
        </is>
      </c>
      <c r="AS173" t="inlineStr">
        <is>
          <t>Yes</t>
        </is>
      </c>
      <c r="AT173">
        <f>HYPERLINK("http://catalog.hathitrust.org/Record/004533819","HathiTrust Record")</f>
        <v/>
      </c>
      <c r="AU173">
        <f>HYPERLINK("https://creighton-primo.hosted.exlibrisgroup.com/primo-explore/search?tab=default_tab&amp;search_scope=EVERYTHING&amp;vid=01CRU&amp;lang=en_US&amp;offset=0&amp;query=any,contains,991001902409702656","Catalog Record")</f>
        <v/>
      </c>
      <c r="AV173">
        <f>HYPERLINK("http://www.worldcat.org/oclc/25967173","WorldCat Record")</f>
        <v/>
      </c>
      <c r="AW173" t="inlineStr">
        <is>
          <t>375844708:eng</t>
        </is>
      </c>
      <c r="AX173" t="inlineStr">
        <is>
          <t>25967173</t>
        </is>
      </c>
      <c r="AY173" t="inlineStr">
        <is>
          <t>991001902409702656</t>
        </is>
      </c>
      <c r="AZ173" t="inlineStr">
        <is>
          <t>991001902409702656</t>
        </is>
      </c>
      <c r="BA173" t="inlineStr">
        <is>
          <t>2267788660002656</t>
        </is>
      </c>
      <c r="BB173" t="inlineStr">
        <is>
          <t>BOOK</t>
        </is>
      </c>
      <c r="BD173" t="inlineStr">
        <is>
          <t>9780697149770</t>
        </is>
      </c>
      <c r="BE173" t="inlineStr">
        <is>
          <t>32285001006245</t>
        </is>
      </c>
      <c r="BF173" t="inlineStr">
        <is>
          <t>893244506</t>
        </is>
      </c>
    </row>
    <row r="174">
      <c r="B174" t="inlineStr">
        <is>
          <t>CURAL</t>
        </is>
      </c>
      <c r="C174" t="inlineStr">
        <is>
          <t>SHELVES</t>
        </is>
      </c>
      <c r="D174" t="inlineStr">
        <is>
          <t>QP301 .P384 1988, v.5</t>
        </is>
      </c>
      <c r="E174" t="inlineStr">
        <is>
          <t>0                      QP 0301000P  384         1988                                        v.5</t>
        </is>
      </c>
      <c r="F174" t="inlineStr">
        <is>
          <t>Energy metabolism in exercise and sport / edited by David R. Lamb, Carl V. Gisolfi.</t>
        </is>
      </c>
      <c r="G174" t="inlineStr">
        <is>
          <t>V. 5</t>
        </is>
      </c>
      <c r="H174" t="inlineStr">
        <is>
          <t>No</t>
        </is>
      </c>
      <c r="I174" t="inlineStr">
        <is>
          <t>1</t>
        </is>
      </c>
      <c r="J174" t="inlineStr">
        <is>
          <t>No</t>
        </is>
      </c>
      <c r="K174" t="inlineStr">
        <is>
          <t>No</t>
        </is>
      </c>
      <c r="L174" t="inlineStr">
        <is>
          <t>0</t>
        </is>
      </c>
      <c r="N174" t="inlineStr">
        <is>
          <t>Dubuque, IA : Brown &amp; Benchmark, c1992.</t>
        </is>
      </c>
      <c r="O174" t="inlineStr">
        <is>
          <t>1992</t>
        </is>
      </c>
      <c r="Q174" t="inlineStr">
        <is>
          <t>eng</t>
        </is>
      </c>
      <c r="R174" t="inlineStr">
        <is>
          <t>iau</t>
        </is>
      </c>
      <c r="S174" t="inlineStr">
        <is>
          <t>Perspectives in exercise science and sports medicine ; v. 5</t>
        </is>
      </c>
      <c r="T174" t="inlineStr">
        <is>
          <t xml:space="preserve">QP </t>
        </is>
      </c>
      <c r="U174" t="n">
        <v>10</v>
      </c>
      <c r="V174" t="n">
        <v>10</v>
      </c>
      <c r="W174" t="inlineStr">
        <is>
          <t>1999-10-05</t>
        </is>
      </c>
      <c r="X174" t="inlineStr">
        <is>
          <t>1999-10-05</t>
        </is>
      </c>
      <c r="Y174" t="inlineStr">
        <is>
          <t>1992-10-15</t>
        </is>
      </c>
      <c r="Z174" t="inlineStr">
        <is>
          <t>1992-10-15</t>
        </is>
      </c>
      <c r="AA174" t="n">
        <v>97</v>
      </c>
      <c r="AB174" t="n">
        <v>78</v>
      </c>
      <c r="AC174" t="n">
        <v>111</v>
      </c>
      <c r="AD174" t="n">
        <v>2</v>
      </c>
      <c r="AE174" t="n">
        <v>2</v>
      </c>
      <c r="AF174" t="n">
        <v>3</v>
      </c>
      <c r="AG174" t="n">
        <v>5</v>
      </c>
      <c r="AH174" t="n">
        <v>1</v>
      </c>
      <c r="AI174" t="n">
        <v>2</v>
      </c>
      <c r="AJ174" t="n">
        <v>0</v>
      </c>
      <c r="AK174" t="n">
        <v>1</v>
      </c>
      <c r="AL174" t="n">
        <v>1</v>
      </c>
      <c r="AM174" t="n">
        <v>1</v>
      </c>
      <c r="AN174" t="n">
        <v>1</v>
      </c>
      <c r="AO174" t="n">
        <v>1</v>
      </c>
      <c r="AP174" t="n">
        <v>0</v>
      </c>
      <c r="AQ174" t="n">
        <v>0</v>
      </c>
      <c r="AR174" t="inlineStr">
        <is>
          <t>No</t>
        </is>
      </c>
      <c r="AS174" t="inlineStr">
        <is>
          <t>Yes</t>
        </is>
      </c>
      <c r="AT174">
        <f>HYPERLINK("http://catalog.hathitrust.org/Record/002619891","HathiTrust Record")</f>
        <v/>
      </c>
      <c r="AU174">
        <f>HYPERLINK("https://creighton-primo.hosted.exlibrisgroup.com/primo-explore/search?tab=default_tab&amp;search_scope=EVERYTHING&amp;vid=01CRU&amp;lang=en_US&amp;offset=0&amp;query=any,contains,991002053679702656","Catalog Record")</f>
        <v/>
      </c>
      <c r="AV174">
        <f>HYPERLINK("http://www.worldcat.org/oclc/28427509","WorldCat Record")</f>
        <v/>
      </c>
      <c r="AW174" t="inlineStr">
        <is>
          <t>476567139:eng</t>
        </is>
      </c>
      <c r="AX174" t="inlineStr">
        <is>
          <t>28427509</t>
        </is>
      </c>
      <c r="AY174" t="inlineStr">
        <is>
          <t>991002053679702656</t>
        </is>
      </c>
      <c r="AZ174" t="inlineStr">
        <is>
          <t>991002053679702656</t>
        </is>
      </c>
      <c r="BA174" t="inlineStr">
        <is>
          <t>2254869680002656</t>
        </is>
      </c>
      <c r="BB174" t="inlineStr">
        <is>
          <t>BOOK</t>
        </is>
      </c>
      <c r="BD174" t="inlineStr">
        <is>
          <t>9780697162755</t>
        </is>
      </c>
      <c r="BE174" t="inlineStr">
        <is>
          <t>32285001319044</t>
        </is>
      </c>
      <c r="BF174" t="inlineStr">
        <is>
          <t>893773162</t>
        </is>
      </c>
    </row>
    <row r="175">
      <c r="B175" t="inlineStr">
        <is>
          <t>CURAL</t>
        </is>
      </c>
      <c r="C175" t="inlineStr">
        <is>
          <t>SHELVES</t>
        </is>
      </c>
      <c r="D175" t="inlineStr">
        <is>
          <t>QP301 .P384 1988, v.6</t>
        </is>
      </c>
      <c r="E175" t="inlineStr">
        <is>
          <t>0                      QP 0301000P  384         1988                                        v.6</t>
        </is>
      </c>
      <c r="F175" t="inlineStr">
        <is>
          <t>Exercise, heat, and thermoregulation / edited by Carl V. Gisolfi, David R. Lamb, Ethan R. Nadel.</t>
        </is>
      </c>
      <c r="G175" t="inlineStr">
        <is>
          <t>V. 6</t>
        </is>
      </c>
      <c r="H175" t="inlineStr">
        <is>
          <t>No</t>
        </is>
      </c>
      <c r="I175" t="inlineStr">
        <is>
          <t>1</t>
        </is>
      </c>
      <c r="J175" t="inlineStr">
        <is>
          <t>No</t>
        </is>
      </c>
      <c r="K175" t="inlineStr">
        <is>
          <t>No</t>
        </is>
      </c>
      <c r="L175" t="inlineStr">
        <is>
          <t>0</t>
        </is>
      </c>
      <c r="N175" t="inlineStr">
        <is>
          <t>Dubuque, IA : Brown &amp; Benchmark, c1993.</t>
        </is>
      </c>
      <c r="O175" t="inlineStr">
        <is>
          <t>1993</t>
        </is>
      </c>
      <c r="Q175" t="inlineStr">
        <is>
          <t>eng</t>
        </is>
      </c>
      <c r="R175" t="inlineStr">
        <is>
          <t>xxu</t>
        </is>
      </c>
      <c r="S175" t="inlineStr">
        <is>
          <t>Perspectives in exercise science and sports medicine ; v. 6</t>
        </is>
      </c>
      <c r="T175" t="inlineStr">
        <is>
          <t xml:space="preserve">QP </t>
        </is>
      </c>
      <c r="U175" t="n">
        <v>3</v>
      </c>
      <c r="V175" t="n">
        <v>3</v>
      </c>
      <c r="W175" t="inlineStr">
        <is>
          <t>1999-10-08</t>
        </is>
      </c>
      <c r="X175" t="inlineStr">
        <is>
          <t>1999-10-08</t>
        </is>
      </c>
      <c r="Y175" t="inlineStr">
        <is>
          <t>1996-11-13</t>
        </is>
      </c>
      <c r="Z175" t="inlineStr">
        <is>
          <t>1996-11-13</t>
        </is>
      </c>
      <c r="AA175" t="n">
        <v>74</v>
      </c>
      <c r="AB175" t="n">
        <v>58</v>
      </c>
      <c r="AC175" t="n">
        <v>85</v>
      </c>
      <c r="AD175" t="n">
        <v>1</v>
      </c>
      <c r="AE175" t="n">
        <v>1</v>
      </c>
      <c r="AF175" t="n">
        <v>1</v>
      </c>
      <c r="AG175" t="n">
        <v>3</v>
      </c>
      <c r="AH175" t="n">
        <v>0</v>
      </c>
      <c r="AI175" t="n">
        <v>1</v>
      </c>
      <c r="AJ175" t="n">
        <v>0</v>
      </c>
      <c r="AK175" t="n">
        <v>1</v>
      </c>
      <c r="AL175" t="n">
        <v>1</v>
      </c>
      <c r="AM175" t="n">
        <v>1</v>
      </c>
      <c r="AN175" t="n">
        <v>0</v>
      </c>
      <c r="AO175" t="n">
        <v>0</v>
      </c>
      <c r="AP175" t="n">
        <v>0</v>
      </c>
      <c r="AQ175" t="n">
        <v>0</v>
      </c>
      <c r="AR175" t="inlineStr">
        <is>
          <t>No</t>
        </is>
      </c>
      <c r="AS175" t="inlineStr">
        <is>
          <t>Yes</t>
        </is>
      </c>
      <c r="AT175">
        <f>HYPERLINK("http://catalog.hathitrust.org/Record/004533815","HathiTrust Record")</f>
        <v/>
      </c>
      <c r="AU175">
        <f>HYPERLINK("https://creighton-primo.hosted.exlibrisgroup.com/primo-explore/search?tab=default_tab&amp;search_scope=EVERYTHING&amp;vid=01CRU&amp;lang=en_US&amp;offset=0&amp;query=any,contains,991002252939702656","Catalog Record")</f>
        <v/>
      </c>
      <c r="AV175">
        <f>HYPERLINK("http://www.worldcat.org/oclc/29184547","WorldCat Record")</f>
        <v/>
      </c>
      <c r="AW175" t="inlineStr">
        <is>
          <t>347975297:eng</t>
        </is>
      </c>
      <c r="AX175" t="inlineStr">
        <is>
          <t>29184547</t>
        </is>
      </c>
      <c r="AY175" t="inlineStr">
        <is>
          <t>991002252939702656</t>
        </is>
      </c>
      <c r="AZ175" t="inlineStr">
        <is>
          <t>991002252939702656</t>
        </is>
      </c>
      <c r="BA175" t="inlineStr">
        <is>
          <t>2263547260002656</t>
        </is>
      </c>
      <c r="BB175" t="inlineStr">
        <is>
          <t>BOOK</t>
        </is>
      </c>
      <c r="BD175" t="inlineStr">
        <is>
          <t>9780697204929</t>
        </is>
      </c>
      <c r="BE175" t="inlineStr">
        <is>
          <t>32285002372174</t>
        </is>
      </c>
      <c r="BF175" t="inlineStr">
        <is>
          <t>893685145</t>
        </is>
      </c>
    </row>
    <row r="176">
      <c r="B176" t="inlineStr">
        <is>
          <t>CURAL</t>
        </is>
      </c>
      <c r="C176" t="inlineStr">
        <is>
          <t>SHELVES</t>
        </is>
      </c>
      <c r="D176" t="inlineStr">
        <is>
          <t>QP301 .P384 1988, v.8</t>
        </is>
      </c>
      <c r="E176" t="inlineStr">
        <is>
          <t>0                      QP 0301000P  384         1988                                        v.8</t>
        </is>
      </c>
      <c r="F176" t="inlineStr">
        <is>
          <t>Exercise in older adults / edited by Carl V. Gisolfi, David R. Lamb, Ethan Nadel.</t>
        </is>
      </c>
      <c r="G176" t="inlineStr">
        <is>
          <t>V. 8</t>
        </is>
      </c>
      <c r="H176" t="inlineStr">
        <is>
          <t>No</t>
        </is>
      </c>
      <c r="I176" t="inlineStr">
        <is>
          <t>1</t>
        </is>
      </c>
      <c r="J176" t="inlineStr">
        <is>
          <t>No</t>
        </is>
      </c>
      <c r="K176" t="inlineStr">
        <is>
          <t>No</t>
        </is>
      </c>
      <c r="L176" t="inlineStr">
        <is>
          <t>0</t>
        </is>
      </c>
      <c r="N176" t="inlineStr">
        <is>
          <t>Carmel, IN : Cooper Publishing Group, c1995.</t>
        </is>
      </c>
      <c r="O176" t="inlineStr">
        <is>
          <t>1995</t>
        </is>
      </c>
      <c r="Q176" t="inlineStr">
        <is>
          <t>eng</t>
        </is>
      </c>
      <c r="R176" t="inlineStr">
        <is>
          <t>inu</t>
        </is>
      </c>
      <c r="S176" t="inlineStr">
        <is>
          <t>Perspectives in exercise science and sports medicine ; v. 8</t>
        </is>
      </c>
      <c r="T176" t="inlineStr">
        <is>
          <t xml:space="preserve">QP </t>
        </is>
      </c>
      <c r="U176" t="n">
        <v>5</v>
      </c>
      <c r="V176" t="n">
        <v>5</v>
      </c>
      <c r="W176" t="inlineStr">
        <is>
          <t>2001-10-01</t>
        </is>
      </c>
      <c r="X176" t="inlineStr">
        <is>
          <t>2001-10-01</t>
        </is>
      </c>
      <c r="Y176" t="inlineStr">
        <is>
          <t>1995-08-14</t>
        </is>
      </c>
      <c r="Z176" t="inlineStr">
        <is>
          <t>1995-08-14</t>
        </is>
      </c>
      <c r="AA176" t="n">
        <v>119</v>
      </c>
      <c r="AB176" t="n">
        <v>93</v>
      </c>
      <c r="AC176" t="n">
        <v>108</v>
      </c>
      <c r="AD176" t="n">
        <v>0</v>
      </c>
      <c r="AE176" t="n">
        <v>0</v>
      </c>
      <c r="AF176" t="n">
        <v>2</v>
      </c>
      <c r="AG176" t="n">
        <v>3</v>
      </c>
      <c r="AH176" t="n">
        <v>2</v>
      </c>
      <c r="AI176" t="n">
        <v>2</v>
      </c>
      <c r="AJ176" t="n">
        <v>0</v>
      </c>
      <c r="AK176" t="n">
        <v>1</v>
      </c>
      <c r="AL176" t="n">
        <v>0</v>
      </c>
      <c r="AM176" t="n">
        <v>0</v>
      </c>
      <c r="AN176" t="n">
        <v>0</v>
      </c>
      <c r="AO176" t="n">
        <v>0</v>
      </c>
      <c r="AP176" t="n">
        <v>0</v>
      </c>
      <c r="AQ176" t="n">
        <v>0</v>
      </c>
      <c r="AR176" t="inlineStr">
        <is>
          <t>No</t>
        </is>
      </c>
      <c r="AS176" t="inlineStr">
        <is>
          <t>Yes</t>
        </is>
      </c>
      <c r="AT176">
        <f>HYPERLINK("http://catalog.hathitrust.org/Record/004539277","HathiTrust Record")</f>
        <v/>
      </c>
      <c r="AU176">
        <f>HYPERLINK("https://creighton-primo.hosted.exlibrisgroup.com/primo-explore/search?tab=default_tab&amp;search_scope=EVERYTHING&amp;vid=01CRU&amp;lang=en_US&amp;offset=0&amp;query=any,contains,991002521999702656","Catalog Record")</f>
        <v/>
      </c>
      <c r="AV176">
        <f>HYPERLINK("http://www.worldcat.org/oclc/35515542","WorldCat Record")</f>
        <v/>
      </c>
      <c r="AW176" t="inlineStr">
        <is>
          <t>1020768542:eng</t>
        </is>
      </c>
      <c r="AX176" t="inlineStr">
        <is>
          <t>35515542</t>
        </is>
      </c>
      <c r="AY176" t="inlineStr">
        <is>
          <t>991002521999702656</t>
        </is>
      </c>
      <c r="AZ176" t="inlineStr">
        <is>
          <t>991002521999702656</t>
        </is>
      </c>
      <c r="BA176" t="inlineStr">
        <is>
          <t>2261879320002656</t>
        </is>
      </c>
      <c r="BB176" t="inlineStr">
        <is>
          <t>BOOK</t>
        </is>
      </c>
      <c r="BD176" t="inlineStr">
        <is>
          <t>9781884125201</t>
        </is>
      </c>
      <c r="BE176" t="inlineStr">
        <is>
          <t>32285002077948</t>
        </is>
      </c>
      <c r="BF176" t="inlineStr">
        <is>
          <t>893233065</t>
        </is>
      </c>
    </row>
    <row r="177">
      <c r="B177" t="inlineStr">
        <is>
          <t>CURAL</t>
        </is>
      </c>
      <c r="C177" t="inlineStr">
        <is>
          <t>SHELVES</t>
        </is>
      </c>
      <c r="D177" t="inlineStr">
        <is>
          <t>QP301 .P57 1995</t>
        </is>
      </c>
      <c r="E177" t="inlineStr">
        <is>
          <t>0                      QP 0301000P  57          1995</t>
        </is>
      </c>
      <c r="F177" t="inlineStr">
        <is>
          <t>Physiological assessment of human fitness / [edited by] Peter J. Maud, Carl Foster.</t>
        </is>
      </c>
      <c r="H177" t="inlineStr">
        <is>
          <t>No</t>
        </is>
      </c>
      <c r="I177" t="inlineStr">
        <is>
          <t>1</t>
        </is>
      </c>
      <c r="J177" t="inlineStr">
        <is>
          <t>No</t>
        </is>
      </c>
      <c r="K177" t="inlineStr">
        <is>
          <t>No</t>
        </is>
      </c>
      <c r="L177" t="inlineStr">
        <is>
          <t>0</t>
        </is>
      </c>
      <c r="N177" t="inlineStr">
        <is>
          <t>Champaign, IL : Human Kinetics, c1995.</t>
        </is>
      </c>
      <c r="O177" t="inlineStr">
        <is>
          <t>1995</t>
        </is>
      </c>
      <c r="Q177" t="inlineStr">
        <is>
          <t>eng</t>
        </is>
      </c>
      <c r="R177" t="inlineStr">
        <is>
          <t>ilu</t>
        </is>
      </c>
      <c r="T177" t="inlineStr">
        <is>
          <t xml:space="preserve">QP </t>
        </is>
      </c>
      <c r="U177" t="n">
        <v>7</v>
      </c>
      <c r="V177" t="n">
        <v>7</v>
      </c>
      <c r="W177" t="inlineStr">
        <is>
          <t>1999-11-29</t>
        </is>
      </c>
      <c r="X177" t="inlineStr">
        <is>
          <t>1999-11-29</t>
        </is>
      </c>
      <c r="Y177" t="inlineStr">
        <is>
          <t>1995-11-14</t>
        </is>
      </c>
      <c r="Z177" t="inlineStr">
        <is>
          <t>1995-11-14</t>
        </is>
      </c>
      <c r="AA177" t="n">
        <v>586</v>
      </c>
      <c r="AB177" t="n">
        <v>435</v>
      </c>
      <c r="AC177" t="n">
        <v>603</v>
      </c>
      <c r="AD177" t="n">
        <v>4</v>
      </c>
      <c r="AE177" t="n">
        <v>6</v>
      </c>
      <c r="AF177" t="n">
        <v>19</v>
      </c>
      <c r="AG177" t="n">
        <v>25</v>
      </c>
      <c r="AH177" t="n">
        <v>8</v>
      </c>
      <c r="AI177" t="n">
        <v>12</v>
      </c>
      <c r="AJ177" t="n">
        <v>2</v>
      </c>
      <c r="AK177" t="n">
        <v>2</v>
      </c>
      <c r="AL177" t="n">
        <v>9</v>
      </c>
      <c r="AM177" t="n">
        <v>11</v>
      </c>
      <c r="AN177" t="n">
        <v>3</v>
      </c>
      <c r="AO177" t="n">
        <v>5</v>
      </c>
      <c r="AP177" t="n">
        <v>0</v>
      </c>
      <c r="AQ177" t="n">
        <v>0</v>
      </c>
      <c r="AR177" t="inlineStr">
        <is>
          <t>No</t>
        </is>
      </c>
      <c r="AS177" t="inlineStr">
        <is>
          <t>Yes</t>
        </is>
      </c>
      <c r="AT177">
        <f>HYPERLINK("http://catalog.hathitrust.org/Record/003107923","HathiTrust Record")</f>
        <v/>
      </c>
      <c r="AU177">
        <f>HYPERLINK("https://creighton-primo.hosted.exlibrisgroup.com/primo-explore/search?tab=default_tab&amp;search_scope=EVERYTHING&amp;vid=01CRU&amp;lang=en_US&amp;offset=0&amp;query=any,contains,991002410499702656","Catalog Record")</f>
        <v/>
      </c>
      <c r="AV177">
        <f>HYPERLINK("http://www.worldcat.org/oclc/31375570","WorldCat Record")</f>
        <v/>
      </c>
      <c r="AW177" t="inlineStr">
        <is>
          <t>353955343:eng</t>
        </is>
      </c>
      <c r="AX177" t="inlineStr">
        <is>
          <t>31375570</t>
        </is>
      </c>
      <c r="AY177" t="inlineStr">
        <is>
          <t>991002410499702656</t>
        </is>
      </c>
      <c r="AZ177" t="inlineStr">
        <is>
          <t>991002410499702656</t>
        </is>
      </c>
      <c r="BA177" t="inlineStr">
        <is>
          <t>2254754330002656</t>
        </is>
      </c>
      <c r="BB177" t="inlineStr">
        <is>
          <t>BOOK</t>
        </is>
      </c>
      <c r="BD177" t="inlineStr">
        <is>
          <t>9780873227766</t>
        </is>
      </c>
      <c r="BE177" t="inlineStr">
        <is>
          <t>32285002102613</t>
        </is>
      </c>
      <c r="BF177" t="inlineStr">
        <is>
          <t>893886242</t>
        </is>
      </c>
    </row>
    <row r="178">
      <c r="B178" t="inlineStr">
        <is>
          <t>CURAL</t>
        </is>
      </c>
      <c r="C178" t="inlineStr">
        <is>
          <t>SHELVES</t>
        </is>
      </c>
      <c r="D178" t="inlineStr">
        <is>
          <t>QP301 .R545 1997</t>
        </is>
      </c>
      <c r="E178" t="inlineStr">
        <is>
          <t>0                      QP 0301000R  545         1997</t>
        </is>
      </c>
      <c r="F178" t="inlineStr">
        <is>
          <t>Exercise physiology : exercise, performance, and clinical applications / Robert A. Robergs, Scott O. Roberts.</t>
        </is>
      </c>
      <c r="H178" t="inlineStr">
        <is>
          <t>No</t>
        </is>
      </c>
      <c r="I178" t="inlineStr">
        <is>
          <t>1</t>
        </is>
      </c>
      <c r="J178" t="inlineStr">
        <is>
          <t>No</t>
        </is>
      </c>
      <c r="K178" t="inlineStr">
        <is>
          <t>No</t>
        </is>
      </c>
      <c r="L178" t="inlineStr">
        <is>
          <t>0</t>
        </is>
      </c>
      <c r="M178" t="inlineStr">
        <is>
          <t>Robergs, Robert A.</t>
        </is>
      </c>
      <c r="N178" t="inlineStr">
        <is>
          <t>St. Louis : Mosby, c1997.</t>
        </is>
      </c>
      <c r="O178" t="inlineStr">
        <is>
          <t>1997</t>
        </is>
      </c>
      <c r="Q178" t="inlineStr">
        <is>
          <t>eng</t>
        </is>
      </c>
      <c r="R178" t="inlineStr">
        <is>
          <t>mou</t>
        </is>
      </c>
      <c r="T178" t="inlineStr">
        <is>
          <t xml:space="preserve">QP </t>
        </is>
      </c>
      <c r="U178" t="n">
        <v>18</v>
      </c>
      <c r="V178" t="n">
        <v>18</v>
      </c>
      <c r="W178" t="inlineStr">
        <is>
          <t>2009-10-26</t>
        </is>
      </c>
      <c r="X178" t="inlineStr">
        <is>
          <t>2009-10-26</t>
        </is>
      </c>
      <c r="Y178" t="inlineStr">
        <is>
          <t>1996-10-16</t>
        </is>
      </c>
      <c r="Z178" t="inlineStr">
        <is>
          <t>1996-10-16</t>
        </is>
      </c>
      <c r="AA178" t="n">
        <v>303</v>
      </c>
      <c r="AB178" t="n">
        <v>211</v>
      </c>
      <c r="AC178" t="n">
        <v>212</v>
      </c>
      <c r="AD178" t="n">
        <v>2</v>
      </c>
      <c r="AE178" t="n">
        <v>2</v>
      </c>
      <c r="AF178" t="n">
        <v>4</v>
      </c>
      <c r="AG178" t="n">
        <v>4</v>
      </c>
      <c r="AH178" t="n">
        <v>1</v>
      </c>
      <c r="AI178" t="n">
        <v>1</v>
      </c>
      <c r="AJ178" t="n">
        <v>1</v>
      </c>
      <c r="AK178" t="n">
        <v>1</v>
      </c>
      <c r="AL178" t="n">
        <v>2</v>
      </c>
      <c r="AM178" t="n">
        <v>2</v>
      </c>
      <c r="AN178" t="n">
        <v>1</v>
      </c>
      <c r="AO178" t="n">
        <v>1</v>
      </c>
      <c r="AP178" t="n">
        <v>0</v>
      </c>
      <c r="AQ178" t="n">
        <v>0</v>
      </c>
      <c r="AR178" t="inlineStr">
        <is>
          <t>No</t>
        </is>
      </c>
      <c r="AS178" t="inlineStr">
        <is>
          <t>No</t>
        </is>
      </c>
      <c r="AU178">
        <f>HYPERLINK("https://creighton-primo.hosted.exlibrisgroup.com/primo-explore/search?tab=default_tab&amp;search_scope=EVERYTHING&amp;vid=01CRU&amp;lang=en_US&amp;offset=0&amp;query=any,contains,991002636979702656","Catalog Record")</f>
        <v/>
      </c>
      <c r="AV178">
        <f>HYPERLINK("http://www.worldcat.org/oclc/34546079","WorldCat Record")</f>
        <v/>
      </c>
      <c r="AW178" t="inlineStr">
        <is>
          <t>797235659:eng</t>
        </is>
      </c>
      <c r="AX178" t="inlineStr">
        <is>
          <t>34546079</t>
        </is>
      </c>
      <c r="AY178" t="inlineStr">
        <is>
          <t>991002636979702656</t>
        </is>
      </c>
      <c r="AZ178" t="inlineStr">
        <is>
          <t>991002636979702656</t>
        </is>
      </c>
      <c r="BA178" t="inlineStr">
        <is>
          <t>2260929900002656</t>
        </is>
      </c>
      <c r="BB178" t="inlineStr">
        <is>
          <t>BOOK</t>
        </is>
      </c>
      <c r="BD178" t="inlineStr">
        <is>
          <t>9780815172413</t>
        </is>
      </c>
      <c r="BE178" t="inlineStr">
        <is>
          <t>32285002366432</t>
        </is>
      </c>
      <c r="BF178" t="inlineStr">
        <is>
          <t>893773842</t>
        </is>
      </c>
    </row>
    <row r="179">
      <c r="B179" t="inlineStr">
        <is>
          <t>CURAL</t>
        </is>
      </c>
      <c r="C179" t="inlineStr">
        <is>
          <t>SHELVES</t>
        </is>
      </c>
      <c r="D179" t="inlineStr">
        <is>
          <t>QP301 .S464 1981</t>
        </is>
      </c>
      <c r="E179" t="inlineStr">
        <is>
          <t>0                      QP 0301000S  464         1981</t>
        </is>
      </c>
      <c r="F179" t="inlineStr">
        <is>
          <t>Essentials of exercise physiology / Larry G. Shaver ; [artwork, Genesis 2 Inc. ; illustration and cover art, Genesis 2 Inc.]</t>
        </is>
      </c>
      <c r="H179" t="inlineStr">
        <is>
          <t>No</t>
        </is>
      </c>
      <c r="I179" t="inlineStr">
        <is>
          <t>1</t>
        </is>
      </c>
      <c r="J179" t="inlineStr">
        <is>
          <t>No</t>
        </is>
      </c>
      <c r="K179" t="inlineStr">
        <is>
          <t>No</t>
        </is>
      </c>
      <c r="L179" t="inlineStr">
        <is>
          <t>0</t>
        </is>
      </c>
      <c r="M179" t="inlineStr">
        <is>
          <t>Shaver, Larry G.</t>
        </is>
      </c>
      <c r="N179" t="inlineStr">
        <is>
          <t>New York : Macmillan Pub. Co., c1981.</t>
        </is>
      </c>
      <c r="O179" t="inlineStr">
        <is>
          <t>1981</t>
        </is>
      </c>
      <c r="Q179" t="inlineStr">
        <is>
          <t>eng</t>
        </is>
      </c>
      <c r="R179" t="inlineStr">
        <is>
          <t>mnu</t>
        </is>
      </c>
      <c r="T179" t="inlineStr">
        <is>
          <t xml:space="preserve">QP </t>
        </is>
      </c>
      <c r="U179" t="n">
        <v>8</v>
      </c>
      <c r="V179" t="n">
        <v>8</v>
      </c>
      <c r="W179" t="inlineStr">
        <is>
          <t>2008-10-14</t>
        </is>
      </c>
      <c r="X179" t="inlineStr">
        <is>
          <t>2008-10-14</t>
        </is>
      </c>
      <c r="Y179" t="inlineStr">
        <is>
          <t>1990-08-01</t>
        </is>
      </c>
      <c r="Z179" t="inlineStr">
        <is>
          <t>1990-08-01</t>
        </is>
      </c>
      <c r="AA179" t="n">
        <v>232</v>
      </c>
      <c r="AB179" t="n">
        <v>185</v>
      </c>
      <c r="AC179" t="n">
        <v>187</v>
      </c>
      <c r="AD179" t="n">
        <v>4</v>
      </c>
      <c r="AE179" t="n">
        <v>4</v>
      </c>
      <c r="AF179" t="n">
        <v>7</v>
      </c>
      <c r="AG179" t="n">
        <v>7</v>
      </c>
      <c r="AH179" t="n">
        <v>3</v>
      </c>
      <c r="AI179" t="n">
        <v>3</v>
      </c>
      <c r="AJ179" t="n">
        <v>0</v>
      </c>
      <c r="AK179" t="n">
        <v>0</v>
      </c>
      <c r="AL179" t="n">
        <v>2</v>
      </c>
      <c r="AM179" t="n">
        <v>2</v>
      </c>
      <c r="AN179" t="n">
        <v>3</v>
      </c>
      <c r="AO179" t="n">
        <v>3</v>
      </c>
      <c r="AP179" t="n">
        <v>0</v>
      </c>
      <c r="AQ179" t="n">
        <v>0</v>
      </c>
      <c r="AR179" t="inlineStr">
        <is>
          <t>No</t>
        </is>
      </c>
      <c r="AS179" t="inlineStr">
        <is>
          <t>No</t>
        </is>
      </c>
      <c r="AU179">
        <f>HYPERLINK("https://creighton-primo.hosted.exlibrisgroup.com/primo-explore/search?tab=default_tab&amp;search_scope=EVERYTHING&amp;vid=01CRU&amp;lang=en_US&amp;offset=0&amp;query=any,contains,991005084799702656","Catalog Record")</f>
        <v/>
      </c>
      <c r="AV179">
        <f>HYPERLINK("http://www.worldcat.org/oclc/7182719","WorldCat Record")</f>
        <v/>
      </c>
      <c r="AW179" t="inlineStr">
        <is>
          <t>398774:eng</t>
        </is>
      </c>
      <c r="AX179" t="inlineStr">
        <is>
          <t>7182719</t>
        </is>
      </c>
      <c r="AY179" t="inlineStr">
        <is>
          <t>991005084799702656</t>
        </is>
      </c>
      <c r="AZ179" t="inlineStr">
        <is>
          <t>991005084799702656</t>
        </is>
      </c>
      <c r="BA179" t="inlineStr">
        <is>
          <t>2255416690002656</t>
        </is>
      </c>
      <c r="BB179" t="inlineStr">
        <is>
          <t>BOOK</t>
        </is>
      </c>
      <c r="BD179" t="inlineStr">
        <is>
          <t>9780808742005</t>
        </is>
      </c>
      <c r="BE179" t="inlineStr">
        <is>
          <t>32285000209980</t>
        </is>
      </c>
      <c r="BF179" t="inlineStr">
        <is>
          <t>893795581</t>
        </is>
      </c>
    </row>
    <row r="180">
      <c r="B180" t="inlineStr">
        <is>
          <t>CURAL</t>
        </is>
      </c>
      <c r="C180" t="inlineStr">
        <is>
          <t>SHELVES</t>
        </is>
      </c>
      <c r="D180" t="inlineStr">
        <is>
          <t>QP301 .S468 1994</t>
        </is>
      </c>
      <c r="E180" t="inlineStr">
        <is>
          <t>0                      QP 0301000S  468         1994</t>
        </is>
      </c>
      <c r="F180" t="inlineStr">
        <is>
          <t>Aerobic fitness &amp; health / Roy J. Shephard.</t>
        </is>
      </c>
      <c r="H180" t="inlineStr">
        <is>
          <t>No</t>
        </is>
      </c>
      <c r="I180" t="inlineStr">
        <is>
          <t>1</t>
        </is>
      </c>
      <c r="J180" t="inlineStr">
        <is>
          <t>No</t>
        </is>
      </c>
      <c r="K180" t="inlineStr">
        <is>
          <t>No</t>
        </is>
      </c>
      <c r="L180" t="inlineStr">
        <is>
          <t>0</t>
        </is>
      </c>
      <c r="M180" t="inlineStr">
        <is>
          <t>Shephard, Roy J.</t>
        </is>
      </c>
      <c r="N180" t="inlineStr">
        <is>
          <t>Champaign, IL : Human Kinetics, c1994.</t>
        </is>
      </c>
      <c r="O180" t="inlineStr">
        <is>
          <t>1994</t>
        </is>
      </c>
      <c r="Q180" t="inlineStr">
        <is>
          <t>eng</t>
        </is>
      </c>
      <c r="R180" t="inlineStr">
        <is>
          <t>ilu</t>
        </is>
      </c>
      <c r="T180" t="inlineStr">
        <is>
          <t xml:space="preserve">QP </t>
        </is>
      </c>
      <c r="U180" t="n">
        <v>45</v>
      </c>
      <c r="V180" t="n">
        <v>45</v>
      </c>
      <c r="W180" t="inlineStr">
        <is>
          <t>2004-02-18</t>
        </is>
      </c>
      <c r="X180" t="inlineStr">
        <is>
          <t>2004-02-18</t>
        </is>
      </c>
      <c r="Y180" t="inlineStr">
        <is>
          <t>1994-04-05</t>
        </is>
      </c>
      <c r="Z180" t="inlineStr">
        <is>
          <t>1994-04-05</t>
        </is>
      </c>
      <c r="AA180" t="n">
        <v>637</v>
      </c>
      <c r="AB180" t="n">
        <v>487</v>
      </c>
      <c r="AC180" t="n">
        <v>494</v>
      </c>
      <c r="AD180" t="n">
        <v>6</v>
      </c>
      <c r="AE180" t="n">
        <v>6</v>
      </c>
      <c r="AF180" t="n">
        <v>18</v>
      </c>
      <c r="AG180" t="n">
        <v>18</v>
      </c>
      <c r="AH180" t="n">
        <v>9</v>
      </c>
      <c r="AI180" t="n">
        <v>9</v>
      </c>
      <c r="AJ180" t="n">
        <v>2</v>
      </c>
      <c r="AK180" t="n">
        <v>2</v>
      </c>
      <c r="AL180" t="n">
        <v>5</v>
      </c>
      <c r="AM180" t="n">
        <v>5</v>
      </c>
      <c r="AN180" t="n">
        <v>5</v>
      </c>
      <c r="AO180" t="n">
        <v>5</v>
      </c>
      <c r="AP180" t="n">
        <v>0</v>
      </c>
      <c r="AQ180" t="n">
        <v>0</v>
      </c>
      <c r="AR180" t="inlineStr">
        <is>
          <t>No</t>
        </is>
      </c>
      <c r="AS180" t="inlineStr">
        <is>
          <t>Yes</t>
        </is>
      </c>
      <c r="AT180">
        <f>HYPERLINK("http://catalog.hathitrust.org/Record/002868683","HathiTrust Record")</f>
        <v/>
      </c>
      <c r="AU180">
        <f>HYPERLINK("https://creighton-primo.hosted.exlibrisgroup.com/primo-explore/search?tab=default_tab&amp;search_scope=EVERYTHING&amp;vid=01CRU&amp;lang=en_US&amp;offset=0&amp;query=any,contains,991002146999702656","Catalog Record")</f>
        <v/>
      </c>
      <c r="AV180">
        <f>HYPERLINK("http://www.worldcat.org/oclc/27677399","WorldCat Record")</f>
        <v/>
      </c>
      <c r="AW180" t="inlineStr">
        <is>
          <t>375475:eng</t>
        </is>
      </c>
      <c r="AX180" t="inlineStr">
        <is>
          <t>27677399</t>
        </is>
      </c>
      <c r="AY180" t="inlineStr">
        <is>
          <t>991002146999702656</t>
        </is>
      </c>
      <c r="AZ180" t="inlineStr">
        <is>
          <t>991002146999702656</t>
        </is>
      </c>
      <c r="BA180" t="inlineStr">
        <is>
          <t>2262403160002656</t>
        </is>
      </c>
      <c r="BB180" t="inlineStr">
        <is>
          <t>BOOK</t>
        </is>
      </c>
      <c r="BD180" t="inlineStr">
        <is>
          <t>9780873224178</t>
        </is>
      </c>
      <c r="BE180" t="inlineStr">
        <is>
          <t>32285001859247</t>
        </is>
      </c>
      <c r="BF180" t="inlineStr">
        <is>
          <t>893523247</t>
        </is>
      </c>
    </row>
    <row r="181">
      <c r="B181" t="inlineStr">
        <is>
          <t>CURAL</t>
        </is>
      </c>
      <c r="C181" t="inlineStr">
        <is>
          <t>SHELVES</t>
        </is>
      </c>
      <c r="D181" t="inlineStr">
        <is>
          <t>QP301 .S48</t>
        </is>
      </c>
      <c r="E181" t="inlineStr">
        <is>
          <t>0                      QP 0301000S  48</t>
        </is>
      </c>
      <c r="F181" t="inlineStr">
        <is>
          <t>Endurance fitness / [by] Roy J. Shephard.</t>
        </is>
      </c>
      <c r="H181" t="inlineStr">
        <is>
          <t>No</t>
        </is>
      </c>
      <c r="I181" t="inlineStr">
        <is>
          <t>1</t>
        </is>
      </c>
      <c r="J181" t="inlineStr">
        <is>
          <t>No</t>
        </is>
      </c>
      <c r="K181" t="inlineStr">
        <is>
          <t>No</t>
        </is>
      </c>
      <c r="L181" t="inlineStr">
        <is>
          <t>0</t>
        </is>
      </c>
      <c r="M181" t="inlineStr">
        <is>
          <t>Shephard, Roy J.</t>
        </is>
      </c>
      <c r="N181" t="inlineStr">
        <is>
          <t>[Toronto] : Univ. of Toronto Press, [1969]</t>
        </is>
      </c>
      <c r="O181" t="inlineStr">
        <is>
          <t>1969</t>
        </is>
      </c>
      <c r="Q181" t="inlineStr">
        <is>
          <t>eng</t>
        </is>
      </c>
      <c r="R181" t="inlineStr">
        <is>
          <t>onc</t>
        </is>
      </c>
      <c r="T181" t="inlineStr">
        <is>
          <t xml:space="preserve">QP </t>
        </is>
      </c>
      <c r="U181" t="n">
        <v>4</v>
      </c>
      <c r="V181" t="n">
        <v>4</v>
      </c>
      <c r="W181" t="inlineStr">
        <is>
          <t>1998-03-28</t>
        </is>
      </c>
      <c r="X181" t="inlineStr">
        <is>
          <t>1998-03-28</t>
        </is>
      </c>
      <c r="Y181" t="inlineStr">
        <is>
          <t>1993-11-29</t>
        </is>
      </c>
      <c r="Z181" t="inlineStr">
        <is>
          <t>1993-11-29</t>
        </is>
      </c>
      <c r="AA181" t="n">
        <v>293</v>
      </c>
      <c r="AB181" t="n">
        <v>239</v>
      </c>
      <c r="AC181" t="n">
        <v>496</v>
      </c>
      <c r="AD181" t="n">
        <v>5</v>
      </c>
      <c r="AE181" t="n">
        <v>6</v>
      </c>
      <c r="AF181" t="n">
        <v>11</v>
      </c>
      <c r="AG181" t="n">
        <v>22</v>
      </c>
      <c r="AH181" t="n">
        <v>4</v>
      </c>
      <c r="AI181" t="n">
        <v>9</v>
      </c>
      <c r="AJ181" t="n">
        <v>3</v>
      </c>
      <c r="AK181" t="n">
        <v>7</v>
      </c>
      <c r="AL181" t="n">
        <v>2</v>
      </c>
      <c r="AM181" t="n">
        <v>7</v>
      </c>
      <c r="AN181" t="n">
        <v>4</v>
      </c>
      <c r="AO181" t="n">
        <v>5</v>
      </c>
      <c r="AP181" t="n">
        <v>0</v>
      </c>
      <c r="AQ181" t="n">
        <v>0</v>
      </c>
      <c r="AR181" t="inlineStr">
        <is>
          <t>No</t>
        </is>
      </c>
      <c r="AS181" t="inlineStr">
        <is>
          <t>Yes</t>
        </is>
      </c>
      <c r="AT181">
        <f>HYPERLINK("http://catalog.hathitrust.org/Record/001554348","HathiTrust Record")</f>
        <v/>
      </c>
      <c r="AU181">
        <f>HYPERLINK("https://creighton-primo.hosted.exlibrisgroup.com/primo-explore/search?tab=default_tab&amp;search_scope=EVERYTHING&amp;vid=01CRU&amp;lang=en_US&amp;offset=0&amp;query=any,contains,991000062979702656","Catalog Record")</f>
        <v/>
      </c>
      <c r="AV181">
        <f>HYPERLINK("http://www.worldcat.org/oclc/25406","WorldCat Record")</f>
        <v/>
      </c>
      <c r="AW181" t="inlineStr">
        <is>
          <t>1164960:eng</t>
        </is>
      </c>
      <c r="AX181" t="inlineStr">
        <is>
          <t>25406</t>
        </is>
      </c>
      <c r="AY181" t="inlineStr">
        <is>
          <t>991000062979702656</t>
        </is>
      </c>
      <c r="AZ181" t="inlineStr">
        <is>
          <t>991000062979702656</t>
        </is>
      </c>
      <c r="BA181" t="inlineStr">
        <is>
          <t>2268573930002656</t>
        </is>
      </c>
      <c r="BB181" t="inlineStr">
        <is>
          <t>BOOK</t>
        </is>
      </c>
      <c r="BD181" t="inlineStr">
        <is>
          <t>9780802016010</t>
        </is>
      </c>
      <c r="BE181" t="inlineStr">
        <is>
          <t>32285001813988</t>
        </is>
      </c>
      <c r="BF181" t="inlineStr">
        <is>
          <t>893230842</t>
        </is>
      </c>
    </row>
    <row r="182">
      <c r="B182" t="inlineStr">
        <is>
          <t>CURAL</t>
        </is>
      </c>
      <c r="C182" t="inlineStr">
        <is>
          <t>SHELVES</t>
        </is>
      </c>
      <c r="D182" t="inlineStr">
        <is>
          <t>QP301 .S484 1987</t>
        </is>
      </c>
      <c r="E182" t="inlineStr">
        <is>
          <t>0                      QP 0301000S  484         1987</t>
        </is>
      </c>
      <c r="F182" t="inlineStr">
        <is>
          <t>Exercise physiology / Roy J. Shephard.</t>
        </is>
      </c>
      <c r="H182" t="inlineStr">
        <is>
          <t>No</t>
        </is>
      </c>
      <c r="I182" t="inlineStr">
        <is>
          <t>1</t>
        </is>
      </c>
      <c r="J182" t="inlineStr">
        <is>
          <t>Yes</t>
        </is>
      </c>
      <c r="K182" t="inlineStr">
        <is>
          <t>No</t>
        </is>
      </c>
      <c r="L182" t="inlineStr">
        <is>
          <t>0</t>
        </is>
      </c>
      <c r="M182" t="inlineStr">
        <is>
          <t>Shephard, Roy J.</t>
        </is>
      </c>
      <c r="N182" t="inlineStr">
        <is>
          <t>Toronto ; Philadelphia : B.C. Decker ; Saint Louis, Mo. : Sales and distribution C.V. Mosby Co., 1987.</t>
        </is>
      </c>
      <c r="O182" t="inlineStr">
        <is>
          <t>1987</t>
        </is>
      </c>
      <c r="Q182" t="inlineStr">
        <is>
          <t>eng</t>
        </is>
      </c>
      <c r="R182" t="inlineStr">
        <is>
          <t>onc</t>
        </is>
      </c>
      <c r="T182" t="inlineStr">
        <is>
          <t xml:space="preserve">QP </t>
        </is>
      </c>
      <c r="U182" t="n">
        <v>10</v>
      </c>
      <c r="V182" t="n">
        <v>28</v>
      </c>
      <c r="W182" t="inlineStr">
        <is>
          <t>1998-04-14</t>
        </is>
      </c>
      <c r="X182" t="inlineStr">
        <is>
          <t>2003-06-06</t>
        </is>
      </c>
      <c r="Y182" t="inlineStr">
        <is>
          <t>1993-02-26</t>
        </is>
      </c>
      <c r="Z182" t="inlineStr">
        <is>
          <t>1993-02-26</t>
        </is>
      </c>
      <c r="AA182" t="n">
        <v>252</v>
      </c>
      <c r="AB182" t="n">
        <v>187</v>
      </c>
      <c r="AC182" t="n">
        <v>190</v>
      </c>
      <c r="AD182" t="n">
        <v>3</v>
      </c>
      <c r="AE182" t="n">
        <v>3</v>
      </c>
      <c r="AF182" t="n">
        <v>8</v>
      </c>
      <c r="AG182" t="n">
        <v>8</v>
      </c>
      <c r="AH182" t="n">
        <v>5</v>
      </c>
      <c r="AI182" t="n">
        <v>5</v>
      </c>
      <c r="AJ182" t="n">
        <v>1</v>
      </c>
      <c r="AK182" t="n">
        <v>1</v>
      </c>
      <c r="AL182" t="n">
        <v>3</v>
      </c>
      <c r="AM182" t="n">
        <v>3</v>
      </c>
      <c r="AN182" t="n">
        <v>1</v>
      </c>
      <c r="AO182" t="n">
        <v>1</v>
      </c>
      <c r="AP182" t="n">
        <v>0</v>
      </c>
      <c r="AQ182" t="n">
        <v>0</v>
      </c>
      <c r="AR182" t="inlineStr">
        <is>
          <t>No</t>
        </is>
      </c>
      <c r="AS182" t="inlineStr">
        <is>
          <t>Yes</t>
        </is>
      </c>
      <c r="AT182">
        <f>HYPERLINK("http://catalog.hathitrust.org/Record/001828288","HathiTrust Record")</f>
        <v/>
      </c>
      <c r="AU182">
        <f>HYPERLINK("https://creighton-primo.hosted.exlibrisgroup.com/primo-explore/search?tab=default_tab&amp;search_scope=EVERYTHING&amp;vid=01CRU&amp;lang=en_US&amp;offset=0&amp;query=any,contains,991001789879702656","Catalog Record")</f>
        <v/>
      </c>
      <c r="AV182">
        <f>HYPERLINK("http://www.worldcat.org/oclc/17153236","WorldCat Record")</f>
        <v/>
      </c>
      <c r="AW182" t="inlineStr">
        <is>
          <t>3943478994:eng</t>
        </is>
      </c>
      <c r="AX182" t="inlineStr">
        <is>
          <t>17153236</t>
        </is>
      </c>
      <c r="AY182" t="inlineStr">
        <is>
          <t>991001789879702656</t>
        </is>
      </c>
      <c r="AZ182" t="inlineStr">
        <is>
          <t>991001789879702656</t>
        </is>
      </c>
      <c r="BA182" t="inlineStr">
        <is>
          <t>2258314300002656</t>
        </is>
      </c>
      <c r="BB182" t="inlineStr">
        <is>
          <t>BOOK</t>
        </is>
      </c>
      <c r="BD182" t="inlineStr">
        <is>
          <t>9780941158909</t>
        </is>
      </c>
      <c r="BE182" t="inlineStr">
        <is>
          <t>32285001560704</t>
        </is>
      </c>
      <c r="BF182" t="inlineStr">
        <is>
          <t>893879182</t>
        </is>
      </c>
    </row>
    <row r="183">
      <c r="B183" t="inlineStr">
        <is>
          <t>CURAL</t>
        </is>
      </c>
      <c r="C183" t="inlineStr">
        <is>
          <t>SHELVES</t>
        </is>
      </c>
      <c r="D183" t="inlineStr">
        <is>
          <t>QP301 .S494 1982</t>
        </is>
      </c>
      <c r="E183" t="inlineStr">
        <is>
          <t>0                      QP 0301000S  494         1982</t>
        </is>
      </c>
      <c r="F183" t="inlineStr">
        <is>
          <t>Physiology and biochemistry of exercise / Roy J. Shephard.</t>
        </is>
      </c>
      <c r="H183" t="inlineStr">
        <is>
          <t>No</t>
        </is>
      </c>
      <c r="I183" t="inlineStr">
        <is>
          <t>1</t>
        </is>
      </c>
      <c r="J183" t="inlineStr">
        <is>
          <t>No</t>
        </is>
      </c>
      <c r="K183" t="inlineStr">
        <is>
          <t>No</t>
        </is>
      </c>
      <c r="L183" t="inlineStr">
        <is>
          <t>0</t>
        </is>
      </c>
      <c r="M183" t="inlineStr">
        <is>
          <t>Shephard, Roy J.</t>
        </is>
      </c>
      <c r="N183" t="inlineStr">
        <is>
          <t>New York, N.Y. : Praeger, 1982.</t>
        </is>
      </c>
      <c r="O183" t="inlineStr">
        <is>
          <t>1982</t>
        </is>
      </c>
      <c r="Q183" t="inlineStr">
        <is>
          <t>eng</t>
        </is>
      </c>
      <c r="R183" t="inlineStr">
        <is>
          <t>nyu</t>
        </is>
      </c>
      <c r="T183" t="inlineStr">
        <is>
          <t xml:space="preserve">QP </t>
        </is>
      </c>
      <c r="U183" t="n">
        <v>3</v>
      </c>
      <c r="V183" t="n">
        <v>3</v>
      </c>
      <c r="W183" t="inlineStr">
        <is>
          <t>1995-09-30</t>
        </is>
      </c>
      <c r="X183" t="inlineStr">
        <is>
          <t>1995-09-30</t>
        </is>
      </c>
      <c r="Y183" t="inlineStr">
        <is>
          <t>1993-02-26</t>
        </is>
      </c>
      <c r="Z183" t="inlineStr">
        <is>
          <t>1993-02-26</t>
        </is>
      </c>
      <c r="AA183" t="n">
        <v>505</v>
      </c>
      <c r="AB183" t="n">
        <v>416</v>
      </c>
      <c r="AC183" t="n">
        <v>427</v>
      </c>
      <c r="AD183" t="n">
        <v>4</v>
      </c>
      <c r="AE183" t="n">
        <v>4</v>
      </c>
      <c r="AF183" t="n">
        <v>15</v>
      </c>
      <c r="AG183" t="n">
        <v>15</v>
      </c>
      <c r="AH183" t="n">
        <v>5</v>
      </c>
      <c r="AI183" t="n">
        <v>5</v>
      </c>
      <c r="AJ183" t="n">
        <v>5</v>
      </c>
      <c r="AK183" t="n">
        <v>5</v>
      </c>
      <c r="AL183" t="n">
        <v>7</v>
      </c>
      <c r="AM183" t="n">
        <v>7</v>
      </c>
      <c r="AN183" t="n">
        <v>3</v>
      </c>
      <c r="AO183" t="n">
        <v>3</v>
      </c>
      <c r="AP183" t="n">
        <v>0</v>
      </c>
      <c r="AQ183" t="n">
        <v>0</v>
      </c>
      <c r="AR183" t="inlineStr">
        <is>
          <t>No</t>
        </is>
      </c>
      <c r="AS183" t="inlineStr">
        <is>
          <t>Yes</t>
        </is>
      </c>
      <c r="AT183">
        <f>HYPERLINK("http://catalog.hathitrust.org/Record/000766192","HathiTrust Record")</f>
        <v/>
      </c>
      <c r="AU183">
        <f>HYPERLINK("https://creighton-primo.hosted.exlibrisgroup.com/primo-explore/search?tab=default_tab&amp;search_scope=EVERYTHING&amp;vid=01CRU&amp;lang=en_US&amp;offset=0&amp;query=any,contains,991005096819702656","Catalog Record")</f>
        <v/>
      </c>
      <c r="AV183">
        <f>HYPERLINK("http://www.worldcat.org/oclc/7274805","WorldCat Record")</f>
        <v/>
      </c>
      <c r="AW183" t="inlineStr">
        <is>
          <t>432534:eng</t>
        </is>
      </c>
      <c r="AX183" t="inlineStr">
        <is>
          <t>7274805</t>
        </is>
      </c>
      <c r="AY183" t="inlineStr">
        <is>
          <t>991005096819702656</t>
        </is>
      </c>
      <c r="AZ183" t="inlineStr">
        <is>
          <t>991005096819702656</t>
        </is>
      </c>
      <c r="BA183" t="inlineStr">
        <is>
          <t>2260462020002656</t>
        </is>
      </c>
      <c r="BB183" t="inlineStr">
        <is>
          <t>BOOK</t>
        </is>
      </c>
      <c r="BD183" t="inlineStr">
        <is>
          <t>9780030592898</t>
        </is>
      </c>
      <c r="BE183" t="inlineStr">
        <is>
          <t>32285001560712</t>
        </is>
      </c>
      <c r="BF183" t="inlineStr">
        <is>
          <t>893443391</t>
        </is>
      </c>
    </row>
    <row r="184">
      <c r="B184" t="inlineStr">
        <is>
          <t>CURAL</t>
        </is>
      </c>
      <c r="C184" t="inlineStr">
        <is>
          <t>SHELVES</t>
        </is>
      </c>
      <c r="D184" t="inlineStr">
        <is>
          <t>QP301 .S75 1992</t>
        </is>
      </c>
      <c r="E184" t="inlineStr">
        <is>
          <t>0                      QP 0301000S  75          1992</t>
        </is>
      </c>
      <c r="F184" t="inlineStr">
        <is>
          <t>Physical activity and health : 34th Symposium volume of the Society for the Study of Human Biology / edited by N.G. Norgan.</t>
        </is>
      </c>
      <c r="H184" t="inlineStr">
        <is>
          <t>No</t>
        </is>
      </c>
      <c r="I184" t="inlineStr">
        <is>
          <t>1</t>
        </is>
      </c>
      <c r="J184" t="inlineStr">
        <is>
          <t>Yes</t>
        </is>
      </c>
      <c r="K184" t="inlineStr">
        <is>
          <t>No</t>
        </is>
      </c>
      <c r="L184" t="inlineStr">
        <is>
          <t>0</t>
        </is>
      </c>
      <c r="M184" t="inlineStr">
        <is>
          <t>Society for the Study of Human Biology. Symposium (34th : 1992 : Oxford University)</t>
        </is>
      </c>
      <c r="N184" t="inlineStr">
        <is>
          <t>Cambridge ; New York, NY, USA : Cambridge University Press, 1992.</t>
        </is>
      </c>
      <c r="O184" t="inlineStr">
        <is>
          <t>1992</t>
        </is>
      </c>
      <c r="Q184" t="inlineStr">
        <is>
          <t>eng</t>
        </is>
      </c>
      <c r="R184" t="inlineStr">
        <is>
          <t>enk</t>
        </is>
      </c>
      <c r="S184" t="inlineStr">
        <is>
          <t>Society for the Study of Human Biology symposium series ; 34</t>
        </is>
      </c>
      <c r="T184" t="inlineStr">
        <is>
          <t xml:space="preserve">QP </t>
        </is>
      </c>
      <c r="U184" t="n">
        <v>21</v>
      </c>
      <c r="V184" t="n">
        <v>21</v>
      </c>
      <c r="W184" t="inlineStr">
        <is>
          <t>2010-05-26</t>
        </is>
      </c>
      <c r="X184" t="inlineStr">
        <is>
          <t>2010-05-26</t>
        </is>
      </c>
      <c r="Y184" t="inlineStr">
        <is>
          <t>1994-01-20</t>
        </is>
      </c>
      <c r="Z184" t="inlineStr">
        <is>
          <t>1994-01-20</t>
        </is>
      </c>
      <c r="AA184" t="n">
        <v>230</v>
      </c>
      <c r="AB184" t="n">
        <v>156</v>
      </c>
      <c r="AC184" t="n">
        <v>168</v>
      </c>
      <c r="AD184" t="n">
        <v>3</v>
      </c>
      <c r="AE184" t="n">
        <v>3</v>
      </c>
      <c r="AF184" t="n">
        <v>4</v>
      </c>
      <c r="AG184" t="n">
        <v>4</v>
      </c>
      <c r="AH184" t="n">
        <v>0</v>
      </c>
      <c r="AI184" t="n">
        <v>0</v>
      </c>
      <c r="AJ184" t="n">
        <v>2</v>
      </c>
      <c r="AK184" t="n">
        <v>2</v>
      </c>
      <c r="AL184" t="n">
        <v>1</v>
      </c>
      <c r="AM184" t="n">
        <v>1</v>
      </c>
      <c r="AN184" t="n">
        <v>1</v>
      </c>
      <c r="AO184" t="n">
        <v>1</v>
      </c>
      <c r="AP184" t="n">
        <v>0</v>
      </c>
      <c r="AQ184" t="n">
        <v>0</v>
      </c>
      <c r="AR184" t="inlineStr">
        <is>
          <t>No</t>
        </is>
      </c>
      <c r="AS184" t="inlineStr">
        <is>
          <t>Yes</t>
        </is>
      </c>
      <c r="AT184">
        <f>HYPERLINK("http://catalog.hathitrust.org/Record/002611943","HathiTrust Record")</f>
        <v/>
      </c>
      <c r="AU184">
        <f>HYPERLINK("https://creighton-primo.hosted.exlibrisgroup.com/primo-explore/search?tab=default_tab&amp;search_scope=EVERYTHING&amp;vid=01CRU&amp;lang=en_US&amp;offset=0&amp;query=any,contains,991002007609702656","Catalog Record")</f>
        <v/>
      </c>
      <c r="AV184">
        <f>HYPERLINK("http://www.worldcat.org/oclc/25510699","WorldCat Record")</f>
        <v/>
      </c>
      <c r="AW184" t="inlineStr">
        <is>
          <t>5091513933:eng</t>
        </is>
      </c>
      <c r="AX184" t="inlineStr">
        <is>
          <t>25510699</t>
        </is>
      </c>
      <c r="AY184" t="inlineStr">
        <is>
          <t>991002007609702656</t>
        </is>
      </c>
      <c r="AZ184" t="inlineStr">
        <is>
          <t>991002007609702656</t>
        </is>
      </c>
      <c r="BA184" t="inlineStr">
        <is>
          <t>2260939770002656</t>
        </is>
      </c>
      <c r="BB184" t="inlineStr">
        <is>
          <t>BOOK</t>
        </is>
      </c>
      <c r="BD184" t="inlineStr">
        <is>
          <t>9780052141517</t>
        </is>
      </c>
      <c r="BE184" t="inlineStr">
        <is>
          <t>32285001831816</t>
        </is>
      </c>
      <c r="BF184" t="inlineStr">
        <is>
          <t>893316265</t>
        </is>
      </c>
    </row>
    <row r="185">
      <c r="B185" t="inlineStr">
        <is>
          <t>CURAL</t>
        </is>
      </c>
      <c r="C185" t="inlineStr">
        <is>
          <t>SHELVES</t>
        </is>
      </c>
      <c r="D185" t="inlineStr">
        <is>
          <t>QP301 .T7</t>
        </is>
      </c>
      <c r="E185" t="inlineStr">
        <is>
          <t>0                      QP 0301000T  7</t>
        </is>
      </c>
      <c r="F185" t="inlineStr">
        <is>
          <t>The science of movement / [by] R. A. R. Tricker [and] B. J. K. Tricker.</t>
        </is>
      </c>
      <c r="H185" t="inlineStr">
        <is>
          <t>No</t>
        </is>
      </c>
      <c r="I185" t="inlineStr">
        <is>
          <t>1</t>
        </is>
      </c>
      <c r="J185" t="inlineStr">
        <is>
          <t>No</t>
        </is>
      </c>
      <c r="K185" t="inlineStr">
        <is>
          <t>No</t>
        </is>
      </c>
      <c r="L185" t="inlineStr">
        <is>
          <t>0</t>
        </is>
      </c>
      <c r="M185" t="inlineStr">
        <is>
          <t>Tricker, R. A. R.</t>
        </is>
      </c>
      <c r="N185" t="inlineStr">
        <is>
          <t>New York : American Elsevier Pub. Co., 1967.</t>
        </is>
      </c>
      <c r="O185" t="inlineStr">
        <is>
          <t>1967</t>
        </is>
      </c>
      <c r="Q185" t="inlineStr">
        <is>
          <t>eng</t>
        </is>
      </c>
      <c r="R185" t="inlineStr">
        <is>
          <t>nyu</t>
        </is>
      </c>
      <c r="T185" t="inlineStr">
        <is>
          <t xml:space="preserve">QP </t>
        </is>
      </c>
      <c r="U185" t="n">
        <v>9</v>
      </c>
      <c r="V185" t="n">
        <v>9</v>
      </c>
      <c r="W185" t="inlineStr">
        <is>
          <t>1998-11-11</t>
        </is>
      </c>
      <c r="X185" t="inlineStr">
        <is>
          <t>1998-11-11</t>
        </is>
      </c>
      <c r="Y185" t="inlineStr">
        <is>
          <t>1993-05-10</t>
        </is>
      </c>
      <c r="Z185" t="inlineStr">
        <is>
          <t>1993-05-10</t>
        </is>
      </c>
      <c r="AA185" t="n">
        <v>427</v>
      </c>
      <c r="AB185" t="n">
        <v>398</v>
      </c>
      <c r="AC185" t="n">
        <v>477</v>
      </c>
      <c r="AD185" t="n">
        <v>5</v>
      </c>
      <c r="AE185" t="n">
        <v>6</v>
      </c>
      <c r="AF185" t="n">
        <v>17</v>
      </c>
      <c r="AG185" t="n">
        <v>19</v>
      </c>
      <c r="AH185" t="n">
        <v>5</v>
      </c>
      <c r="AI185" t="n">
        <v>6</v>
      </c>
      <c r="AJ185" t="n">
        <v>4</v>
      </c>
      <c r="AK185" t="n">
        <v>4</v>
      </c>
      <c r="AL185" t="n">
        <v>7</v>
      </c>
      <c r="AM185" t="n">
        <v>7</v>
      </c>
      <c r="AN185" t="n">
        <v>4</v>
      </c>
      <c r="AO185" t="n">
        <v>5</v>
      </c>
      <c r="AP185" t="n">
        <v>0</v>
      </c>
      <c r="AQ185" t="n">
        <v>0</v>
      </c>
      <c r="AR185" t="inlineStr">
        <is>
          <t>No</t>
        </is>
      </c>
      <c r="AS185" t="inlineStr">
        <is>
          <t>Yes</t>
        </is>
      </c>
      <c r="AT185">
        <f>HYPERLINK("http://catalog.hathitrust.org/Record/002076740","HathiTrust Record")</f>
        <v/>
      </c>
      <c r="AU185">
        <f>HYPERLINK("https://creighton-primo.hosted.exlibrisgroup.com/primo-explore/search?tab=default_tab&amp;search_scope=EVERYTHING&amp;vid=01CRU&amp;lang=en_US&amp;offset=0&amp;query=any,contains,991002568989702656","Catalog Record")</f>
        <v/>
      </c>
      <c r="AV185">
        <f>HYPERLINK("http://www.worldcat.org/oclc/373220","WorldCat Record")</f>
        <v/>
      </c>
      <c r="AW185" t="inlineStr">
        <is>
          <t>1455487:eng</t>
        </is>
      </c>
      <c r="AX185" t="inlineStr">
        <is>
          <t>373220</t>
        </is>
      </c>
      <c r="AY185" t="inlineStr">
        <is>
          <t>991002568989702656</t>
        </is>
      </c>
      <c r="AZ185" t="inlineStr">
        <is>
          <t>991002568989702656</t>
        </is>
      </c>
      <c r="BA185" t="inlineStr">
        <is>
          <t>2260954020002656</t>
        </is>
      </c>
      <c r="BB185" t="inlineStr">
        <is>
          <t>BOOK</t>
        </is>
      </c>
      <c r="BE185" t="inlineStr">
        <is>
          <t>32285001652071</t>
        </is>
      </c>
      <c r="BF185" t="inlineStr">
        <is>
          <t>893498270</t>
        </is>
      </c>
    </row>
    <row r="186">
      <c r="B186" t="inlineStr">
        <is>
          <t>CURAL</t>
        </is>
      </c>
      <c r="C186" t="inlineStr">
        <is>
          <t>SHELVES</t>
        </is>
      </c>
      <c r="D186" t="inlineStr">
        <is>
          <t>QP301 .W675 1988</t>
        </is>
      </c>
      <c r="E186" t="inlineStr">
        <is>
          <t>0                      QP 0301000W  675         1988</t>
        </is>
      </c>
      <c r="F186" t="inlineStr">
        <is>
          <t>Training for sport and activity : the physiological basis of the conditioning process / Jack H. Wilmore, David L. Costill.</t>
        </is>
      </c>
      <c r="H186" t="inlineStr">
        <is>
          <t>No</t>
        </is>
      </c>
      <c r="I186" t="inlineStr">
        <is>
          <t>1</t>
        </is>
      </c>
      <c r="J186" t="inlineStr">
        <is>
          <t>No</t>
        </is>
      </c>
      <c r="K186" t="inlineStr">
        <is>
          <t>No</t>
        </is>
      </c>
      <c r="L186" t="inlineStr">
        <is>
          <t>0</t>
        </is>
      </c>
      <c r="M186" t="inlineStr">
        <is>
          <t>Wilmore, Jack H., 1938-2014.</t>
        </is>
      </c>
      <c r="N186" t="inlineStr">
        <is>
          <t>Boston : Allyn and Bacon, 1988.</t>
        </is>
      </c>
      <c r="O186" t="inlineStr">
        <is>
          <t>1987</t>
        </is>
      </c>
      <c r="P186" t="inlineStr">
        <is>
          <t>3rd ed.</t>
        </is>
      </c>
      <c r="Q186" t="inlineStr">
        <is>
          <t>eng</t>
        </is>
      </c>
      <c r="R186" t="inlineStr">
        <is>
          <t>mau</t>
        </is>
      </c>
      <c r="T186" t="inlineStr">
        <is>
          <t xml:space="preserve">QP </t>
        </is>
      </c>
      <c r="U186" t="n">
        <v>11</v>
      </c>
      <c r="V186" t="n">
        <v>11</v>
      </c>
      <c r="W186" t="inlineStr">
        <is>
          <t>1997-02-28</t>
        </is>
      </c>
      <c r="X186" t="inlineStr">
        <is>
          <t>1997-02-28</t>
        </is>
      </c>
      <c r="Y186" t="inlineStr">
        <is>
          <t>1990-06-15</t>
        </is>
      </c>
      <c r="Z186" t="inlineStr">
        <is>
          <t>1990-06-15</t>
        </is>
      </c>
      <c r="AA186" t="n">
        <v>57</v>
      </c>
      <c r="AB186" t="n">
        <v>53</v>
      </c>
      <c r="AC186" t="n">
        <v>625</v>
      </c>
      <c r="AD186" t="n">
        <v>1</v>
      </c>
      <c r="AE186" t="n">
        <v>6</v>
      </c>
      <c r="AF186" t="n">
        <v>0</v>
      </c>
      <c r="AG186" t="n">
        <v>18</v>
      </c>
      <c r="AH186" t="n">
        <v>0</v>
      </c>
      <c r="AI186" t="n">
        <v>10</v>
      </c>
      <c r="AJ186" t="n">
        <v>0</v>
      </c>
      <c r="AK186" t="n">
        <v>1</v>
      </c>
      <c r="AL186" t="n">
        <v>0</v>
      </c>
      <c r="AM186" t="n">
        <v>4</v>
      </c>
      <c r="AN186" t="n">
        <v>0</v>
      </c>
      <c r="AO186" t="n">
        <v>5</v>
      </c>
      <c r="AP186" t="n">
        <v>0</v>
      </c>
      <c r="AQ186" t="n">
        <v>0</v>
      </c>
      <c r="AR186" t="inlineStr">
        <is>
          <t>No</t>
        </is>
      </c>
      <c r="AS186" t="inlineStr">
        <is>
          <t>Yes</t>
        </is>
      </c>
      <c r="AT186">
        <f>HYPERLINK("http://catalog.hathitrust.org/Record/101878972","HathiTrust Record")</f>
        <v/>
      </c>
      <c r="AU186">
        <f>HYPERLINK("https://creighton-primo.hosted.exlibrisgroup.com/primo-explore/search?tab=default_tab&amp;search_scope=EVERYTHING&amp;vid=01CRU&amp;lang=en_US&amp;offset=0&amp;query=any,contains,991001104899702656","Catalog Record")</f>
        <v/>
      </c>
      <c r="AV186">
        <f>HYPERLINK("http://www.worldcat.org/oclc/16404092","WorldCat Record")</f>
        <v/>
      </c>
      <c r="AW186" t="inlineStr">
        <is>
          <t>348020:eng</t>
        </is>
      </c>
      <c r="AX186" t="inlineStr">
        <is>
          <t>16404092</t>
        </is>
      </c>
      <c r="AY186" t="inlineStr">
        <is>
          <t>991001104899702656</t>
        </is>
      </c>
      <c r="AZ186" t="inlineStr">
        <is>
          <t>991001104899702656</t>
        </is>
      </c>
      <c r="BA186" t="inlineStr">
        <is>
          <t>2262249780002656</t>
        </is>
      </c>
      <c r="BB186" t="inlineStr">
        <is>
          <t>BOOK</t>
        </is>
      </c>
      <c r="BD186" t="inlineStr">
        <is>
          <t>9780205111398</t>
        </is>
      </c>
      <c r="BE186" t="inlineStr">
        <is>
          <t>32285000197029</t>
        </is>
      </c>
      <c r="BF186" t="inlineStr">
        <is>
          <t>893702734</t>
        </is>
      </c>
    </row>
    <row r="187">
      <c r="B187" t="inlineStr">
        <is>
          <t>CURAL</t>
        </is>
      </c>
      <c r="C187" t="inlineStr">
        <is>
          <t>SHELVES</t>
        </is>
      </c>
      <c r="D187" t="inlineStr">
        <is>
          <t>QP303 .A37 1989</t>
        </is>
      </c>
      <c r="E187" t="inlineStr">
        <is>
          <t>0                      QP 0303000A  37          1989</t>
        </is>
      </c>
      <c r="F187" t="inlineStr">
        <is>
          <t>The biomechanics of human movement / Marlene J. Adrian, John M. Cooper.</t>
        </is>
      </c>
      <c r="H187" t="inlineStr">
        <is>
          <t>No</t>
        </is>
      </c>
      <c r="I187" t="inlineStr">
        <is>
          <t>1</t>
        </is>
      </c>
      <c r="J187" t="inlineStr">
        <is>
          <t>No</t>
        </is>
      </c>
      <c r="K187" t="inlineStr">
        <is>
          <t>No</t>
        </is>
      </c>
      <c r="L187" t="inlineStr">
        <is>
          <t>0</t>
        </is>
      </c>
      <c r="M187" t="inlineStr">
        <is>
          <t>Adrian, Marlene, 1933-</t>
        </is>
      </c>
      <c r="N187" t="inlineStr">
        <is>
          <t>Indianapolis : Benchmark Press, 1989.</t>
        </is>
      </c>
      <c r="O187" t="inlineStr">
        <is>
          <t>1989</t>
        </is>
      </c>
      <c r="Q187" t="inlineStr">
        <is>
          <t>eng</t>
        </is>
      </c>
      <c r="R187" t="inlineStr">
        <is>
          <t>inu</t>
        </is>
      </c>
      <c r="T187" t="inlineStr">
        <is>
          <t xml:space="preserve">QP </t>
        </is>
      </c>
      <c r="U187" t="n">
        <v>13</v>
      </c>
      <c r="V187" t="n">
        <v>13</v>
      </c>
      <c r="W187" t="inlineStr">
        <is>
          <t>2008-02-19</t>
        </is>
      </c>
      <c r="X187" t="inlineStr">
        <is>
          <t>2008-02-19</t>
        </is>
      </c>
      <c r="Y187" t="inlineStr">
        <is>
          <t>1992-02-27</t>
        </is>
      </c>
      <c r="Z187" t="inlineStr">
        <is>
          <t>1992-02-27</t>
        </is>
      </c>
      <c r="AA187" t="n">
        <v>311</v>
      </c>
      <c r="AB187" t="n">
        <v>255</v>
      </c>
      <c r="AC187" t="n">
        <v>348</v>
      </c>
      <c r="AD187" t="n">
        <v>2</v>
      </c>
      <c r="AE187" t="n">
        <v>3</v>
      </c>
      <c r="AF187" t="n">
        <v>8</v>
      </c>
      <c r="AG187" t="n">
        <v>12</v>
      </c>
      <c r="AH187" t="n">
        <v>5</v>
      </c>
      <c r="AI187" t="n">
        <v>7</v>
      </c>
      <c r="AJ187" t="n">
        <v>0</v>
      </c>
      <c r="AK187" t="n">
        <v>1</v>
      </c>
      <c r="AL187" t="n">
        <v>3</v>
      </c>
      <c r="AM187" t="n">
        <v>4</v>
      </c>
      <c r="AN187" t="n">
        <v>1</v>
      </c>
      <c r="AO187" t="n">
        <v>2</v>
      </c>
      <c r="AP187" t="n">
        <v>0</v>
      </c>
      <c r="AQ187" t="n">
        <v>0</v>
      </c>
      <c r="AR187" t="inlineStr">
        <is>
          <t>No</t>
        </is>
      </c>
      <c r="AS187" t="inlineStr">
        <is>
          <t>No</t>
        </is>
      </c>
      <c r="AU187">
        <f>HYPERLINK("https://creighton-primo.hosted.exlibrisgroup.com/primo-explore/search?tab=default_tab&amp;search_scope=EVERYTHING&amp;vid=01CRU&amp;lang=en_US&amp;offset=0&amp;query=any,contains,991000990189702656","Catalog Record")</f>
        <v/>
      </c>
      <c r="AV187">
        <f>HYPERLINK("http://www.worldcat.org/oclc/15106395","WorldCat Record")</f>
        <v/>
      </c>
      <c r="AW187" t="inlineStr">
        <is>
          <t>8303046:eng</t>
        </is>
      </c>
      <c r="AX187" t="inlineStr">
        <is>
          <t>15106395</t>
        </is>
      </c>
      <c r="AY187" t="inlineStr">
        <is>
          <t>991000990189702656</t>
        </is>
      </c>
      <c r="AZ187" t="inlineStr">
        <is>
          <t>991000990189702656</t>
        </is>
      </c>
      <c r="BA187" t="inlineStr">
        <is>
          <t>2268587750002656</t>
        </is>
      </c>
      <c r="BB187" t="inlineStr">
        <is>
          <t>BOOK</t>
        </is>
      </c>
      <c r="BD187" t="inlineStr">
        <is>
          <t>9780936157061</t>
        </is>
      </c>
      <c r="BE187" t="inlineStr">
        <is>
          <t>32285000978402</t>
        </is>
      </c>
      <c r="BF187" t="inlineStr">
        <is>
          <t>893522191</t>
        </is>
      </c>
    </row>
    <row r="188">
      <c r="B188" t="inlineStr">
        <is>
          <t>CURAL</t>
        </is>
      </c>
      <c r="C188" t="inlineStr">
        <is>
          <t>SHELVES</t>
        </is>
      </c>
      <c r="D188" t="inlineStr">
        <is>
          <t>QP303 .A58 1992</t>
        </is>
      </c>
      <c r="E188" t="inlineStr">
        <is>
          <t>0                      QP 0303000A  58          1992</t>
        </is>
      </c>
      <c r="F188" t="inlineStr">
        <is>
          <t>The human machine / by R. McNeill Alexander ; illustrated by Mark Iley &amp; Sally Alexander.</t>
        </is>
      </c>
      <c r="H188" t="inlineStr">
        <is>
          <t>No</t>
        </is>
      </c>
      <c r="I188" t="inlineStr">
        <is>
          <t>1</t>
        </is>
      </c>
      <c r="J188" t="inlineStr">
        <is>
          <t>No</t>
        </is>
      </c>
      <c r="K188" t="inlineStr">
        <is>
          <t>No</t>
        </is>
      </c>
      <c r="L188" t="inlineStr">
        <is>
          <t>0</t>
        </is>
      </c>
      <c r="M188" t="inlineStr">
        <is>
          <t>Alexander, R. McNeill.</t>
        </is>
      </c>
      <c r="N188" t="inlineStr">
        <is>
          <t>New York : Columbia University Press, c1992.</t>
        </is>
      </c>
      <c r="O188" t="inlineStr">
        <is>
          <t>1992</t>
        </is>
      </c>
      <c r="Q188" t="inlineStr">
        <is>
          <t>eng</t>
        </is>
      </c>
      <c r="R188" t="inlineStr">
        <is>
          <t>nyu</t>
        </is>
      </c>
      <c r="T188" t="inlineStr">
        <is>
          <t xml:space="preserve">QP </t>
        </is>
      </c>
      <c r="U188" t="n">
        <v>8</v>
      </c>
      <c r="V188" t="n">
        <v>8</v>
      </c>
      <c r="W188" t="inlineStr">
        <is>
          <t>2008-02-25</t>
        </is>
      </c>
      <c r="X188" t="inlineStr">
        <is>
          <t>2008-02-25</t>
        </is>
      </c>
      <c r="Y188" t="inlineStr">
        <is>
          <t>1994-03-11</t>
        </is>
      </c>
      <c r="Z188" t="inlineStr">
        <is>
          <t>1994-03-11</t>
        </is>
      </c>
      <c r="AA188" t="n">
        <v>730</v>
      </c>
      <c r="AB188" t="n">
        <v>656</v>
      </c>
      <c r="AC188" t="n">
        <v>668</v>
      </c>
      <c r="AD188" t="n">
        <v>5</v>
      </c>
      <c r="AE188" t="n">
        <v>5</v>
      </c>
      <c r="AF188" t="n">
        <v>22</v>
      </c>
      <c r="AG188" t="n">
        <v>22</v>
      </c>
      <c r="AH188" t="n">
        <v>9</v>
      </c>
      <c r="AI188" t="n">
        <v>9</v>
      </c>
      <c r="AJ188" t="n">
        <v>4</v>
      </c>
      <c r="AK188" t="n">
        <v>4</v>
      </c>
      <c r="AL188" t="n">
        <v>9</v>
      </c>
      <c r="AM188" t="n">
        <v>9</v>
      </c>
      <c r="AN188" t="n">
        <v>4</v>
      </c>
      <c r="AO188" t="n">
        <v>4</v>
      </c>
      <c r="AP188" t="n">
        <v>0</v>
      </c>
      <c r="AQ188" t="n">
        <v>0</v>
      </c>
      <c r="AR188" t="inlineStr">
        <is>
          <t>No</t>
        </is>
      </c>
      <c r="AS188" t="inlineStr">
        <is>
          <t>No</t>
        </is>
      </c>
      <c r="AU188">
        <f>HYPERLINK("https://creighton-primo.hosted.exlibrisgroup.com/primo-explore/search?tab=default_tab&amp;search_scope=EVERYTHING&amp;vid=01CRU&amp;lang=en_US&amp;offset=0&amp;query=any,contains,991002012469702656","Catalog Record")</f>
        <v/>
      </c>
      <c r="AV188">
        <f>HYPERLINK("http://www.worldcat.org/oclc/25628537","WorldCat Record")</f>
        <v/>
      </c>
      <c r="AW188" t="inlineStr">
        <is>
          <t>3149802914:eng</t>
        </is>
      </c>
      <c r="AX188" t="inlineStr">
        <is>
          <t>25628537</t>
        </is>
      </c>
      <c r="AY188" t="inlineStr">
        <is>
          <t>991002012469702656</t>
        </is>
      </c>
      <c r="AZ188" t="inlineStr">
        <is>
          <t>991002012469702656</t>
        </is>
      </c>
      <c r="BA188" t="inlineStr">
        <is>
          <t>2263499400002656</t>
        </is>
      </c>
      <c r="BB188" t="inlineStr">
        <is>
          <t>BOOK</t>
        </is>
      </c>
      <c r="BD188" t="inlineStr">
        <is>
          <t>9780231080668</t>
        </is>
      </c>
      <c r="BE188" t="inlineStr">
        <is>
          <t>32285001844629</t>
        </is>
      </c>
      <c r="BF188" t="inlineStr">
        <is>
          <t>893497625</t>
        </is>
      </c>
    </row>
    <row r="189">
      <c r="B189" t="inlineStr">
        <is>
          <t>CURAL</t>
        </is>
      </c>
      <c r="C189" t="inlineStr">
        <is>
          <t>SHELVES</t>
        </is>
      </c>
      <c r="D189" t="inlineStr">
        <is>
          <t>QP303 .C56</t>
        </is>
      </c>
      <c r="E189" t="inlineStr">
        <is>
          <t>0                      QP 0303000C  56</t>
        </is>
      </c>
      <c r="F189" t="inlineStr">
        <is>
          <t>Control of posture and locomotion. Edited by R. B. Stein [and others]</t>
        </is>
      </c>
      <c r="H189" t="inlineStr">
        <is>
          <t>No</t>
        </is>
      </c>
      <c r="I189" t="inlineStr">
        <is>
          <t>1</t>
        </is>
      </c>
      <c r="J189" t="inlineStr">
        <is>
          <t>No</t>
        </is>
      </c>
      <c r="K189" t="inlineStr">
        <is>
          <t>No</t>
        </is>
      </c>
      <c r="L189" t="inlineStr">
        <is>
          <t>0</t>
        </is>
      </c>
      <c r="N189" t="inlineStr">
        <is>
          <t>New York, Plenum Press [1973]</t>
        </is>
      </c>
      <c r="O189" t="inlineStr">
        <is>
          <t>1973</t>
        </is>
      </c>
      <c r="Q189" t="inlineStr">
        <is>
          <t>eng</t>
        </is>
      </c>
      <c r="R189" t="inlineStr">
        <is>
          <t>nyu</t>
        </is>
      </c>
      <c r="S189" t="inlineStr">
        <is>
          <t>Advances in behavioral biology ; v. 7</t>
        </is>
      </c>
      <c r="T189" t="inlineStr">
        <is>
          <t xml:space="preserve">QP </t>
        </is>
      </c>
      <c r="U189" t="n">
        <v>3</v>
      </c>
      <c r="V189" t="n">
        <v>3</v>
      </c>
      <c r="W189" t="inlineStr">
        <is>
          <t>2008-02-25</t>
        </is>
      </c>
      <c r="X189" t="inlineStr">
        <is>
          <t>2008-02-25</t>
        </is>
      </c>
      <c r="Y189" t="inlineStr">
        <is>
          <t>1997-08-06</t>
        </is>
      </c>
      <c r="Z189" t="inlineStr">
        <is>
          <t>1997-08-06</t>
        </is>
      </c>
      <c r="AA189" t="n">
        <v>306</v>
      </c>
      <c r="AB189" t="n">
        <v>236</v>
      </c>
      <c r="AC189" t="n">
        <v>256</v>
      </c>
      <c r="AD189" t="n">
        <v>3</v>
      </c>
      <c r="AE189" t="n">
        <v>3</v>
      </c>
      <c r="AF189" t="n">
        <v>8</v>
      </c>
      <c r="AG189" t="n">
        <v>8</v>
      </c>
      <c r="AH189" t="n">
        <v>1</v>
      </c>
      <c r="AI189" t="n">
        <v>1</v>
      </c>
      <c r="AJ189" t="n">
        <v>2</v>
      </c>
      <c r="AK189" t="n">
        <v>2</v>
      </c>
      <c r="AL189" t="n">
        <v>3</v>
      </c>
      <c r="AM189" t="n">
        <v>3</v>
      </c>
      <c r="AN189" t="n">
        <v>2</v>
      </c>
      <c r="AO189" t="n">
        <v>2</v>
      </c>
      <c r="AP189" t="n">
        <v>0</v>
      </c>
      <c r="AQ189" t="n">
        <v>0</v>
      </c>
      <c r="AR189" t="inlineStr">
        <is>
          <t>No</t>
        </is>
      </c>
      <c r="AS189" t="inlineStr">
        <is>
          <t>Yes</t>
        </is>
      </c>
      <c r="AT189">
        <f>HYPERLINK("http://catalog.hathitrust.org/Record/001628959","HathiTrust Record")</f>
        <v/>
      </c>
      <c r="AU189">
        <f>HYPERLINK("https://creighton-primo.hosted.exlibrisgroup.com/primo-explore/search?tab=default_tab&amp;search_scope=EVERYTHING&amp;vid=01CRU&amp;lang=en_US&amp;offset=0&amp;query=any,contains,991003220709702656","Catalog Record")</f>
        <v/>
      </c>
      <c r="AV189">
        <f>HYPERLINK("http://www.worldcat.org/oclc/745984","WorldCat Record")</f>
        <v/>
      </c>
      <c r="AW189" t="inlineStr">
        <is>
          <t>1823828:eng</t>
        </is>
      </c>
      <c r="AX189" t="inlineStr">
        <is>
          <t>745984</t>
        </is>
      </c>
      <c r="AY189" t="inlineStr">
        <is>
          <t>991003220709702656</t>
        </is>
      </c>
      <c r="AZ189" t="inlineStr">
        <is>
          <t>991003220709702656</t>
        </is>
      </c>
      <c r="BA189" t="inlineStr">
        <is>
          <t>2268953740002656</t>
        </is>
      </c>
      <c r="BB189" t="inlineStr">
        <is>
          <t>BOOK</t>
        </is>
      </c>
      <c r="BD189" t="inlineStr">
        <is>
          <t>9780306379079</t>
        </is>
      </c>
      <c r="BE189" t="inlineStr">
        <is>
          <t>32285003013454</t>
        </is>
      </c>
      <c r="BF189" t="inlineStr">
        <is>
          <t>893774520</t>
        </is>
      </c>
    </row>
    <row r="190">
      <c r="B190" t="inlineStr">
        <is>
          <t>CURAL</t>
        </is>
      </c>
      <c r="C190" t="inlineStr">
        <is>
          <t>SHELVES</t>
        </is>
      </c>
      <c r="D190" t="inlineStr">
        <is>
          <t>QP303 .D3 1977</t>
        </is>
      </c>
      <c r="E190" t="inlineStr">
        <is>
          <t>0                      QP 0303000D  3           1977</t>
        </is>
      </c>
      <c r="F190" t="inlineStr">
        <is>
          <t>Running, walking and jumping : the science of locomotion / Anne Innis Dagg. --</t>
        </is>
      </c>
      <c r="H190" t="inlineStr">
        <is>
          <t>No</t>
        </is>
      </c>
      <c r="I190" t="inlineStr">
        <is>
          <t>1</t>
        </is>
      </c>
      <c r="J190" t="inlineStr">
        <is>
          <t>No</t>
        </is>
      </c>
      <c r="K190" t="inlineStr">
        <is>
          <t>No</t>
        </is>
      </c>
      <c r="L190" t="inlineStr">
        <is>
          <t>0</t>
        </is>
      </c>
      <c r="M190" t="inlineStr">
        <is>
          <t>Dagg, Anne Innis.</t>
        </is>
      </c>
      <c r="N190" t="inlineStr">
        <is>
          <t>London : Wykeham Publications ; New York : sole distributors for the U.S.A. and Canada, Crane, Russak, 1977.</t>
        </is>
      </c>
      <c r="O190" t="inlineStr">
        <is>
          <t>1977</t>
        </is>
      </c>
      <c r="Q190" t="inlineStr">
        <is>
          <t>eng</t>
        </is>
      </c>
      <c r="R190" t="inlineStr">
        <is>
          <t>enk</t>
        </is>
      </c>
      <c r="S190" t="inlineStr">
        <is>
          <t>The Wykeham science series ; [42]</t>
        </is>
      </c>
      <c r="T190" t="inlineStr">
        <is>
          <t xml:space="preserve">QP </t>
        </is>
      </c>
      <c r="U190" t="n">
        <v>9</v>
      </c>
      <c r="V190" t="n">
        <v>9</v>
      </c>
      <c r="W190" t="inlineStr">
        <is>
          <t>2008-02-04</t>
        </is>
      </c>
      <c r="X190" t="inlineStr">
        <is>
          <t>2008-02-04</t>
        </is>
      </c>
      <c r="Y190" t="inlineStr">
        <is>
          <t>1993-02-26</t>
        </is>
      </c>
      <c r="Z190" t="inlineStr">
        <is>
          <t>1993-02-26</t>
        </is>
      </c>
      <c r="AA190" t="n">
        <v>339</v>
      </c>
      <c r="AB190" t="n">
        <v>251</v>
      </c>
      <c r="AC190" t="n">
        <v>258</v>
      </c>
      <c r="AD190" t="n">
        <v>5</v>
      </c>
      <c r="AE190" t="n">
        <v>5</v>
      </c>
      <c r="AF190" t="n">
        <v>13</v>
      </c>
      <c r="AG190" t="n">
        <v>13</v>
      </c>
      <c r="AH190" t="n">
        <v>5</v>
      </c>
      <c r="AI190" t="n">
        <v>5</v>
      </c>
      <c r="AJ190" t="n">
        <v>1</v>
      </c>
      <c r="AK190" t="n">
        <v>1</v>
      </c>
      <c r="AL190" t="n">
        <v>5</v>
      </c>
      <c r="AM190" t="n">
        <v>5</v>
      </c>
      <c r="AN190" t="n">
        <v>4</v>
      </c>
      <c r="AO190" t="n">
        <v>4</v>
      </c>
      <c r="AP190" t="n">
        <v>0</v>
      </c>
      <c r="AQ190" t="n">
        <v>0</v>
      </c>
      <c r="AR190" t="inlineStr">
        <is>
          <t>No</t>
        </is>
      </c>
      <c r="AS190" t="inlineStr">
        <is>
          <t>Yes</t>
        </is>
      </c>
      <c r="AT190">
        <f>HYPERLINK("http://catalog.hathitrust.org/Record/000777969","HathiTrust Record")</f>
        <v/>
      </c>
      <c r="AU190">
        <f>HYPERLINK("https://creighton-primo.hosted.exlibrisgroup.com/primo-explore/search?tab=default_tab&amp;search_scope=EVERYTHING&amp;vid=01CRU&amp;lang=en_US&amp;offset=0&amp;query=any,contains,991004598529702656","Catalog Record")</f>
        <v/>
      </c>
      <c r="AV190">
        <f>HYPERLINK("http://www.worldcat.org/oclc/4159926","WorldCat Record")</f>
        <v/>
      </c>
      <c r="AW190" t="inlineStr">
        <is>
          <t>890613228:eng</t>
        </is>
      </c>
      <c r="AX190" t="inlineStr">
        <is>
          <t>4159926</t>
        </is>
      </c>
      <c r="AY190" t="inlineStr">
        <is>
          <t>991004598529702656</t>
        </is>
      </c>
      <c r="AZ190" t="inlineStr">
        <is>
          <t>991004598529702656</t>
        </is>
      </c>
      <c r="BA190" t="inlineStr">
        <is>
          <t>2256651800002656</t>
        </is>
      </c>
      <c r="BB190" t="inlineStr">
        <is>
          <t>BOOK</t>
        </is>
      </c>
      <c r="BD190" t="inlineStr">
        <is>
          <t>9780844811697</t>
        </is>
      </c>
      <c r="BE190" t="inlineStr">
        <is>
          <t>32285001560738</t>
        </is>
      </c>
      <c r="BF190" t="inlineStr">
        <is>
          <t>893712805</t>
        </is>
      </c>
    </row>
    <row r="191">
      <c r="B191" t="inlineStr">
        <is>
          <t>CURAL</t>
        </is>
      </c>
      <c r="C191" t="inlineStr">
        <is>
          <t>SHELVES</t>
        </is>
      </c>
      <c r="D191" t="inlineStr">
        <is>
          <t>QP303 .E56 1988</t>
        </is>
      </c>
      <c r="E191" t="inlineStr">
        <is>
          <t>0                      QP 0303000E  56          1988</t>
        </is>
      </c>
      <c r="F191" t="inlineStr">
        <is>
          <t>Neuromechanical basis of kinesiology/ Roger M. Enoka.</t>
        </is>
      </c>
      <c r="H191" t="inlineStr">
        <is>
          <t>No</t>
        </is>
      </c>
      <c r="I191" t="inlineStr">
        <is>
          <t>1</t>
        </is>
      </c>
      <c r="J191" t="inlineStr">
        <is>
          <t>No</t>
        </is>
      </c>
      <c r="K191" t="inlineStr">
        <is>
          <t>No</t>
        </is>
      </c>
      <c r="L191" t="inlineStr">
        <is>
          <t>0</t>
        </is>
      </c>
      <c r="M191" t="inlineStr">
        <is>
          <t>Enoka, Roger M., 1949-</t>
        </is>
      </c>
      <c r="N191" t="inlineStr">
        <is>
          <t>Champaign, Ill. : Human Kinetics Books, c1988.</t>
        </is>
      </c>
      <c r="O191" t="inlineStr">
        <is>
          <t>1988</t>
        </is>
      </c>
      <c r="Q191" t="inlineStr">
        <is>
          <t>eng</t>
        </is>
      </c>
      <c r="R191" t="inlineStr">
        <is>
          <t>ilu</t>
        </is>
      </c>
      <c r="T191" t="inlineStr">
        <is>
          <t xml:space="preserve">QP </t>
        </is>
      </c>
      <c r="U191" t="n">
        <v>1</v>
      </c>
      <c r="V191" t="n">
        <v>1</v>
      </c>
      <c r="W191" t="inlineStr">
        <is>
          <t>1994-11-20</t>
        </is>
      </c>
      <c r="X191" t="inlineStr">
        <is>
          <t>1994-11-20</t>
        </is>
      </c>
      <c r="Y191" t="inlineStr">
        <is>
          <t>1993-02-26</t>
        </is>
      </c>
      <c r="Z191" t="inlineStr">
        <is>
          <t>1993-02-26</t>
        </is>
      </c>
      <c r="AA191" t="n">
        <v>361</v>
      </c>
      <c r="AB191" t="n">
        <v>261</v>
      </c>
      <c r="AC191" t="n">
        <v>432</v>
      </c>
      <c r="AD191" t="n">
        <v>5</v>
      </c>
      <c r="AE191" t="n">
        <v>6</v>
      </c>
      <c r="AF191" t="n">
        <v>10</v>
      </c>
      <c r="AG191" t="n">
        <v>19</v>
      </c>
      <c r="AH191" t="n">
        <v>3</v>
      </c>
      <c r="AI191" t="n">
        <v>7</v>
      </c>
      <c r="AJ191" t="n">
        <v>0</v>
      </c>
      <c r="AK191" t="n">
        <v>3</v>
      </c>
      <c r="AL191" t="n">
        <v>3</v>
      </c>
      <c r="AM191" t="n">
        <v>5</v>
      </c>
      <c r="AN191" t="n">
        <v>4</v>
      </c>
      <c r="AO191" t="n">
        <v>5</v>
      </c>
      <c r="AP191" t="n">
        <v>0</v>
      </c>
      <c r="AQ191" t="n">
        <v>0</v>
      </c>
      <c r="AR191" t="inlineStr">
        <is>
          <t>No</t>
        </is>
      </c>
      <c r="AS191" t="inlineStr">
        <is>
          <t>Yes</t>
        </is>
      </c>
      <c r="AT191">
        <f>HYPERLINK("http://catalog.hathitrust.org/Record/004410830","HathiTrust Record")</f>
        <v/>
      </c>
      <c r="AU191">
        <f>HYPERLINK("https://creighton-primo.hosted.exlibrisgroup.com/primo-explore/search?tab=default_tab&amp;search_scope=EVERYTHING&amp;vid=01CRU&amp;lang=en_US&amp;offset=0&amp;query=any,contains,991001179849702656","Catalog Record")</f>
        <v/>
      </c>
      <c r="AV191">
        <f>HYPERLINK("http://www.worldcat.org/oclc/17107047","WorldCat Record")</f>
        <v/>
      </c>
      <c r="AW191" t="inlineStr">
        <is>
          <t>13212296:eng</t>
        </is>
      </c>
      <c r="AX191" t="inlineStr">
        <is>
          <t>17107047</t>
        </is>
      </c>
      <c r="AY191" t="inlineStr">
        <is>
          <t>991001179849702656</t>
        </is>
      </c>
      <c r="AZ191" t="inlineStr">
        <is>
          <t>991001179849702656</t>
        </is>
      </c>
      <c r="BA191" t="inlineStr">
        <is>
          <t>2257667580002656</t>
        </is>
      </c>
      <c r="BB191" t="inlineStr">
        <is>
          <t>BOOK</t>
        </is>
      </c>
      <c r="BD191" t="inlineStr">
        <is>
          <t>9780873221795</t>
        </is>
      </c>
      <c r="BE191" t="inlineStr">
        <is>
          <t>32285001560746</t>
        </is>
      </c>
      <c r="BF191" t="inlineStr">
        <is>
          <t>893250035</t>
        </is>
      </c>
    </row>
    <row r="192">
      <c r="B192" t="inlineStr">
        <is>
          <t>CURAL</t>
        </is>
      </c>
      <c r="C192" t="inlineStr">
        <is>
          <t>SHELVES</t>
        </is>
      </c>
      <c r="D192" t="inlineStr">
        <is>
          <t>QP303 .E83</t>
        </is>
      </c>
      <c r="E192" t="inlineStr">
        <is>
          <t>0                      QP 0303000E  83</t>
        </is>
      </c>
      <c r="F192" t="inlineStr">
        <is>
          <t>Musculoskeletal function; an anatomy and kinesiology laboratory manual, by Dortha Esch and Marvin Lepley. Illus. by Jean Magney.</t>
        </is>
      </c>
      <c r="H192" t="inlineStr">
        <is>
          <t>No</t>
        </is>
      </c>
      <c r="I192" t="inlineStr">
        <is>
          <t>1</t>
        </is>
      </c>
      <c r="J192" t="inlineStr">
        <is>
          <t>No</t>
        </is>
      </c>
      <c r="K192" t="inlineStr">
        <is>
          <t>No</t>
        </is>
      </c>
      <c r="L192" t="inlineStr">
        <is>
          <t>0</t>
        </is>
      </c>
      <c r="M192" t="inlineStr">
        <is>
          <t>Esch, Dortha.</t>
        </is>
      </c>
      <c r="N192" t="inlineStr">
        <is>
          <t>Minneapolis, University of Minnesota Press [1974]</t>
        </is>
      </c>
      <c r="O192" t="inlineStr">
        <is>
          <t>1974</t>
        </is>
      </c>
      <c r="Q192" t="inlineStr">
        <is>
          <t>eng</t>
        </is>
      </c>
      <c r="R192" t="inlineStr">
        <is>
          <t>mnu</t>
        </is>
      </c>
      <c r="T192" t="inlineStr">
        <is>
          <t xml:space="preserve">QP </t>
        </is>
      </c>
      <c r="U192" t="n">
        <v>2</v>
      </c>
      <c r="V192" t="n">
        <v>2</v>
      </c>
      <c r="W192" t="inlineStr">
        <is>
          <t>1994-02-10</t>
        </is>
      </c>
      <c r="X192" t="inlineStr">
        <is>
          <t>1994-02-10</t>
        </is>
      </c>
      <c r="Y192" t="inlineStr">
        <is>
          <t>1992-02-17</t>
        </is>
      </c>
      <c r="Z192" t="inlineStr">
        <is>
          <t>1992-02-17</t>
        </is>
      </c>
      <c r="AA192" t="n">
        <v>125</v>
      </c>
      <c r="AB192" t="n">
        <v>104</v>
      </c>
      <c r="AC192" t="n">
        <v>641</v>
      </c>
      <c r="AD192" t="n">
        <v>2</v>
      </c>
      <c r="AE192" t="n">
        <v>7</v>
      </c>
      <c r="AF192" t="n">
        <v>4</v>
      </c>
      <c r="AG192" t="n">
        <v>34</v>
      </c>
      <c r="AH192" t="n">
        <v>2</v>
      </c>
      <c r="AI192" t="n">
        <v>13</v>
      </c>
      <c r="AJ192" t="n">
        <v>1</v>
      </c>
      <c r="AK192" t="n">
        <v>8</v>
      </c>
      <c r="AL192" t="n">
        <v>0</v>
      </c>
      <c r="AM192" t="n">
        <v>12</v>
      </c>
      <c r="AN192" t="n">
        <v>1</v>
      </c>
      <c r="AO192" t="n">
        <v>6</v>
      </c>
      <c r="AP192" t="n">
        <v>0</v>
      </c>
      <c r="AQ192" t="n">
        <v>1</v>
      </c>
      <c r="AR192" t="inlineStr">
        <is>
          <t>No</t>
        </is>
      </c>
      <c r="AS192" t="inlineStr">
        <is>
          <t>No</t>
        </is>
      </c>
      <c r="AU192">
        <f>HYPERLINK("https://creighton-primo.hosted.exlibrisgroup.com/primo-explore/search?tab=default_tab&amp;search_scope=EVERYTHING&amp;vid=01CRU&amp;lang=en_US&amp;offset=0&amp;query=any,contains,991003504649702656","Catalog Record")</f>
        <v/>
      </c>
      <c r="AV192">
        <f>HYPERLINK("http://www.worldcat.org/oclc/1056622","WorldCat Record")</f>
        <v/>
      </c>
      <c r="AW192" t="inlineStr">
        <is>
          <t>794173949:eng</t>
        </is>
      </c>
      <c r="AX192" t="inlineStr">
        <is>
          <t>1056622</t>
        </is>
      </c>
      <c r="AY192" t="inlineStr">
        <is>
          <t>991003504649702656</t>
        </is>
      </c>
      <c r="AZ192" t="inlineStr">
        <is>
          <t>991003504649702656</t>
        </is>
      </c>
      <c r="BA192" t="inlineStr">
        <is>
          <t>2272248620002656</t>
        </is>
      </c>
      <c r="BB192" t="inlineStr">
        <is>
          <t>BOOK</t>
        </is>
      </c>
      <c r="BD192" t="inlineStr">
        <is>
          <t>9780816607167</t>
        </is>
      </c>
      <c r="BE192" t="inlineStr">
        <is>
          <t>32285000959550</t>
        </is>
      </c>
      <c r="BF192" t="inlineStr">
        <is>
          <t>893717724</t>
        </is>
      </c>
    </row>
    <row r="193">
      <c r="B193" t="inlineStr">
        <is>
          <t>CURAL</t>
        </is>
      </c>
      <c r="C193" t="inlineStr">
        <is>
          <t>SHELVES</t>
        </is>
      </c>
      <c r="D193" t="inlineStr">
        <is>
          <t>QP303 .F66</t>
        </is>
      </c>
      <c r="E193" t="inlineStr">
        <is>
          <t>0                      QP 0303000F  66</t>
        </is>
      </c>
      <c r="F193" t="inlineStr">
        <is>
          <t>Basic biomechanics of the skeletal system / Victor H. Frankel, Margareta Nordin.</t>
        </is>
      </c>
      <c r="H193" t="inlineStr">
        <is>
          <t>No</t>
        </is>
      </c>
      <c r="I193" t="inlineStr">
        <is>
          <t>1</t>
        </is>
      </c>
      <c r="J193" t="inlineStr">
        <is>
          <t>No</t>
        </is>
      </c>
      <c r="K193" t="inlineStr">
        <is>
          <t>No</t>
        </is>
      </c>
      <c r="L193" t="inlineStr">
        <is>
          <t>0</t>
        </is>
      </c>
      <c r="M193" t="inlineStr">
        <is>
          <t>Frankel, Victor H. (Victor Hirsch), 1925-</t>
        </is>
      </c>
      <c r="N193" t="inlineStr">
        <is>
          <t>Philadelphia : Lea &amp; Febiger, 1980.</t>
        </is>
      </c>
      <c r="O193" t="inlineStr">
        <is>
          <t>1980</t>
        </is>
      </c>
      <c r="Q193" t="inlineStr">
        <is>
          <t>eng</t>
        </is>
      </c>
      <c r="R193" t="inlineStr">
        <is>
          <t>pau</t>
        </is>
      </c>
      <c r="T193" t="inlineStr">
        <is>
          <t xml:space="preserve">QP </t>
        </is>
      </c>
      <c r="U193" t="n">
        <v>10</v>
      </c>
      <c r="V193" t="n">
        <v>10</v>
      </c>
      <c r="W193" t="inlineStr">
        <is>
          <t>2008-02-22</t>
        </is>
      </c>
      <c r="X193" t="inlineStr">
        <is>
          <t>2008-02-22</t>
        </is>
      </c>
      <c r="Y193" t="inlineStr">
        <is>
          <t>1993-04-19</t>
        </is>
      </c>
      <c r="Z193" t="inlineStr">
        <is>
          <t>1993-04-19</t>
        </is>
      </c>
      <c r="AA193" t="n">
        <v>441</v>
      </c>
      <c r="AB193" t="n">
        <v>325</v>
      </c>
      <c r="AC193" t="n">
        <v>332</v>
      </c>
      <c r="AD193" t="n">
        <v>4</v>
      </c>
      <c r="AE193" t="n">
        <v>4</v>
      </c>
      <c r="AF193" t="n">
        <v>11</v>
      </c>
      <c r="AG193" t="n">
        <v>11</v>
      </c>
      <c r="AH193" t="n">
        <v>6</v>
      </c>
      <c r="AI193" t="n">
        <v>6</v>
      </c>
      <c r="AJ193" t="n">
        <v>1</v>
      </c>
      <c r="AK193" t="n">
        <v>1</v>
      </c>
      <c r="AL193" t="n">
        <v>4</v>
      </c>
      <c r="AM193" t="n">
        <v>4</v>
      </c>
      <c r="AN193" t="n">
        <v>3</v>
      </c>
      <c r="AO193" t="n">
        <v>3</v>
      </c>
      <c r="AP193" t="n">
        <v>0</v>
      </c>
      <c r="AQ193" t="n">
        <v>0</v>
      </c>
      <c r="AR193" t="inlineStr">
        <is>
          <t>No</t>
        </is>
      </c>
      <c r="AS193" t="inlineStr">
        <is>
          <t>Yes</t>
        </is>
      </c>
      <c r="AT193">
        <f>HYPERLINK("http://catalog.hathitrust.org/Record/000746998","HathiTrust Record")</f>
        <v/>
      </c>
      <c r="AU193">
        <f>HYPERLINK("https://creighton-primo.hosted.exlibrisgroup.com/primo-explore/search?tab=default_tab&amp;search_scope=EVERYTHING&amp;vid=01CRU&amp;lang=en_US&amp;offset=0&amp;query=any,contains,991004864289702656","Catalog Record")</f>
        <v/>
      </c>
      <c r="AV193">
        <f>HYPERLINK("http://www.worldcat.org/oclc/5726076","WorldCat Record")</f>
        <v/>
      </c>
      <c r="AW193" t="inlineStr">
        <is>
          <t>3901235074:eng</t>
        </is>
      </c>
      <c r="AX193" t="inlineStr">
        <is>
          <t>5726076</t>
        </is>
      </c>
      <c r="AY193" t="inlineStr">
        <is>
          <t>991004864289702656</t>
        </is>
      </c>
      <c r="AZ193" t="inlineStr">
        <is>
          <t>991004864289702656</t>
        </is>
      </c>
      <c r="BA193" t="inlineStr">
        <is>
          <t>2260817470002656</t>
        </is>
      </c>
      <c r="BB193" t="inlineStr">
        <is>
          <t>BOOK</t>
        </is>
      </c>
      <c r="BD193" t="inlineStr">
        <is>
          <t>9780812107081</t>
        </is>
      </c>
      <c r="BE193" t="inlineStr">
        <is>
          <t>32285001429439</t>
        </is>
      </c>
      <c r="BF193" t="inlineStr">
        <is>
          <t>893241927</t>
        </is>
      </c>
    </row>
    <row r="194">
      <c r="B194" t="inlineStr">
        <is>
          <t>CURAL</t>
        </is>
      </c>
      <c r="C194" t="inlineStr">
        <is>
          <t>SHELVES</t>
        </is>
      </c>
      <c r="D194" t="inlineStr">
        <is>
          <t>QP303 .G33</t>
        </is>
      </c>
      <c r="E194" t="inlineStr">
        <is>
          <t>0                      QP 0303000G  33</t>
        </is>
      </c>
      <c r="F194" t="inlineStr">
        <is>
          <t>Biomechanics : an approach to vertebrate biology / Carl Gans.</t>
        </is>
      </c>
      <c r="H194" t="inlineStr">
        <is>
          <t>No</t>
        </is>
      </c>
      <c r="I194" t="inlineStr">
        <is>
          <t>1</t>
        </is>
      </c>
      <c r="J194" t="inlineStr">
        <is>
          <t>No</t>
        </is>
      </c>
      <c r="K194" t="inlineStr">
        <is>
          <t>No</t>
        </is>
      </c>
      <c r="L194" t="inlineStr">
        <is>
          <t>0</t>
        </is>
      </c>
      <c r="M194" t="inlineStr">
        <is>
          <t>Gans, Carl, 1923-2009.</t>
        </is>
      </c>
      <c r="N194" t="inlineStr">
        <is>
          <t>Philadelphia : Lippincott, [1974]</t>
        </is>
      </c>
      <c r="O194" t="inlineStr">
        <is>
          <t>1974</t>
        </is>
      </c>
      <c r="Q194" t="inlineStr">
        <is>
          <t>eng</t>
        </is>
      </c>
      <c r="R194" t="inlineStr">
        <is>
          <t>pau</t>
        </is>
      </c>
      <c r="T194" t="inlineStr">
        <is>
          <t xml:space="preserve">QP </t>
        </is>
      </c>
      <c r="U194" t="n">
        <v>6</v>
      </c>
      <c r="V194" t="n">
        <v>6</v>
      </c>
      <c r="W194" t="inlineStr">
        <is>
          <t>2008-02-23</t>
        </is>
      </c>
      <c r="X194" t="inlineStr">
        <is>
          <t>2008-02-23</t>
        </is>
      </c>
      <c r="Y194" t="inlineStr">
        <is>
          <t>1993-02-26</t>
        </is>
      </c>
      <c r="Z194" t="inlineStr">
        <is>
          <t>1993-02-26</t>
        </is>
      </c>
      <c r="AA194" t="n">
        <v>473</v>
      </c>
      <c r="AB194" t="n">
        <v>375</v>
      </c>
      <c r="AC194" t="n">
        <v>433</v>
      </c>
      <c r="AD194" t="n">
        <v>2</v>
      </c>
      <c r="AE194" t="n">
        <v>2</v>
      </c>
      <c r="AF194" t="n">
        <v>9</v>
      </c>
      <c r="AG194" t="n">
        <v>10</v>
      </c>
      <c r="AH194" t="n">
        <v>4</v>
      </c>
      <c r="AI194" t="n">
        <v>4</v>
      </c>
      <c r="AJ194" t="n">
        <v>0</v>
      </c>
      <c r="AK194" t="n">
        <v>0</v>
      </c>
      <c r="AL194" t="n">
        <v>5</v>
      </c>
      <c r="AM194" t="n">
        <v>6</v>
      </c>
      <c r="AN194" t="n">
        <v>1</v>
      </c>
      <c r="AO194" t="n">
        <v>1</v>
      </c>
      <c r="AP194" t="n">
        <v>0</v>
      </c>
      <c r="AQ194" t="n">
        <v>0</v>
      </c>
      <c r="AR194" t="inlineStr">
        <is>
          <t>Yes</t>
        </is>
      </c>
      <c r="AS194" t="inlineStr">
        <is>
          <t>Yes</t>
        </is>
      </c>
      <c r="AT194">
        <f>HYPERLINK("http://catalog.hathitrust.org/Record/001554371","HathiTrust Record")</f>
        <v/>
      </c>
      <c r="AU194">
        <f>HYPERLINK("https://creighton-primo.hosted.exlibrisgroup.com/primo-explore/search?tab=default_tab&amp;search_scope=EVERYTHING&amp;vid=01CRU&amp;lang=en_US&amp;offset=0&amp;query=any,contains,991003328919702656","Catalog Record")</f>
        <v/>
      </c>
      <c r="AV194">
        <f>HYPERLINK("http://www.worldcat.org/oclc/858742","WorldCat Record")</f>
        <v/>
      </c>
      <c r="AW194" t="inlineStr">
        <is>
          <t>795552615:eng</t>
        </is>
      </c>
      <c r="AX194" t="inlineStr">
        <is>
          <t>858742</t>
        </is>
      </c>
      <c r="AY194" t="inlineStr">
        <is>
          <t>991003328919702656</t>
        </is>
      </c>
      <c r="AZ194" t="inlineStr">
        <is>
          <t>991003328919702656</t>
        </is>
      </c>
      <c r="BA194" t="inlineStr">
        <is>
          <t>2267153270002656</t>
        </is>
      </c>
      <c r="BB194" t="inlineStr">
        <is>
          <t>BOOK</t>
        </is>
      </c>
      <c r="BD194" t="inlineStr">
        <is>
          <t>9780397473090</t>
        </is>
      </c>
      <c r="BE194" t="inlineStr">
        <is>
          <t>32285001560753</t>
        </is>
      </c>
      <c r="BF194" t="inlineStr">
        <is>
          <t>893711270</t>
        </is>
      </c>
    </row>
    <row r="195">
      <c r="B195" t="inlineStr">
        <is>
          <t>CURAL</t>
        </is>
      </c>
      <c r="C195" t="inlineStr">
        <is>
          <t>SHELVES</t>
        </is>
      </c>
      <c r="D195" t="inlineStr">
        <is>
          <t>QP303 .G63 1988</t>
        </is>
      </c>
      <c r="E195" t="inlineStr">
        <is>
          <t>0                      QP 0303000G  63          1988</t>
        </is>
      </c>
      <c r="F195" t="inlineStr">
        <is>
          <t>Scientific bases of human movement / Barbara A. Gowitzke, Morris Milner.</t>
        </is>
      </c>
      <c r="H195" t="inlineStr">
        <is>
          <t>No</t>
        </is>
      </c>
      <c r="I195" t="inlineStr">
        <is>
          <t>1</t>
        </is>
      </c>
      <c r="J195" t="inlineStr">
        <is>
          <t>No</t>
        </is>
      </c>
      <c r="K195" t="inlineStr">
        <is>
          <t>No</t>
        </is>
      </c>
      <c r="L195" t="inlineStr">
        <is>
          <t>0</t>
        </is>
      </c>
      <c r="M195" t="inlineStr">
        <is>
          <t>Gowitzke, Barbara A.</t>
        </is>
      </c>
      <c r="N195" t="inlineStr">
        <is>
          <t>Baltimore : Williams &amp; Wilkins, c1988.</t>
        </is>
      </c>
      <c r="O195" t="inlineStr">
        <is>
          <t>1988</t>
        </is>
      </c>
      <c r="P195" t="inlineStr">
        <is>
          <t>3d ed.</t>
        </is>
      </c>
      <c r="Q195" t="inlineStr">
        <is>
          <t>eng</t>
        </is>
      </c>
      <c r="R195" t="inlineStr">
        <is>
          <t>mdu</t>
        </is>
      </c>
      <c r="T195" t="inlineStr">
        <is>
          <t xml:space="preserve">QP </t>
        </is>
      </c>
      <c r="U195" t="n">
        <v>8</v>
      </c>
      <c r="V195" t="n">
        <v>8</v>
      </c>
      <c r="W195" t="inlineStr">
        <is>
          <t>2008-02-24</t>
        </is>
      </c>
      <c r="X195" t="inlineStr">
        <is>
          <t>2008-02-24</t>
        </is>
      </c>
      <c r="Y195" t="inlineStr">
        <is>
          <t>1992-05-06</t>
        </is>
      </c>
      <c r="Z195" t="inlineStr">
        <is>
          <t>1992-05-06</t>
        </is>
      </c>
      <c r="AA195" t="n">
        <v>340</v>
      </c>
      <c r="AB195" t="n">
        <v>263</v>
      </c>
      <c r="AC195" t="n">
        <v>274</v>
      </c>
      <c r="AD195" t="n">
        <v>2</v>
      </c>
      <c r="AE195" t="n">
        <v>2</v>
      </c>
      <c r="AF195" t="n">
        <v>3</v>
      </c>
      <c r="AG195" t="n">
        <v>3</v>
      </c>
      <c r="AH195" t="n">
        <v>1</v>
      </c>
      <c r="AI195" t="n">
        <v>1</v>
      </c>
      <c r="AJ195" t="n">
        <v>1</v>
      </c>
      <c r="AK195" t="n">
        <v>1</v>
      </c>
      <c r="AL195" t="n">
        <v>0</v>
      </c>
      <c r="AM195" t="n">
        <v>0</v>
      </c>
      <c r="AN195" t="n">
        <v>1</v>
      </c>
      <c r="AO195" t="n">
        <v>1</v>
      </c>
      <c r="AP195" t="n">
        <v>0</v>
      </c>
      <c r="AQ195" t="n">
        <v>0</v>
      </c>
      <c r="AR195" t="inlineStr">
        <is>
          <t>No</t>
        </is>
      </c>
      <c r="AS195" t="inlineStr">
        <is>
          <t>Yes</t>
        </is>
      </c>
      <c r="AT195">
        <f>HYPERLINK("http://catalog.hathitrust.org/Record/000919878","HathiTrust Record")</f>
        <v/>
      </c>
      <c r="AU195">
        <f>HYPERLINK("https://creighton-primo.hosted.exlibrisgroup.com/primo-explore/search?tab=default_tab&amp;search_scope=EVERYTHING&amp;vid=01CRU&amp;lang=en_US&amp;offset=0&amp;query=any,contains,991001023619702656","Catalog Record")</f>
        <v/>
      </c>
      <c r="AV195">
        <f>HYPERLINK("http://www.worldcat.org/oclc/15424295","WorldCat Record")</f>
        <v/>
      </c>
      <c r="AW195" t="inlineStr">
        <is>
          <t>3901106480:eng</t>
        </is>
      </c>
      <c r="AX195" t="inlineStr">
        <is>
          <t>15424295</t>
        </is>
      </c>
      <c r="AY195" t="inlineStr">
        <is>
          <t>991001023619702656</t>
        </is>
      </c>
      <c r="AZ195" t="inlineStr">
        <is>
          <t>991001023619702656</t>
        </is>
      </c>
      <c r="BA195" t="inlineStr">
        <is>
          <t>2260226890002656</t>
        </is>
      </c>
      <c r="BB195" t="inlineStr">
        <is>
          <t>BOOK</t>
        </is>
      </c>
      <c r="BD195" t="inlineStr">
        <is>
          <t>9780683035933</t>
        </is>
      </c>
      <c r="BE195" t="inlineStr">
        <is>
          <t>32285001121119</t>
        </is>
      </c>
      <c r="BF195" t="inlineStr">
        <is>
          <t>893720901</t>
        </is>
      </c>
    </row>
    <row r="196">
      <c r="B196" t="inlineStr">
        <is>
          <t>CURAL</t>
        </is>
      </c>
      <c r="C196" t="inlineStr">
        <is>
          <t>SHELVES</t>
        </is>
      </c>
      <c r="D196" t="inlineStr">
        <is>
          <t>QP303 .H354 2003</t>
        </is>
      </c>
      <c r="E196" t="inlineStr">
        <is>
          <t>0                      QP 0303000H  354         2003</t>
        </is>
      </c>
      <c r="F196" t="inlineStr">
        <is>
          <t>Biomechanical basis of human movement / Joseph Hamill, Kathleen M. Knutzen.</t>
        </is>
      </c>
      <c r="H196" t="inlineStr">
        <is>
          <t>No</t>
        </is>
      </c>
      <c r="I196" t="inlineStr">
        <is>
          <t>1</t>
        </is>
      </c>
      <c r="J196" t="inlineStr">
        <is>
          <t>No</t>
        </is>
      </c>
      <c r="K196" t="inlineStr">
        <is>
          <t>No</t>
        </is>
      </c>
      <c r="L196" t="inlineStr">
        <is>
          <t>0</t>
        </is>
      </c>
      <c r="M196" t="inlineStr">
        <is>
          <t>Hamill, Joseph, 1946-</t>
        </is>
      </c>
      <c r="N196" t="inlineStr">
        <is>
          <t>Philadelphia : Lippincott Williams &amp; Wilkins, c2003.</t>
        </is>
      </c>
      <c r="O196" t="inlineStr">
        <is>
          <t>2003</t>
        </is>
      </c>
      <c r="P196" t="inlineStr">
        <is>
          <t>2nd ed.</t>
        </is>
      </c>
      <c r="Q196" t="inlineStr">
        <is>
          <t>eng</t>
        </is>
      </c>
      <c r="R196" t="inlineStr">
        <is>
          <t>pau</t>
        </is>
      </c>
      <c r="T196" t="inlineStr">
        <is>
          <t xml:space="preserve">QP </t>
        </is>
      </c>
      <c r="U196" t="n">
        <v>3</v>
      </c>
      <c r="V196" t="n">
        <v>3</v>
      </c>
      <c r="W196" t="inlineStr">
        <is>
          <t>2010-04-14</t>
        </is>
      </c>
      <c r="X196" t="inlineStr">
        <is>
          <t>2010-04-14</t>
        </is>
      </c>
      <c r="Y196" t="inlineStr">
        <is>
          <t>2005-01-18</t>
        </is>
      </c>
      <c r="Z196" t="inlineStr">
        <is>
          <t>2005-01-18</t>
        </is>
      </c>
      <c r="AA196" t="n">
        <v>386</v>
      </c>
      <c r="AB196" t="n">
        <v>260</v>
      </c>
      <c r="AC196" t="n">
        <v>594</v>
      </c>
      <c r="AD196" t="n">
        <v>3</v>
      </c>
      <c r="AE196" t="n">
        <v>5</v>
      </c>
      <c r="AF196" t="n">
        <v>11</v>
      </c>
      <c r="AG196" t="n">
        <v>27</v>
      </c>
      <c r="AH196" t="n">
        <v>5</v>
      </c>
      <c r="AI196" t="n">
        <v>14</v>
      </c>
      <c r="AJ196" t="n">
        <v>2</v>
      </c>
      <c r="AK196" t="n">
        <v>3</v>
      </c>
      <c r="AL196" t="n">
        <v>6</v>
      </c>
      <c r="AM196" t="n">
        <v>13</v>
      </c>
      <c r="AN196" t="n">
        <v>2</v>
      </c>
      <c r="AO196" t="n">
        <v>4</v>
      </c>
      <c r="AP196" t="n">
        <v>0</v>
      </c>
      <c r="AQ196" t="n">
        <v>0</v>
      </c>
      <c r="AR196" t="inlineStr">
        <is>
          <t>No</t>
        </is>
      </c>
      <c r="AS196" t="inlineStr">
        <is>
          <t>No</t>
        </is>
      </c>
      <c r="AU196">
        <f>HYPERLINK("https://creighton-primo.hosted.exlibrisgroup.com/primo-explore/search?tab=default_tab&amp;search_scope=EVERYTHING&amp;vid=01CRU&amp;lang=en_US&amp;offset=0&amp;query=any,contains,991004426469702656","Catalog Record")</f>
        <v/>
      </c>
      <c r="AV196">
        <f>HYPERLINK("http://www.worldcat.org/oclc/50503177","WorldCat Record")</f>
        <v/>
      </c>
      <c r="AW196" t="inlineStr">
        <is>
          <t>5972705:eng</t>
        </is>
      </c>
      <c r="AX196" t="inlineStr">
        <is>
          <t>50503177</t>
        </is>
      </c>
      <c r="AY196" t="inlineStr">
        <is>
          <t>991004426469702656</t>
        </is>
      </c>
      <c r="AZ196" t="inlineStr">
        <is>
          <t>991004426469702656</t>
        </is>
      </c>
      <c r="BA196" t="inlineStr">
        <is>
          <t>2272320600002656</t>
        </is>
      </c>
      <c r="BB196" t="inlineStr">
        <is>
          <t>BOOK</t>
        </is>
      </c>
      <c r="BD196" t="inlineStr">
        <is>
          <t>9780781734059</t>
        </is>
      </c>
      <c r="BE196" t="inlineStr">
        <is>
          <t>32285005020614</t>
        </is>
      </c>
      <c r="BF196" t="inlineStr">
        <is>
          <t>893618655</t>
        </is>
      </c>
    </row>
    <row r="197">
      <c r="B197" t="inlineStr">
        <is>
          <t>CURAL</t>
        </is>
      </c>
      <c r="C197" t="inlineStr">
        <is>
          <t>SHELVES</t>
        </is>
      </c>
      <c r="D197" t="inlineStr">
        <is>
          <t>QP303 .H389</t>
        </is>
      </c>
      <c r="E197" t="inlineStr">
        <is>
          <t>0                      QP 0303000H  389</t>
        </is>
      </c>
      <c r="F197" t="inlineStr">
        <is>
          <t>The anatomical and mechanical bases of human motion / James G. Hay, J. Gavin Reid.</t>
        </is>
      </c>
      <c r="H197" t="inlineStr">
        <is>
          <t>No</t>
        </is>
      </c>
      <c r="I197" t="inlineStr">
        <is>
          <t>1</t>
        </is>
      </c>
      <c r="J197" t="inlineStr">
        <is>
          <t>No</t>
        </is>
      </c>
      <c r="K197" t="inlineStr">
        <is>
          <t>No</t>
        </is>
      </c>
      <c r="L197" t="inlineStr">
        <is>
          <t>0</t>
        </is>
      </c>
      <c r="M197" t="inlineStr">
        <is>
          <t>Hay, James G., 1936-2002.</t>
        </is>
      </c>
      <c r="N197" t="inlineStr">
        <is>
          <t>Englewood Cliffs, N.J. : Prentice-Hall, c1982.</t>
        </is>
      </c>
      <c r="O197" t="inlineStr">
        <is>
          <t>1982</t>
        </is>
      </c>
      <c r="Q197" t="inlineStr">
        <is>
          <t>eng</t>
        </is>
      </c>
      <c r="R197" t="inlineStr">
        <is>
          <t>nju</t>
        </is>
      </c>
      <c r="T197" t="inlineStr">
        <is>
          <t xml:space="preserve">QP </t>
        </is>
      </c>
      <c r="U197" t="n">
        <v>13</v>
      </c>
      <c r="V197" t="n">
        <v>13</v>
      </c>
      <c r="W197" t="inlineStr">
        <is>
          <t>2007-11-13</t>
        </is>
      </c>
      <c r="X197" t="inlineStr">
        <is>
          <t>2007-11-13</t>
        </is>
      </c>
      <c r="Y197" t="inlineStr">
        <is>
          <t>1992-02-25</t>
        </is>
      </c>
      <c r="Z197" t="inlineStr">
        <is>
          <t>1992-02-25</t>
        </is>
      </c>
      <c r="AA197" t="n">
        <v>617</v>
      </c>
      <c r="AB197" t="n">
        <v>507</v>
      </c>
      <c r="AC197" t="n">
        <v>510</v>
      </c>
      <c r="AD197" t="n">
        <v>6</v>
      </c>
      <c r="AE197" t="n">
        <v>6</v>
      </c>
      <c r="AF197" t="n">
        <v>21</v>
      </c>
      <c r="AG197" t="n">
        <v>21</v>
      </c>
      <c r="AH197" t="n">
        <v>11</v>
      </c>
      <c r="AI197" t="n">
        <v>11</v>
      </c>
      <c r="AJ197" t="n">
        <v>3</v>
      </c>
      <c r="AK197" t="n">
        <v>3</v>
      </c>
      <c r="AL197" t="n">
        <v>6</v>
      </c>
      <c r="AM197" t="n">
        <v>6</v>
      </c>
      <c r="AN197" t="n">
        <v>5</v>
      </c>
      <c r="AO197" t="n">
        <v>5</v>
      </c>
      <c r="AP197" t="n">
        <v>0</v>
      </c>
      <c r="AQ197" t="n">
        <v>0</v>
      </c>
      <c r="AR197" t="inlineStr">
        <is>
          <t>No</t>
        </is>
      </c>
      <c r="AS197" t="inlineStr">
        <is>
          <t>Yes</t>
        </is>
      </c>
      <c r="AT197">
        <f>HYPERLINK("http://catalog.hathitrust.org/Record/000269732","HathiTrust Record")</f>
        <v/>
      </c>
      <c r="AU197">
        <f>HYPERLINK("https://creighton-primo.hosted.exlibrisgroup.com/primo-explore/search?tab=default_tab&amp;search_scope=EVERYTHING&amp;vid=01CRU&amp;lang=en_US&amp;offset=0&amp;query=any,contains,991005387859702656","Catalog Record")</f>
        <v/>
      </c>
      <c r="AV197">
        <f>HYPERLINK("http://www.worldcat.org/oclc/7572387","WorldCat Record")</f>
        <v/>
      </c>
      <c r="AW197" t="inlineStr">
        <is>
          <t>410116:eng</t>
        </is>
      </c>
      <c r="AX197" t="inlineStr">
        <is>
          <t>7572387</t>
        </is>
      </c>
      <c r="AY197" t="inlineStr">
        <is>
          <t>991005387859702656</t>
        </is>
      </c>
      <c r="AZ197" t="inlineStr">
        <is>
          <t>991005387859702656</t>
        </is>
      </c>
      <c r="BA197" t="inlineStr">
        <is>
          <t>2269931610002656</t>
        </is>
      </c>
      <c r="BB197" t="inlineStr">
        <is>
          <t>BOOK</t>
        </is>
      </c>
      <c r="BD197" t="inlineStr">
        <is>
          <t>9780130351395</t>
        </is>
      </c>
      <c r="BE197" t="inlineStr">
        <is>
          <t>32285000976356</t>
        </is>
      </c>
      <c r="BF197" t="inlineStr">
        <is>
          <t>893871102</t>
        </is>
      </c>
    </row>
    <row r="198">
      <c r="B198" t="inlineStr">
        <is>
          <t>CURAL</t>
        </is>
      </c>
      <c r="C198" t="inlineStr">
        <is>
          <t>SHELVES</t>
        </is>
      </c>
      <c r="D198" t="inlineStr">
        <is>
          <t>QP303 .H54 1981</t>
        </is>
      </c>
      <c r="E198" t="inlineStr">
        <is>
          <t>0                      QP 0303000H  54          1981</t>
        </is>
      </c>
      <c r="F198" t="inlineStr">
        <is>
          <t>Kinesiology / Marilyn M. Hinson.</t>
        </is>
      </c>
      <c r="H198" t="inlineStr">
        <is>
          <t>No</t>
        </is>
      </c>
      <c r="I198" t="inlineStr">
        <is>
          <t>1</t>
        </is>
      </c>
      <c r="J198" t="inlineStr">
        <is>
          <t>No</t>
        </is>
      </c>
      <c r="K198" t="inlineStr">
        <is>
          <t>Yes</t>
        </is>
      </c>
      <c r="L198" t="inlineStr">
        <is>
          <t>0</t>
        </is>
      </c>
      <c r="M198" t="inlineStr">
        <is>
          <t>Hinson, Marilyn M.</t>
        </is>
      </c>
      <c r="N198" t="inlineStr">
        <is>
          <t>[Dubuque, Iowa] : W.C. Brown Co. Publishers, c1981.</t>
        </is>
      </c>
      <c r="O198" t="inlineStr">
        <is>
          <t>1981</t>
        </is>
      </c>
      <c r="P198" t="inlineStr">
        <is>
          <t>2nd ed.</t>
        </is>
      </c>
      <c r="Q198" t="inlineStr">
        <is>
          <t>eng</t>
        </is>
      </c>
      <c r="R198" t="inlineStr">
        <is>
          <t>iau</t>
        </is>
      </c>
      <c r="T198" t="inlineStr">
        <is>
          <t xml:space="preserve">QP </t>
        </is>
      </c>
      <c r="U198" t="n">
        <v>4</v>
      </c>
      <c r="V198" t="n">
        <v>4</v>
      </c>
      <c r="W198" t="inlineStr">
        <is>
          <t>2008-02-21</t>
        </is>
      </c>
      <c r="X198" t="inlineStr">
        <is>
          <t>2008-02-21</t>
        </is>
      </c>
      <c r="Y198" t="inlineStr">
        <is>
          <t>1992-10-07</t>
        </is>
      </c>
      <c r="Z198" t="inlineStr">
        <is>
          <t>1992-10-07</t>
        </is>
      </c>
      <c r="AA198" t="n">
        <v>178</v>
      </c>
      <c r="AB198" t="n">
        <v>153</v>
      </c>
      <c r="AC198" t="n">
        <v>281</v>
      </c>
      <c r="AD198" t="n">
        <v>1</v>
      </c>
      <c r="AE198" t="n">
        <v>2</v>
      </c>
      <c r="AF198" t="n">
        <v>4</v>
      </c>
      <c r="AG198" t="n">
        <v>8</v>
      </c>
      <c r="AH198" t="n">
        <v>4</v>
      </c>
      <c r="AI198" t="n">
        <v>6</v>
      </c>
      <c r="AJ198" t="n">
        <v>0</v>
      </c>
      <c r="AK198" t="n">
        <v>0</v>
      </c>
      <c r="AL198" t="n">
        <v>0</v>
      </c>
      <c r="AM198" t="n">
        <v>2</v>
      </c>
      <c r="AN198" t="n">
        <v>0</v>
      </c>
      <c r="AO198" t="n">
        <v>0</v>
      </c>
      <c r="AP198" t="n">
        <v>0</v>
      </c>
      <c r="AQ198" t="n">
        <v>0</v>
      </c>
      <c r="AR198" t="inlineStr">
        <is>
          <t>No</t>
        </is>
      </c>
      <c r="AS198" t="inlineStr">
        <is>
          <t>No</t>
        </is>
      </c>
      <c r="AU198">
        <f>HYPERLINK("https://creighton-primo.hosted.exlibrisgroup.com/primo-explore/search?tab=default_tab&amp;search_scope=EVERYTHING&amp;vid=01CRU&amp;lang=en_US&amp;offset=0&amp;query=any,contains,991005108499702656","Catalog Record")</f>
        <v/>
      </c>
      <c r="AV198">
        <f>HYPERLINK("http://www.worldcat.org/oclc/7378730","WorldCat Record")</f>
        <v/>
      </c>
      <c r="AW198" t="inlineStr">
        <is>
          <t>443342:eng</t>
        </is>
      </c>
      <c r="AX198" t="inlineStr">
        <is>
          <t>7378730</t>
        </is>
      </c>
      <c r="AY198" t="inlineStr">
        <is>
          <t>991005108499702656</t>
        </is>
      </c>
      <c r="AZ198" t="inlineStr">
        <is>
          <t>991005108499702656</t>
        </is>
      </c>
      <c r="BA198" t="inlineStr">
        <is>
          <t>2268486720002656</t>
        </is>
      </c>
      <c r="BB198" t="inlineStr">
        <is>
          <t>BOOK</t>
        </is>
      </c>
      <c r="BD198" t="inlineStr">
        <is>
          <t>9780697071736</t>
        </is>
      </c>
      <c r="BE198" t="inlineStr">
        <is>
          <t>32285001327856</t>
        </is>
      </c>
      <c r="BF198" t="inlineStr">
        <is>
          <t>893889683</t>
        </is>
      </c>
    </row>
    <row r="199">
      <c r="B199" t="inlineStr">
        <is>
          <t>CURAL</t>
        </is>
      </c>
      <c r="C199" t="inlineStr">
        <is>
          <t>SHELVES</t>
        </is>
      </c>
      <c r="D199" t="inlineStr">
        <is>
          <t>QP303 .I488 1981</t>
        </is>
      </c>
      <c r="E199" t="inlineStr">
        <is>
          <t>0                      QP 0303000I  488         1981</t>
        </is>
      </c>
      <c r="F199" t="inlineStr">
        <is>
          <t>Biomechanics VIII : proceedings of the Eighth International Congress of Biomechanics, Nagoya, Japan / editors, Hideji Matsui, Kando Kobayashi.</t>
        </is>
      </c>
      <c r="H199" t="inlineStr">
        <is>
          <t>Yes</t>
        </is>
      </c>
      <c r="I199" t="inlineStr">
        <is>
          <t>1</t>
        </is>
      </c>
      <c r="J199" t="inlineStr">
        <is>
          <t>Yes</t>
        </is>
      </c>
      <c r="K199" t="inlineStr">
        <is>
          <t>No</t>
        </is>
      </c>
      <c r="L199" t="inlineStr">
        <is>
          <t>0</t>
        </is>
      </c>
      <c r="M199" t="inlineStr">
        <is>
          <t>International Congress of Biomechanics (8th : 1981 : Nagoya-shi, Japan)</t>
        </is>
      </c>
      <c r="N199" t="inlineStr">
        <is>
          <t>Champaign, Ill. : Human Kinetics Publishers, c1983.</t>
        </is>
      </c>
      <c r="O199" t="inlineStr">
        <is>
          <t>1983</t>
        </is>
      </c>
      <c r="Q199" t="inlineStr">
        <is>
          <t>eng</t>
        </is>
      </c>
      <c r="R199" t="inlineStr">
        <is>
          <t>ilu</t>
        </is>
      </c>
      <c r="S199" t="inlineStr">
        <is>
          <t>International series on biomechanics, 0360-344X ; v. 4A-4B</t>
        </is>
      </c>
      <c r="T199" t="inlineStr">
        <is>
          <t xml:space="preserve">QP </t>
        </is>
      </c>
      <c r="U199" t="n">
        <v>1</v>
      </c>
      <c r="V199" t="n">
        <v>5</v>
      </c>
      <c r="W199" t="inlineStr">
        <is>
          <t>2008-02-04</t>
        </is>
      </c>
      <c r="X199" t="inlineStr">
        <is>
          <t>2008-02-04</t>
        </is>
      </c>
      <c r="Y199" t="inlineStr">
        <is>
          <t>1992-02-11</t>
        </is>
      </c>
      <c r="Z199" t="inlineStr">
        <is>
          <t>1992-02-11</t>
        </is>
      </c>
      <c r="AA199" t="n">
        <v>288</v>
      </c>
      <c r="AB199" t="n">
        <v>224</v>
      </c>
      <c r="AC199" t="n">
        <v>229</v>
      </c>
      <c r="AD199" t="n">
        <v>3</v>
      </c>
      <c r="AE199" t="n">
        <v>3</v>
      </c>
      <c r="AF199" t="n">
        <v>7</v>
      </c>
      <c r="AG199" t="n">
        <v>7</v>
      </c>
      <c r="AH199" t="n">
        <v>3</v>
      </c>
      <c r="AI199" t="n">
        <v>3</v>
      </c>
      <c r="AJ199" t="n">
        <v>2</v>
      </c>
      <c r="AK199" t="n">
        <v>2</v>
      </c>
      <c r="AL199" t="n">
        <v>1</v>
      </c>
      <c r="AM199" t="n">
        <v>1</v>
      </c>
      <c r="AN199" t="n">
        <v>2</v>
      </c>
      <c r="AO199" t="n">
        <v>2</v>
      </c>
      <c r="AP199" t="n">
        <v>0</v>
      </c>
      <c r="AQ199" t="n">
        <v>0</v>
      </c>
      <c r="AR199" t="inlineStr">
        <is>
          <t>No</t>
        </is>
      </c>
      <c r="AS199" t="inlineStr">
        <is>
          <t>Yes</t>
        </is>
      </c>
      <c r="AT199">
        <f>HYPERLINK("http://catalog.hathitrust.org/Record/004417705","HathiTrust Record")</f>
        <v/>
      </c>
      <c r="AU199">
        <f>HYPERLINK("https://creighton-primo.hosted.exlibrisgroup.com/primo-explore/search?tab=default_tab&amp;search_scope=EVERYTHING&amp;vid=01CRU&amp;lang=en_US&amp;offset=0&amp;query=any,contains,991000260159702656","Catalog Record")</f>
        <v/>
      </c>
      <c r="AV199">
        <f>HYPERLINK("http://www.worldcat.org/oclc/9797406","WorldCat Record")</f>
        <v/>
      </c>
      <c r="AW199" t="inlineStr">
        <is>
          <t>988301721:eng</t>
        </is>
      </c>
      <c r="AX199" t="inlineStr">
        <is>
          <t>9797406</t>
        </is>
      </c>
      <c r="AY199" t="inlineStr">
        <is>
          <t>991000260159702656</t>
        </is>
      </c>
      <c r="AZ199" t="inlineStr">
        <is>
          <t>991000260159702656</t>
        </is>
      </c>
      <c r="BA199" t="inlineStr">
        <is>
          <t>2268279820002656</t>
        </is>
      </c>
      <c r="BB199" t="inlineStr">
        <is>
          <t>BOOK</t>
        </is>
      </c>
      <c r="BD199" t="inlineStr">
        <is>
          <t>9780931250446</t>
        </is>
      </c>
      <c r="BE199" t="inlineStr">
        <is>
          <t>32285000955830</t>
        </is>
      </c>
      <c r="BF199" t="inlineStr">
        <is>
          <t>893351470</t>
        </is>
      </c>
    </row>
    <row r="200">
      <c r="B200" t="inlineStr">
        <is>
          <t>CURAL</t>
        </is>
      </c>
      <c r="C200" t="inlineStr">
        <is>
          <t>SHELVES</t>
        </is>
      </c>
      <c r="D200" t="inlineStr">
        <is>
          <t>QP303 .I488 1981 PT.B</t>
        </is>
      </c>
      <c r="E200" t="inlineStr">
        <is>
          <t>0                      QP 0303000I  488         1981                                        PT.B</t>
        </is>
      </c>
      <c r="F200" t="inlineStr">
        <is>
          <t>Biomechanics VIII : proceedings of the Eighth International Congress of Biomechanics, Nagoya, Japan / editors, Hideji Matsui, Kando Kobayashi.</t>
        </is>
      </c>
      <c r="G200" t="inlineStr">
        <is>
          <t>PT.B*</t>
        </is>
      </c>
      <c r="H200" t="inlineStr">
        <is>
          <t>Yes</t>
        </is>
      </c>
      <c r="I200" t="inlineStr">
        <is>
          <t>1</t>
        </is>
      </c>
      <c r="J200" t="inlineStr">
        <is>
          <t>No</t>
        </is>
      </c>
      <c r="K200" t="inlineStr">
        <is>
          <t>No</t>
        </is>
      </c>
      <c r="L200" t="inlineStr">
        <is>
          <t>0</t>
        </is>
      </c>
      <c r="M200" t="inlineStr">
        <is>
          <t>International Congress of Biomechanics (8th : 1981 : Nagoya-shi, Japan)</t>
        </is>
      </c>
      <c r="N200" t="inlineStr">
        <is>
          <t>Champaign, Ill. : Human Kinetics Publishers, c1983.</t>
        </is>
      </c>
      <c r="O200" t="inlineStr">
        <is>
          <t>1983</t>
        </is>
      </c>
      <c r="Q200" t="inlineStr">
        <is>
          <t>eng</t>
        </is>
      </c>
      <c r="R200" t="inlineStr">
        <is>
          <t>ilu</t>
        </is>
      </c>
      <c r="S200" t="inlineStr">
        <is>
          <t>International series on biomechanics, 0360-344X ; v. 4A-4B</t>
        </is>
      </c>
      <c r="T200" t="inlineStr">
        <is>
          <t xml:space="preserve">QP </t>
        </is>
      </c>
      <c r="U200" t="n">
        <v>4</v>
      </c>
      <c r="V200" t="n">
        <v>5</v>
      </c>
      <c r="W200" t="inlineStr">
        <is>
          <t>1994-03-20</t>
        </is>
      </c>
      <c r="X200" t="inlineStr">
        <is>
          <t>2008-02-04</t>
        </is>
      </c>
      <c r="Y200" t="inlineStr">
        <is>
          <t>1992-02-11</t>
        </is>
      </c>
      <c r="Z200" t="inlineStr">
        <is>
          <t>1992-02-11</t>
        </is>
      </c>
      <c r="AA200" t="n">
        <v>288</v>
      </c>
      <c r="AB200" t="n">
        <v>224</v>
      </c>
      <c r="AC200" t="n">
        <v>229</v>
      </c>
      <c r="AD200" t="n">
        <v>3</v>
      </c>
      <c r="AE200" t="n">
        <v>3</v>
      </c>
      <c r="AF200" t="n">
        <v>7</v>
      </c>
      <c r="AG200" t="n">
        <v>7</v>
      </c>
      <c r="AH200" t="n">
        <v>3</v>
      </c>
      <c r="AI200" t="n">
        <v>3</v>
      </c>
      <c r="AJ200" t="n">
        <v>2</v>
      </c>
      <c r="AK200" t="n">
        <v>2</v>
      </c>
      <c r="AL200" t="n">
        <v>1</v>
      </c>
      <c r="AM200" t="n">
        <v>1</v>
      </c>
      <c r="AN200" t="n">
        <v>2</v>
      </c>
      <c r="AO200" t="n">
        <v>2</v>
      </c>
      <c r="AP200" t="n">
        <v>0</v>
      </c>
      <c r="AQ200" t="n">
        <v>0</v>
      </c>
      <c r="AR200" t="inlineStr">
        <is>
          <t>No</t>
        </is>
      </c>
      <c r="AS200" t="inlineStr">
        <is>
          <t>Yes</t>
        </is>
      </c>
      <c r="AT200">
        <f>HYPERLINK("http://catalog.hathitrust.org/Record/004417705","HathiTrust Record")</f>
        <v/>
      </c>
      <c r="AU200">
        <f>HYPERLINK("https://creighton-primo.hosted.exlibrisgroup.com/primo-explore/search?tab=default_tab&amp;search_scope=EVERYTHING&amp;vid=01CRU&amp;lang=en_US&amp;offset=0&amp;query=any,contains,991000260159702656","Catalog Record")</f>
        <v/>
      </c>
      <c r="AV200">
        <f>HYPERLINK("http://www.worldcat.org/oclc/9797406","WorldCat Record")</f>
        <v/>
      </c>
      <c r="AW200" t="inlineStr">
        <is>
          <t>988301721:eng</t>
        </is>
      </c>
      <c r="AX200" t="inlineStr">
        <is>
          <t>9797406</t>
        </is>
      </c>
      <c r="AY200" t="inlineStr">
        <is>
          <t>991000260159702656</t>
        </is>
      </c>
      <c r="AZ200" t="inlineStr">
        <is>
          <t>991000260159702656</t>
        </is>
      </c>
      <c r="BA200" t="inlineStr">
        <is>
          <t>2268279820002656</t>
        </is>
      </c>
      <c r="BB200" t="inlineStr">
        <is>
          <t>BOOK</t>
        </is>
      </c>
      <c r="BD200" t="inlineStr">
        <is>
          <t>9780931250446</t>
        </is>
      </c>
      <c r="BE200" t="inlineStr">
        <is>
          <t>32285000955848</t>
        </is>
      </c>
      <c r="BF200" t="inlineStr">
        <is>
          <t>893345515</t>
        </is>
      </c>
    </row>
    <row r="201">
      <c r="B201" t="inlineStr">
        <is>
          <t>CURAL</t>
        </is>
      </c>
      <c r="C201" t="inlineStr">
        <is>
          <t>SHELVES</t>
        </is>
      </c>
      <c r="D201" t="inlineStr">
        <is>
          <t>QP303 .I488 1983</t>
        </is>
      </c>
      <c r="E201" t="inlineStr">
        <is>
          <t>0                      QP 0303000I  488         1983</t>
        </is>
      </c>
      <c r="F201" t="inlineStr">
        <is>
          <t>Biomechanics IX / editors, David A. Winter ... [et al.].</t>
        </is>
      </c>
      <c r="H201" t="inlineStr">
        <is>
          <t>Yes</t>
        </is>
      </c>
      <c r="I201" t="inlineStr">
        <is>
          <t>1</t>
        </is>
      </c>
      <c r="J201" t="inlineStr">
        <is>
          <t>Yes</t>
        </is>
      </c>
      <c r="K201" t="inlineStr">
        <is>
          <t>No</t>
        </is>
      </c>
      <c r="L201" t="inlineStr">
        <is>
          <t>0</t>
        </is>
      </c>
      <c r="M201" t="inlineStr">
        <is>
          <t>International Congress of Biomechanics (9th : 1983 : Waterloo, Ont.)</t>
        </is>
      </c>
      <c r="N201" t="inlineStr">
        <is>
          <t>Champaign, Ill. : Human Kinetics Publishers, c1985.</t>
        </is>
      </c>
      <c r="O201" t="inlineStr">
        <is>
          <t>1985</t>
        </is>
      </c>
      <c r="Q201" t="inlineStr">
        <is>
          <t>eng</t>
        </is>
      </c>
      <c r="R201" t="inlineStr">
        <is>
          <t>ilu</t>
        </is>
      </c>
      <c r="S201" t="inlineStr">
        <is>
          <t>International series on biomechanics, 0360-344X ; v. 5</t>
        </is>
      </c>
      <c r="T201" t="inlineStr">
        <is>
          <t xml:space="preserve">QP </t>
        </is>
      </c>
      <c r="U201" t="n">
        <v>1</v>
      </c>
      <c r="V201" t="n">
        <v>6</v>
      </c>
      <c r="W201" t="inlineStr">
        <is>
          <t>2002-04-29</t>
        </is>
      </c>
      <c r="X201" t="inlineStr">
        <is>
          <t>2002-04-29</t>
        </is>
      </c>
      <c r="Y201" t="inlineStr">
        <is>
          <t>1992-02-11</t>
        </is>
      </c>
      <c r="Z201" t="inlineStr">
        <is>
          <t>1992-02-11</t>
        </is>
      </c>
      <c r="AA201" t="n">
        <v>259</v>
      </c>
      <c r="AB201" t="n">
        <v>198</v>
      </c>
      <c r="AC201" t="n">
        <v>208</v>
      </c>
      <c r="AD201" t="n">
        <v>2</v>
      </c>
      <c r="AE201" t="n">
        <v>2</v>
      </c>
      <c r="AF201" t="n">
        <v>4</v>
      </c>
      <c r="AG201" t="n">
        <v>4</v>
      </c>
      <c r="AH201" t="n">
        <v>2</v>
      </c>
      <c r="AI201" t="n">
        <v>2</v>
      </c>
      <c r="AJ201" t="n">
        <v>1</v>
      </c>
      <c r="AK201" t="n">
        <v>1</v>
      </c>
      <c r="AL201" t="n">
        <v>0</v>
      </c>
      <c r="AM201" t="n">
        <v>0</v>
      </c>
      <c r="AN201" t="n">
        <v>1</v>
      </c>
      <c r="AO201" t="n">
        <v>1</v>
      </c>
      <c r="AP201" t="n">
        <v>0</v>
      </c>
      <c r="AQ201" t="n">
        <v>0</v>
      </c>
      <c r="AR201" t="inlineStr">
        <is>
          <t>No</t>
        </is>
      </c>
      <c r="AS201" t="inlineStr">
        <is>
          <t>Yes</t>
        </is>
      </c>
      <c r="AT201">
        <f>HYPERLINK("http://catalog.hathitrust.org/Record/000420536","HathiTrust Record")</f>
        <v/>
      </c>
      <c r="AU201">
        <f>HYPERLINK("https://creighton-primo.hosted.exlibrisgroup.com/primo-explore/search?tab=default_tab&amp;search_scope=EVERYTHING&amp;vid=01CRU&amp;lang=en_US&amp;offset=0&amp;query=any,contains,991000767799702656","Catalog Record")</f>
        <v/>
      </c>
      <c r="AV201">
        <f>HYPERLINK("http://www.worldcat.org/oclc/13005948","WorldCat Record")</f>
        <v/>
      </c>
      <c r="AW201" t="inlineStr">
        <is>
          <t>5429712:eng</t>
        </is>
      </c>
      <c r="AX201" t="inlineStr">
        <is>
          <t>13005948</t>
        </is>
      </c>
      <c r="AY201" t="inlineStr">
        <is>
          <t>991000767799702656</t>
        </is>
      </c>
      <c r="AZ201" t="inlineStr">
        <is>
          <t>991000767799702656</t>
        </is>
      </c>
      <c r="BA201" t="inlineStr">
        <is>
          <t>2266338770002656</t>
        </is>
      </c>
      <c r="BB201" t="inlineStr">
        <is>
          <t>BOOK</t>
        </is>
      </c>
      <c r="BD201" t="inlineStr">
        <is>
          <t>9780931250545</t>
        </is>
      </c>
      <c r="BE201" t="inlineStr">
        <is>
          <t>32285000955814</t>
        </is>
      </c>
      <c r="BF201" t="inlineStr">
        <is>
          <t>893790831</t>
        </is>
      </c>
    </row>
    <row r="202">
      <c r="B202" t="inlineStr">
        <is>
          <t>CURAL</t>
        </is>
      </c>
      <c r="C202" t="inlineStr">
        <is>
          <t>SHELVES</t>
        </is>
      </c>
      <c r="D202" t="inlineStr">
        <is>
          <t>QP303 .I488 1983 PT.B</t>
        </is>
      </c>
      <c r="E202" t="inlineStr">
        <is>
          <t>0                      QP 0303000I  488         1983                                        PT.B</t>
        </is>
      </c>
      <c r="F202" t="inlineStr">
        <is>
          <t>Biomechanics IX / editors, David A. Winter ... [et al.].</t>
        </is>
      </c>
      <c r="G202" t="inlineStr">
        <is>
          <t>PT.B*</t>
        </is>
      </c>
      <c r="H202" t="inlineStr">
        <is>
          <t>Yes</t>
        </is>
      </c>
      <c r="I202" t="inlineStr">
        <is>
          <t>1</t>
        </is>
      </c>
      <c r="J202" t="inlineStr">
        <is>
          <t>No</t>
        </is>
      </c>
      <c r="K202" t="inlineStr">
        <is>
          <t>No</t>
        </is>
      </c>
      <c r="L202" t="inlineStr">
        <is>
          <t>0</t>
        </is>
      </c>
      <c r="M202" t="inlineStr">
        <is>
          <t>International Congress of Biomechanics (9th : 1983 : Waterloo, Ont.)</t>
        </is>
      </c>
      <c r="N202" t="inlineStr">
        <is>
          <t>Champaign, Ill. : Human Kinetics Publishers, c1985.</t>
        </is>
      </c>
      <c r="O202" t="inlineStr">
        <is>
          <t>1985</t>
        </is>
      </c>
      <c r="Q202" t="inlineStr">
        <is>
          <t>eng</t>
        </is>
      </c>
      <c r="R202" t="inlineStr">
        <is>
          <t>ilu</t>
        </is>
      </c>
      <c r="S202" t="inlineStr">
        <is>
          <t>International series on biomechanics, 0360-344X ; v. 5</t>
        </is>
      </c>
      <c r="T202" t="inlineStr">
        <is>
          <t xml:space="preserve">QP </t>
        </is>
      </c>
      <c r="U202" t="n">
        <v>5</v>
      </c>
      <c r="V202" t="n">
        <v>6</v>
      </c>
      <c r="W202" t="inlineStr">
        <is>
          <t>1998-10-12</t>
        </is>
      </c>
      <c r="X202" t="inlineStr">
        <is>
          <t>2002-04-29</t>
        </is>
      </c>
      <c r="Y202" t="inlineStr">
        <is>
          <t>1992-02-11</t>
        </is>
      </c>
      <c r="Z202" t="inlineStr">
        <is>
          <t>1992-02-11</t>
        </is>
      </c>
      <c r="AA202" t="n">
        <v>259</v>
      </c>
      <c r="AB202" t="n">
        <v>198</v>
      </c>
      <c r="AC202" t="n">
        <v>208</v>
      </c>
      <c r="AD202" t="n">
        <v>2</v>
      </c>
      <c r="AE202" t="n">
        <v>2</v>
      </c>
      <c r="AF202" t="n">
        <v>4</v>
      </c>
      <c r="AG202" t="n">
        <v>4</v>
      </c>
      <c r="AH202" t="n">
        <v>2</v>
      </c>
      <c r="AI202" t="n">
        <v>2</v>
      </c>
      <c r="AJ202" t="n">
        <v>1</v>
      </c>
      <c r="AK202" t="n">
        <v>1</v>
      </c>
      <c r="AL202" t="n">
        <v>0</v>
      </c>
      <c r="AM202" t="n">
        <v>0</v>
      </c>
      <c r="AN202" t="n">
        <v>1</v>
      </c>
      <c r="AO202" t="n">
        <v>1</v>
      </c>
      <c r="AP202" t="n">
        <v>0</v>
      </c>
      <c r="AQ202" t="n">
        <v>0</v>
      </c>
      <c r="AR202" t="inlineStr">
        <is>
          <t>No</t>
        </is>
      </c>
      <c r="AS202" t="inlineStr">
        <is>
          <t>Yes</t>
        </is>
      </c>
      <c r="AT202">
        <f>HYPERLINK("http://catalog.hathitrust.org/Record/000420536","HathiTrust Record")</f>
        <v/>
      </c>
      <c r="AU202">
        <f>HYPERLINK("https://creighton-primo.hosted.exlibrisgroup.com/primo-explore/search?tab=default_tab&amp;search_scope=EVERYTHING&amp;vid=01CRU&amp;lang=en_US&amp;offset=0&amp;query=any,contains,991000767799702656","Catalog Record")</f>
        <v/>
      </c>
      <c r="AV202">
        <f>HYPERLINK("http://www.worldcat.org/oclc/13005948","WorldCat Record")</f>
        <v/>
      </c>
      <c r="AW202" t="inlineStr">
        <is>
          <t>5429712:eng</t>
        </is>
      </c>
      <c r="AX202" t="inlineStr">
        <is>
          <t>13005948</t>
        </is>
      </c>
      <c r="AY202" t="inlineStr">
        <is>
          <t>991000767799702656</t>
        </is>
      </c>
      <c r="AZ202" t="inlineStr">
        <is>
          <t>991000767799702656</t>
        </is>
      </c>
      <c r="BA202" t="inlineStr">
        <is>
          <t>2266338770002656</t>
        </is>
      </c>
      <c r="BB202" t="inlineStr">
        <is>
          <t>BOOK</t>
        </is>
      </c>
      <c r="BD202" t="inlineStr">
        <is>
          <t>9780931250545</t>
        </is>
      </c>
      <c r="BE202" t="inlineStr">
        <is>
          <t>32285000955822</t>
        </is>
      </c>
      <c r="BF202" t="inlineStr">
        <is>
          <t>893796971</t>
        </is>
      </c>
    </row>
    <row r="203">
      <c r="B203" t="inlineStr">
        <is>
          <t>CURAL</t>
        </is>
      </c>
      <c r="C203" t="inlineStr">
        <is>
          <t>SHELVES</t>
        </is>
      </c>
      <c r="D203" t="inlineStr">
        <is>
          <t>QP303 .I58 1979</t>
        </is>
      </c>
      <c r="E203" t="inlineStr">
        <is>
          <t>0                      QP 0303000I  58          1979</t>
        </is>
      </c>
      <c r="F203" t="inlineStr">
        <is>
          <t>Science in athletics / edited by Juris Terauds, George G. Dales.</t>
        </is>
      </c>
      <c r="H203" t="inlineStr">
        <is>
          <t>No</t>
        </is>
      </c>
      <c r="I203" t="inlineStr">
        <is>
          <t>1</t>
        </is>
      </c>
      <c r="J203" t="inlineStr">
        <is>
          <t>No</t>
        </is>
      </c>
      <c r="K203" t="inlineStr">
        <is>
          <t>No</t>
        </is>
      </c>
      <c r="L203" t="inlineStr">
        <is>
          <t>0</t>
        </is>
      </c>
      <c r="M203" t="inlineStr">
        <is>
          <t>International Symposium of Science in Athletics (1978 : University of Alberta)</t>
        </is>
      </c>
      <c r="N203" t="inlineStr">
        <is>
          <t>Del Mar, Calif. : Academic Publishers, 1979.</t>
        </is>
      </c>
      <c r="O203" t="inlineStr">
        <is>
          <t>1978</t>
        </is>
      </c>
      <c r="Q203" t="inlineStr">
        <is>
          <t>eng</t>
        </is>
      </c>
      <c r="R203" t="inlineStr">
        <is>
          <t>cau</t>
        </is>
      </c>
      <c r="S203" t="inlineStr">
        <is>
          <t>Science in sports series</t>
        </is>
      </c>
      <c r="T203" t="inlineStr">
        <is>
          <t xml:space="preserve">QP </t>
        </is>
      </c>
      <c r="U203" t="n">
        <v>8</v>
      </c>
      <c r="V203" t="n">
        <v>8</v>
      </c>
      <c r="W203" t="inlineStr">
        <is>
          <t>1995-03-26</t>
        </is>
      </c>
      <c r="X203" t="inlineStr">
        <is>
          <t>1995-03-26</t>
        </is>
      </c>
      <c r="Y203" t="inlineStr">
        <is>
          <t>1993-02-26</t>
        </is>
      </c>
      <c r="Z203" t="inlineStr">
        <is>
          <t>1993-02-26</t>
        </is>
      </c>
      <c r="AA203" t="n">
        <v>109</v>
      </c>
      <c r="AB203" t="n">
        <v>87</v>
      </c>
      <c r="AC203" t="n">
        <v>89</v>
      </c>
      <c r="AD203" t="n">
        <v>2</v>
      </c>
      <c r="AE203" t="n">
        <v>2</v>
      </c>
      <c r="AF203" t="n">
        <v>3</v>
      </c>
      <c r="AG203" t="n">
        <v>3</v>
      </c>
      <c r="AH203" t="n">
        <v>2</v>
      </c>
      <c r="AI203" t="n">
        <v>2</v>
      </c>
      <c r="AJ203" t="n">
        <v>0</v>
      </c>
      <c r="AK203" t="n">
        <v>0</v>
      </c>
      <c r="AL203" t="n">
        <v>0</v>
      </c>
      <c r="AM203" t="n">
        <v>0</v>
      </c>
      <c r="AN203" t="n">
        <v>1</v>
      </c>
      <c r="AO203" t="n">
        <v>1</v>
      </c>
      <c r="AP203" t="n">
        <v>0</v>
      </c>
      <c r="AQ203" t="n">
        <v>0</v>
      </c>
      <c r="AR203" t="inlineStr">
        <is>
          <t>No</t>
        </is>
      </c>
      <c r="AS203" t="inlineStr">
        <is>
          <t>Yes</t>
        </is>
      </c>
      <c r="AT203">
        <f>HYPERLINK("http://catalog.hathitrust.org/Record/009821230","HathiTrust Record")</f>
        <v/>
      </c>
      <c r="AU203">
        <f>HYPERLINK("https://creighton-primo.hosted.exlibrisgroup.com/primo-explore/search?tab=default_tab&amp;search_scope=EVERYTHING&amp;vid=01CRU&amp;lang=en_US&amp;offset=0&amp;query=any,contains,991004727069702656","Catalog Record")</f>
        <v/>
      </c>
      <c r="AV203">
        <f>HYPERLINK("http://www.worldcat.org/oclc/4820634","WorldCat Record")</f>
        <v/>
      </c>
      <c r="AW203" t="inlineStr">
        <is>
          <t>5578927385:eng</t>
        </is>
      </c>
      <c r="AX203" t="inlineStr">
        <is>
          <t>4820634</t>
        </is>
      </c>
      <c r="AY203" t="inlineStr">
        <is>
          <t>991004727069702656</t>
        </is>
      </c>
      <c r="AZ203" t="inlineStr">
        <is>
          <t>991004727069702656</t>
        </is>
      </c>
      <c r="BA203" t="inlineStr">
        <is>
          <t>2268817690002656</t>
        </is>
      </c>
      <c r="BB203" t="inlineStr">
        <is>
          <t>BOOK</t>
        </is>
      </c>
      <c r="BE203" t="inlineStr">
        <is>
          <t>32285001560779</t>
        </is>
      </c>
      <c r="BF203" t="inlineStr">
        <is>
          <t>893782585</t>
        </is>
      </c>
    </row>
    <row r="204">
      <c r="B204" t="inlineStr">
        <is>
          <t>CURAL</t>
        </is>
      </c>
      <c r="C204" t="inlineStr">
        <is>
          <t>SHELVES</t>
        </is>
      </c>
      <c r="D204" t="inlineStr">
        <is>
          <t>QP303 .I82 2000</t>
        </is>
      </c>
      <c r="E204" t="inlineStr">
        <is>
          <t>0                      QP 0303000I  82          2000</t>
        </is>
      </c>
      <c r="F204" t="inlineStr">
        <is>
          <t>Isokinetics in human performance / Lee E. Brown, editor.</t>
        </is>
      </c>
      <c r="H204" t="inlineStr">
        <is>
          <t>No</t>
        </is>
      </c>
      <c r="I204" t="inlineStr">
        <is>
          <t>1</t>
        </is>
      </c>
      <c r="J204" t="inlineStr">
        <is>
          <t>No</t>
        </is>
      </c>
      <c r="K204" t="inlineStr">
        <is>
          <t>No</t>
        </is>
      </c>
      <c r="L204" t="inlineStr">
        <is>
          <t>0</t>
        </is>
      </c>
      <c r="N204" t="inlineStr">
        <is>
          <t>Champaign, Ill. : Human Kinetics, 2000.</t>
        </is>
      </c>
      <c r="O204" t="inlineStr">
        <is>
          <t>2000</t>
        </is>
      </c>
      <c r="Q204" t="inlineStr">
        <is>
          <t>eng</t>
        </is>
      </c>
      <c r="R204" t="inlineStr">
        <is>
          <t>ilu</t>
        </is>
      </c>
      <c r="T204" t="inlineStr">
        <is>
          <t xml:space="preserve">QP </t>
        </is>
      </c>
      <c r="U204" t="n">
        <v>1</v>
      </c>
      <c r="V204" t="n">
        <v>1</v>
      </c>
      <c r="W204" t="inlineStr">
        <is>
          <t>2001-02-22</t>
        </is>
      </c>
      <c r="X204" t="inlineStr">
        <is>
          <t>2001-02-22</t>
        </is>
      </c>
      <c r="Y204" t="inlineStr">
        <is>
          <t>2001-02-22</t>
        </is>
      </c>
      <c r="Z204" t="inlineStr">
        <is>
          <t>2001-02-22</t>
        </is>
      </c>
      <c r="AA204" t="n">
        <v>374</v>
      </c>
      <c r="AB204" t="n">
        <v>282</v>
      </c>
      <c r="AC204" t="n">
        <v>283</v>
      </c>
      <c r="AD204" t="n">
        <v>3</v>
      </c>
      <c r="AE204" t="n">
        <v>3</v>
      </c>
      <c r="AF204" t="n">
        <v>15</v>
      </c>
      <c r="AG204" t="n">
        <v>15</v>
      </c>
      <c r="AH204" t="n">
        <v>8</v>
      </c>
      <c r="AI204" t="n">
        <v>8</v>
      </c>
      <c r="AJ204" t="n">
        <v>3</v>
      </c>
      <c r="AK204" t="n">
        <v>3</v>
      </c>
      <c r="AL204" t="n">
        <v>5</v>
      </c>
      <c r="AM204" t="n">
        <v>5</v>
      </c>
      <c r="AN204" t="n">
        <v>2</v>
      </c>
      <c r="AO204" t="n">
        <v>2</v>
      </c>
      <c r="AP204" t="n">
        <v>0</v>
      </c>
      <c r="AQ204" t="n">
        <v>0</v>
      </c>
      <c r="AR204" t="inlineStr">
        <is>
          <t>No</t>
        </is>
      </c>
      <c r="AS204" t="inlineStr">
        <is>
          <t>Yes</t>
        </is>
      </c>
      <c r="AT204">
        <f>HYPERLINK("http://catalog.hathitrust.org/Record/004144164","HathiTrust Record")</f>
        <v/>
      </c>
      <c r="AU204">
        <f>HYPERLINK("https://creighton-primo.hosted.exlibrisgroup.com/primo-explore/search?tab=default_tab&amp;search_scope=EVERYTHING&amp;vid=01CRU&amp;lang=en_US&amp;offset=0&amp;query=any,contains,991003353209702656","Catalog Record")</f>
        <v/>
      </c>
      <c r="AV204">
        <f>HYPERLINK("http://www.worldcat.org/oclc/42049308","WorldCat Record")</f>
        <v/>
      </c>
      <c r="AW204" t="inlineStr">
        <is>
          <t>2712277:eng</t>
        </is>
      </c>
      <c r="AX204" t="inlineStr">
        <is>
          <t>42049308</t>
        </is>
      </c>
      <c r="AY204" t="inlineStr">
        <is>
          <t>991003353209702656</t>
        </is>
      </c>
      <c r="AZ204" t="inlineStr">
        <is>
          <t>991003353209702656</t>
        </is>
      </c>
      <c r="BA204" t="inlineStr">
        <is>
          <t>2271959560002656</t>
        </is>
      </c>
      <c r="BB204" t="inlineStr">
        <is>
          <t>BOOK</t>
        </is>
      </c>
      <c r="BD204" t="inlineStr">
        <is>
          <t>9780736000055</t>
        </is>
      </c>
      <c r="BE204" t="inlineStr">
        <is>
          <t>32285004296629</t>
        </is>
      </c>
      <c r="BF204" t="inlineStr">
        <is>
          <t>893868349</t>
        </is>
      </c>
    </row>
    <row r="205">
      <c r="B205" t="inlineStr">
        <is>
          <t>CURAL</t>
        </is>
      </c>
      <c r="C205" t="inlineStr">
        <is>
          <t>SHELVES</t>
        </is>
      </c>
      <c r="D205" t="inlineStr">
        <is>
          <t>QP303 .J45</t>
        </is>
      </c>
      <c r="E205" t="inlineStr">
        <is>
          <t>0                      QP 0303000J  45</t>
        </is>
      </c>
      <c r="F205" t="inlineStr">
        <is>
          <t>Applied kinesiology ; the scientific study of human performance / Clayne R. Jensen, Gordon W. Schultz.</t>
        </is>
      </c>
      <c r="H205" t="inlineStr">
        <is>
          <t>No</t>
        </is>
      </c>
      <c r="I205" t="inlineStr">
        <is>
          <t>1</t>
        </is>
      </c>
      <c r="J205" t="inlineStr">
        <is>
          <t>No</t>
        </is>
      </c>
      <c r="K205" t="inlineStr">
        <is>
          <t>No</t>
        </is>
      </c>
      <c r="L205" t="inlineStr">
        <is>
          <t>0</t>
        </is>
      </c>
      <c r="M205" t="inlineStr">
        <is>
          <t>Jensen, Clayne R.</t>
        </is>
      </c>
      <c r="N205" t="inlineStr">
        <is>
          <t>New York : McGraw-Hill, c1970.</t>
        </is>
      </c>
      <c r="O205" t="inlineStr">
        <is>
          <t>1969</t>
        </is>
      </c>
      <c r="Q205" t="inlineStr">
        <is>
          <t>eng</t>
        </is>
      </c>
      <c r="R205" t="inlineStr">
        <is>
          <t>nyu</t>
        </is>
      </c>
      <c r="S205" t="inlineStr">
        <is>
          <t>McGraw-Hill series in education</t>
        </is>
      </c>
      <c r="T205" t="inlineStr">
        <is>
          <t xml:space="preserve">QP </t>
        </is>
      </c>
      <c r="U205" t="n">
        <v>3</v>
      </c>
      <c r="V205" t="n">
        <v>3</v>
      </c>
      <c r="W205" t="inlineStr">
        <is>
          <t>1995-02-27</t>
        </is>
      </c>
      <c r="X205" t="inlineStr">
        <is>
          <t>1995-02-27</t>
        </is>
      </c>
      <c r="Y205" t="inlineStr">
        <is>
          <t>1993-04-23</t>
        </is>
      </c>
      <c r="Z205" t="inlineStr">
        <is>
          <t>1993-04-23</t>
        </is>
      </c>
      <c r="AA205" t="n">
        <v>324</v>
      </c>
      <c r="AB205" t="n">
        <v>259</v>
      </c>
      <c r="AC205" t="n">
        <v>417</v>
      </c>
      <c r="AD205" t="n">
        <v>5</v>
      </c>
      <c r="AE205" t="n">
        <v>8</v>
      </c>
      <c r="AF205" t="n">
        <v>13</v>
      </c>
      <c r="AG205" t="n">
        <v>19</v>
      </c>
      <c r="AH205" t="n">
        <v>4</v>
      </c>
      <c r="AI205" t="n">
        <v>6</v>
      </c>
      <c r="AJ205" t="n">
        <v>1</v>
      </c>
      <c r="AK205" t="n">
        <v>2</v>
      </c>
      <c r="AL205" t="n">
        <v>4</v>
      </c>
      <c r="AM205" t="n">
        <v>5</v>
      </c>
      <c r="AN205" t="n">
        <v>4</v>
      </c>
      <c r="AO205" t="n">
        <v>7</v>
      </c>
      <c r="AP205" t="n">
        <v>0</v>
      </c>
      <c r="AQ205" t="n">
        <v>0</v>
      </c>
      <c r="AR205" t="inlineStr">
        <is>
          <t>No</t>
        </is>
      </c>
      <c r="AS205" t="inlineStr">
        <is>
          <t>Yes</t>
        </is>
      </c>
      <c r="AT205">
        <f>HYPERLINK("http://catalog.hathitrust.org/Record/001554376","HathiTrust Record")</f>
        <v/>
      </c>
      <c r="AU205">
        <f>HYPERLINK("https://creighton-primo.hosted.exlibrisgroup.com/primo-explore/search?tab=default_tab&amp;search_scope=EVERYTHING&amp;vid=01CRU&amp;lang=en_US&amp;offset=0&amp;query=any,contains,991000066619702656","Catalog Record")</f>
        <v/>
      </c>
      <c r="AV205">
        <f>HYPERLINK("http://www.worldcat.org/oclc/27134","WorldCat Record")</f>
        <v/>
      </c>
      <c r="AW205" t="inlineStr">
        <is>
          <t>1167196:eng</t>
        </is>
      </c>
      <c r="AX205" t="inlineStr">
        <is>
          <t>27134</t>
        </is>
      </c>
      <c r="AY205" t="inlineStr">
        <is>
          <t>991000066619702656</t>
        </is>
      </c>
      <c r="AZ205" t="inlineStr">
        <is>
          <t>991000066619702656</t>
        </is>
      </c>
      <c r="BA205" t="inlineStr">
        <is>
          <t>2262706890002656</t>
        </is>
      </c>
      <c r="BB205" t="inlineStr">
        <is>
          <t>BOOK</t>
        </is>
      </c>
      <c r="BD205" t="inlineStr">
        <is>
          <t>9780070324626</t>
        </is>
      </c>
      <c r="BE205" t="inlineStr">
        <is>
          <t>32285001623759</t>
        </is>
      </c>
      <c r="BF205" t="inlineStr">
        <is>
          <t>893607584</t>
        </is>
      </c>
    </row>
    <row r="206">
      <c r="B206" t="inlineStr">
        <is>
          <t>CURAL</t>
        </is>
      </c>
      <c r="C206" t="inlineStr">
        <is>
          <t>SHELVES</t>
        </is>
      </c>
      <c r="D206" t="inlineStr">
        <is>
          <t>QP303 .K44</t>
        </is>
      </c>
      <c r="E206" t="inlineStr">
        <is>
          <t>0                      QP 0303000K  44</t>
        </is>
      </c>
      <c r="F206" t="inlineStr">
        <is>
          <t>Kinesiology; fundamentals of motion description [by] David L. Kelley.</t>
        </is>
      </c>
      <c r="H206" t="inlineStr">
        <is>
          <t>No</t>
        </is>
      </c>
      <c r="I206" t="inlineStr">
        <is>
          <t>1</t>
        </is>
      </c>
      <c r="J206" t="inlineStr">
        <is>
          <t>No</t>
        </is>
      </c>
      <c r="K206" t="inlineStr">
        <is>
          <t>No</t>
        </is>
      </c>
      <c r="L206" t="inlineStr">
        <is>
          <t>0</t>
        </is>
      </c>
      <c r="M206" t="inlineStr">
        <is>
          <t>Kelley, David L.</t>
        </is>
      </c>
      <c r="N206" t="inlineStr">
        <is>
          <t>Englewood Cliffs, N.J., Prentice-Hall [1971]</t>
        </is>
      </c>
      <c r="O206" t="inlineStr">
        <is>
          <t>1971</t>
        </is>
      </c>
      <c r="Q206" t="inlineStr">
        <is>
          <t>eng</t>
        </is>
      </c>
      <c r="R206" t="inlineStr">
        <is>
          <t>nju</t>
        </is>
      </c>
      <c r="T206" t="inlineStr">
        <is>
          <t xml:space="preserve">QP </t>
        </is>
      </c>
      <c r="U206" t="n">
        <v>6</v>
      </c>
      <c r="V206" t="n">
        <v>6</v>
      </c>
      <c r="W206" t="inlineStr">
        <is>
          <t>1994-11-11</t>
        </is>
      </c>
      <c r="X206" t="inlineStr">
        <is>
          <t>1994-11-11</t>
        </is>
      </c>
      <c r="Y206" t="inlineStr">
        <is>
          <t>1993-02-09</t>
        </is>
      </c>
      <c r="Z206" t="inlineStr">
        <is>
          <t>1993-02-09</t>
        </is>
      </c>
      <c r="AA206" t="n">
        <v>418</v>
      </c>
      <c r="AB206" t="n">
        <v>317</v>
      </c>
      <c r="AC206" t="n">
        <v>320</v>
      </c>
      <c r="AD206" t="n">
        <v>6</v>
      </c>
      <c r="AE206" t="n">
        <v>6</v>
      </c>
      <c r="AF206" t="n">
        <v>14</v>
      </c>
      <c r="AG206" t="n">
        <v>14</v>
      </c>
      <c r="AH206" t="n">
        <v>3</v>
      </c>
      <c r="AI206" t="n">
        <v>3</v>
      </c>
      <c r="AJ206" t="n">
        <v>2</v>
      </c>
      <c r="AK206" t="n">
        <v>2</v>
      </c>
      <c r="AL206" t="n">
        <v>5</v>
      </c>
      <c r="AM206" t="n">
        <v>5</v>
      </c>
      <c r="AN206" t="n">
        <v>5</v>
      </c>
      <c r="AO206" t="n">
        <v>5</v>
      </c>
      <c r="AP206" t="n">
        <v>0</v>
      </c>
      <c r="AQ206" t="n">
        <v>0</v>
      </c>
      <c r="AR206" t="inlineStr">
        <is>
          <t>No</t>
        </is>
      </c>
      <c r="AS206" t="inlineStr">
        <is>
          <t>Yes</t>
        </is>
      </c>
      <c r="AT206">
        <f>HYPERLINK("http://catalog.hathitrust.org/Record/001576806","HathiTrust Record")</f>
        <v/>
      </c>
      <c r="AU206">
        <f>HYPERLINK("https://creighton-primo.hosted.exlibrisgroup.com/primo-explore/search?tab=default_tab&amp;search_scope=EVERYTHING&amp;vid=01CRU&amp;lang=en_US&amp;offset=0&amp;query=any,contains,991001249409702656","Catalog Record")</f>
        <v/>
      </c>
      <c r="AV206">
        <f>HYPERLINK("http://www.worldcat.org/oclc/208587","WorldCat Record")</f>
        <v/>
      </c>
      <c r="AW206" t="inlineStr">
        <is>
          <t>197808234:eng</t>
        </is>
      </c>
      <c r="AX206" t="inlineStr">
        <is>
          <t>208587</t>
        </is>
      </c>
      <c r="AY206" t="inlineStr">
        <is>
          <t>991001249409702656</t>
        </is>
      </c>
      <c r="AZ206" t="inlineStr">
        <is>
          <t>991001249409702656</t>
        </is>
      </c>
      <c r="BA206" t="inlineStr">
        <is>
          <t>2270048830002656</t>
        </is>
      </c>
      <c r="BB206" t="inlineStr">
        <is>
          <t>BOOK</t>
        </is>
      </c>
      <c r="BD206" t="inlineStr">
        <is>
          <t>9780135162606</t>
        </is>
      </c>
      <c r="BE206" t="inlineStr">
        <is>
          <t>32285001508190</t>
        </is>
      </c>
      <c r="BF206" t="inlineStr">
        <is>
          <t>893439005</t>
        </is>
      </c>
    </row>
    <row r="207">
      <c r="B207" t="inlineStr">
        <is>
          <t>CURAL</t>
        </is>
      </c>
      <c r="C207" t="inlineStr">
        <is>
          <t>SHELVES</t>
        </is>
      </c>
      <c r="D207" t="inlineStr">
        <is>
          <t>QP303 .K578 2008</t>
        </is>
      </c>
      <c r="E207" t="inlineStr">
        <is>
          <t>0                      QP 0303000K  578         2008</t>
        </is>
      </c>
      <c r="F207" t="inlineStr">
        <is>
          <t>Foundations of kinesiology : studying human movement and health / P. Klavora.</t>
        </is>
      </c>
      <c r="H207" t="inlineStr">
        <is>
          <t>No</t>
        </is>
      </c>
      <c r="I207" t="inlineStr">
        <is>
          <t>1</t>
        </is>
      </c>
      <c r="J207" t="inlineStr">
        <is>
          <t>No</t>
        </is>
      </c>
      <c r="K207" t="inlineStr">
        <is>
          <t>No</t>
        </is>
      </c>
      <c r="L207" t="inlineStr">
        <is>
          <t>0</t>
        </is>
      </c>
      <c r="M207" t="inlineStr">
        <is>
          <t>Klavora, Peter.</t>
        </is>
      </c>
      <c r="N207" t="inlineStr">
        <is>
          <t>Toronto : Sport Books Publisher, c2008.</t>
        </is>
      </c>
      <c r="O207" t="inlineStr">
        <is>
          <t>2008</t>
        </is>
      </c>
      <c r="Q207" t="inlineStr">
        <is>
          <t>eng</t>
        </is>
      </c>
      <c r="R207" t="inlineStr">
        <is>
          <t>onc</t>
        </is>
      </c>
      <c r="T207" t="inlineStr">
        <is>
          <t xml:space="preserve">QP </t>
        </is>
      </c>
      <c r="U207" t="n">
        <v>1</v>
      </c>
      <c r="V207" t="n">
        <v>1</v>
      </c>
      <c r="W207" t="inlineStr">
        <is>
          <t>2009-03-16</t>
        </is>
      </c>
      <c r="X207" t="inlineStr">
        <is>
          <t>2009-03-16</t>
        </is>
      </c>
      <c r="Y207" t="inlineStr">
        <is>
          <t>2009-03-16</t>
        </is>
      </c>
      <c r="Z207" t="inlineStr">
        <is>
          <t>2009-03-16</t>
        </is>
      </c>
      <c r="AA207" t="n">
        <v>51</v>
      </c>
      <c r="AB207" t="n">
        <v>30</v>
      </c>
      <c r="AC207" t="n">
        <v>55</v>
      </c>
      <c r="AD207" t="n">
        <v>2</v>
      </c>
      <c r="AE207" t="n">
        <v>2</v>
      </c>
      <c r="AF207" t="n">
        <v>1</v>
      </c>
      <c r="AG207" t="n">
        <v>1</v>
      </c>
      <c r="AH207" t="n">
        <v>0</v>
      </c>
      <c r="AI207" t="n">
        <v>0</v>
      </c>
      <c r="AJ207" t="n">
        <v>0</v>
      </c>
      <c r="AK207" t="n">
        <v>0</v>
      </c>
      <c r="AL207" t="n">
        <v>0</v>
      </c>
      <c r="AM207" t="n">
        <v>0</v>
      </c>
      <c r="AN207" t="n">
        <v>1</v>
      </c>
      <c r="AO207" t="n">
        <v>1</v>
      </c>
      <c r="AP207" t="n">
        <v>0</v>
      </c>
      <c r="AQ207" t="n">
        <v>0</v>
      </c>
      <c r="AR207" t="inlineStr">
        <is>
          <t>No</t>
        </is>
      </c>
      <c r="AS207" t="inlineStr">
        <is>
          <t>No</t>
        </is>
      </c>
      <c r="AU207">
        <f>HYPERLINK("https://creighton-primo.hosted.exlibrisgroup.com/primo-explore/search?tab=default_tab&amp;search_scope=EVERYTHING&amp;vid=01CRU&amp;lang=en_US&amp;offset=0&amp;query=any,contains,991005298689702656","Catalog Record")</f>
        <v/>
      </c>
      <c r="AV207">
        <f>HYPERLINK("http://www.worldcat.org/oclc/70777825","WorldCat Record")</f>
        <v/>
      </c>
      <c r="AW207" t="inlineStr">
        <is>
          <t>312590409:eng</t>
        </is>
      </c>
      <c r="AX207" t="inlineStr">
        <is>
          <t>70777825</t>
        </is>
      </c>
      <c r="AY207" t="inlineStr">
        <is>
          <t>991005298689702656</t>
        </is>
      </c>
      <c r="AZ207" t="inlineStr">
        <is>
          <t>991005298689702656</t>
        </is>
      </c>
      <c r="BA207" t="inlineStr">
        <is>
          <t>2255159350002656</t>
        </is>
      </c>
      <c r="BB207" t="inlineStr">
        <is>
          <t>BOOK</t>
        </is>
      </c>
      <c r="BD207" t="inlineStr">
        <is>
          <t>9780920905074</t>
        </is>
      </c>
      <c r="BE207" t="inlineStr">
        <is>
          <t>32285005509392</t>
        </is>
      </c>
      <c r="BF207" t="inlineStr">
        <is>
          <t>893248686</t>
        </is>
      </c>
    </row>
    <row r="208">
      <c r="B208" t="inlineStr">
        <is>
          <t>CURAL</t>
        </is>
      </c>
      <c r="C208" t="inlineStr">
        <is>
          <t>SHELVES</t>
        </is>
      </c>
      <c r="D208" t="inlineStr">
        <is>
          <t>QP303 .K58 2009</t>
        </is>
      </c>
      <c r="E208" t="inlineStr">
        <is>
          <t>0                      QP 0303000K  58          2009</t>
        </is>
      </c>
      <c r="F208" t="inlineStr">
        <is>
          <t>Introduction to kinesiology : a biophysical perspective / P. Klavora.</t>
        </is>
      </c>
      <c r="H208" t="inlineStr">
        <is>
          <t>No</t>
        </is>
      </c>
      <c r="I208" t="inlineStr">
        <is>
          <t>1</t>
        </is>
      </c>
      <c r="J208" t="inlineStr">
        <is>
          <t>No</t>
        </is>
      </c>
      <c r="K208" t="inlineStr">
        <is>
          <t>No</t>
        </is>
      </c>
      <c r="L208" t="inlineStr">
        <is>
          <t>0</t>
        </is>
      </c>
      <c r="M208" t="inlineStr">
        <is>
          <t>Klavora, Peter.</t>
        </is>
      </c>
      <c r="N208" t="inlineStr">
        <is>
          <t>Toronto : Sport Books Publisher, c2009.</t>
        </is>
      </c>
      <c r="O208" t="inlineStr">
        <is>
          <t>2009</t>
        </is>
      </c>
      <c r="Q208" t="inlineStr">
        <is>
          <t>eng</t>
        </is>
      </c>
      <c r="R208" t="inlineStr">
        <is>
          <t>onc</t>
        </is>
      </c>
      <c r="T208" t="inlineStr">
        <is>
          <t xml:space="preserve">QP </t>
        </is>
      </c>
      <c r="U208" t="n">
        <v>1</v>
      </c>
      <c r="V208" t="n">
        <v>1</v>
      </c>
      <c r="W208" t="inlineStr">
        <is>
          <t>2010-01-13</t>
        </is>
      </c>
      <c r="X208" t="inlineStr">
        <is>
          <t>2010-01-13</t>
        </is>
      </c>
      <c r="Y208" t="inlineStr">
        <is>
          <t>2010-01-13</t>
        </is>
      </c>
      <c r="Z208" t="inlineStr">
        <is>
          <t>2010-01-13</t>
        </is>
      </c>
      <c r="AA208" t="n">
        <v>27</v>
      </c>
      <c r="AB208" t="n">
        <v>16</v>
      </c>
      <c r="AC208" t="n">
        <v>25</v>
      </c>
      <c r="AD208" t="n">
        <v>1</v>
      </c>
      <c r="AE208" t="n">
        <v>1</v>
      </c>
      <c r="AF208" t="n">
        <v>0</v>
      </c>
      <c r="AG208" t="n">
        <v>0</v>
      </c>
      <c r="AH208" t="n">
        <v>0</v>
      </c>
      <c r="AI208" t="n">
        <v>0</v>
      </c>
      <c r="AJ208" t="n">
        <v>0</v>
      </c>
      <c r="AK208" t="n">
        <v>0</v>
      </c>
      <c r="AL208" t="n">
        <v>0</v>
      </c>
      <c r="AM208" t="n">
        <v>0</v>
      </c>
      <c r="AN208" t="n">
        <v>0</v>
      </c>
      <c r="AO208" t="n">
        <v>0</v>
      </c>
      <c r="AP208" t="n">
        <v>0</v>
      </c>
      <c r="AQ208" t="n">
        <v>0</v>
      </c>
      <c r="AR208" t="inlineStr">
        <is>
          <t>No</t>
        </is>
      </c>
      <c r="AS208" t="inlineStr">
        <is>
          <t>No</t>
        </is>
      </c>
      <c r="AU208">
        <f>HYPERLINK("https://creighton-primo.hosted.exlibrisgroup.com/primo-explore/search?tab=default_tab&amp;search_scope=EVERYTHING&amp;vid=01CRU&amp;lang=en_US&amp;offset=0&amp;query=any,contains,991005349989702656","Catalog Record")</f>
        <v/>
      </c>
      <c r="AV208">
        <f>HYPERLINK("http://www.worldcat.org/oclc/232711818","WorldCat Record")</f>
        <v/>
      </c>
      <c r="AW208" t="inlineStr">
        <is>
          <t>2939670741:eng</t>
        </is>
      </c>
      <c r="AX208" t="inlineStr">
        <is>
          <t>232711818</t>
        </is>
      </c>
      <c r="AY208" t="inlineStr">
        <is>
          <t>991005349989702656</t>
        </is>
      </c>
      <c r="AZ208" t="inlineStr">
        <is>
          <t>991005349989702656</t>
        </is>
      </c>
      <c r="BA208" t="inlineStr">
        <is>
          <t>2258487980002656</t>
        </is>
      </c>
      <c r="BB208" t="inlineStr">
        <is>
          <t>BOOK</t>
        </is>
      </c>
      <c r="BD208" t="inlineStr">
        <is>
          <t>9780920905272</t>
        </is>
      </c>
      <c r="BE208" t="inlineStr">
        <is>
          <t>32285005556997</t>
        </is>
      </c>
      <c r="BF208" t="inlineStr">
        <is>
          <t>893443803</t>
        </is>
      </c>
    </row>
    <row r="209">
      <c r="B209" t="inlineStr">
        <is>
          <t>CURAL</t>
        </is>
      </c>
      <c r="C209" t="inlineStr">
        <is>
          <t>SHELVES</t>
        </is>
      </c>
      <c r="D209" t="inlineStr">
        <is>
          <t>QP303 .K73 1996</t>
        </is>
      </c>
      <c r="E209" t="inlineStr">
        <is>
          <t>0                      QP 0303000K  73          1996</t>
        </is>
      </c>
      <c r="F209" t="inlineStr">
        <is>
          <t>Biomechanics : a qualitative approach for studying human movement / Ellen Kreighbaum, Katharine M. Barthels ; illustrations by the authors.</t>
        </is>
      </c>
      <c r="H209" t="inlineStr">
        <is>
          <t>No</t>
        </is>
      </c>
      <c r="I209" t="inlineStr">
        <is>
          <t>1</t>
        </is>
      </c>
      <c r="J209" t="inlineStr">
        <is>
          <t>No</t>
        </is>
      </c>
      <c r="K209" t="inlineStr">
        <is>
          <t>No</t>
        </is>
      </c>
      <c r="L209" t="inlineStr">
        <is>
          <t>0</t>
        </is>
      </c>
      <c r="M209" t="inlineStr">
        <is>
          <t>Kreighbaum, Ellen.</t>
        </is>
      </c>
      <c r="N209" t="inlineStr">
        <is>
          <t>Boston : Allyn and Bacon, 1996.</t>
        </is>
      </c>
      <c r="O209" t="inlineStr">
        <is>
          <t>1996</t>
        </is>
      </c>
      <c r="P209" t="inlineStr">
        <is>
          <t>4th ed.</t>
        </is>
      </c>
      <c r="Q209" t="inlineStr">
        <is>
          <t>eng</t>
        </is>
      </c>
      <c r="R209" t="inlineStr">
        <is>
          <t>mau</t>
        </is>
      </c>
      <c r="T209" t="inlineStr">
        <is>
          <t xml:space="preserve">QP </t>
        </is>
      </c>
      <c r="U209" t="n">
        <v>12</v>
      </c>
      <c r="V209" t="n">
        <v>12</v>
      </c>
      <c r="W209" t="inlineStr">
        <is>
          <t>2004-08-29</t>
        </is>
      </c>
      <c r="X209" t="inlineStr">
        <is>
          <t>2004-08-29</t>
        </is>
      </c>
      <c r="Y209" t="inlineStr">
        <is>
          <t>1996-03-15</t>
        </is>
      </c>
      <c r="Z209" t="inlineStr">
        <is>
          <t>1996-03-15</t>
        </is>
      </c>
      <c r="AA209" t="n">
        <v>346</v>
      </c>
      <c r="AB209" t="n">
        <v>207</v>
      </c>
      <c r="AC209" t="n">
        <v>535</v>
      </c>
      <c r="AD209" t="n">
        <v>1</v>
      </c>
      <c r="AE209" t="n">
        <v>4</v>
      </c>
      <c r="AF209" t="n">
        <v>5</v>
      </c>
      <c r="AG209" t="n">
        <v>16</v>
      </c>
      <c r="AH209" t="n">
        <v>3</v>
      </c>
      <c r="AI209" t="n">
        <v>7</v>
      </c>
      <c r="AJ209" t="n">
        <v>0</v>
      </c>
      <c r="AK209" t="n">
        <v>3</v>
      </c>
      <c r="AL209" t="n">
        <v>3</v>
      </c>
      <c r="AM209" t="n">
        <v>5</v>
      </c>
      <c r="AN209" t="n">
        <v>0</v>
      </c>
      <c r="AO209" t="n">
        <v>3</v>
      </c>
      <c r="AP209" t="n">
        <v>0</v>
      </c>
      <c r="AQ209" t="n">
        <v>0</v>
      </c>
      <c r="AR209" t="inlineStr">
        <is>
          <t>No</t>
        </is>
      </c>
      <c r="AS209" t="inlineStr">
        <is>
          <t>Yes</t>
        </is>
      </c>
      <c r="AT209">
        <f>HYPERLINK("http://catalog.hathitrust.org/Record/003065075","HathiTrust Record")</f>
        <v/>
      </c>
      <c r="AU209">
        <f>HYPERLINK("https://creighton-primo.hosted.exlibrisgroup.com/primo-explore/search?tab=default_tab&amp;search_scope=EVERYTHING&amp;vid=01CRU&amp;lang=en_US&amp;offset=0&amp;query=any,contains,991005421969702656","Catalog Record")</f>
        <v/>
      </c>
      <c r="AV209">
        <f>HYPERLINK("http://www.worldcat.org/oclc/32890956","WorldCat Record")</f>
        <v/>
      </c>
      <c r="AW209" t="inlineStr">
        <is>
          <t>4218572:eng</t>
        </is>
      </c>
      <c r="AX209" t="inlineStr">
        <is>
          <t>32890956</t>
        </is>
      </c>
      <c r="AY209" t="inlineStr">
        <is>
          <t>991005421969702656</t>
        </is>
      </c>
      <c r="AZ209" t="inlineStr">
        <is>
          <t>991005421969702656</t>
        </is>
      </c>
      <c r="BA209" t="inlineStr">
        <is>
          <t>2255570610002656</t>
        </is>
      </c>
      <c r="BB209" t="inlineStr">
        <is>
          <t>BOOK</t>
        </is>
      </c>
      <c r="BD209" t="inlineStr">
        <is>
          <t>9780205186518</t>
        </is>
      </c>
      <c r="BE209" t="inlineStr">
        <is>
          <t>32285002142858</t>
        </is>
      </c>
      <c r="BF209" t="inlineStr">
        <is>
          <t>893254985</t>
        </is>
      </c>
    </row>
    <row r="210">
      <c r="B210" t="inlineStr">
        <is>
          <t>CURAL</t>
        </is>
      </c>
      <c r="C210" t="inlineStr">
        <is>
          <t>SHELVES</t>
        </is>
      </c>
      <c r="D210" t="inlineStr">
        <is>
          <t>QP303 .L64 1982</t>
        </is>
      </c>
      <c r="E210" t="inlineStr">
        <is>
          <t>0                      QP 0303000L  64          1982</t>
        </is>
      </c>
      <c r="F210" t="inlineStr">
        <is>
          <t>Anatomic kinesiology / Gene A. Logan, Wayne C. McKinney.</t>
        </is>
      </c>
      <c r="H210" t="inlineStr">
        <is>
          <t>No</t>
        </is>
      </c>
      <c r="I210" t="inlineStr">
        <is>
          <t>1</t>
        </is>
      </c>
      <c r="J210" t="inlineStr">
        <is>
          <t>No</t>
        </is>
      </c>
      <c r="K210" t="inlineStr">
        <is>
          <t>No</t>
        </is>
      </c>
      <c r="L210" t="inlineStr">
        <is>
          <t>0</t>
        </is>
      </c>
      <c r="M210" t="inlineStr">
        <is>
          <t>Logan, Gene A. (Gene Adams), 1922-1999.</t>
        </is>
      </c>
      <c r="N210" t="inlineStr">
        <is>
          <t>Dubuque, Iowa : W.C. Brown Co., c1982.</t>
        </is>
      </c>
      <c r="O210" t="inlineStr">
        <is>
          <t>1982</t>
        </is>
      </c>
      <c r="P210" t="inlineStr">
        <is>
          <t>3rd ed.</t>
        </is>
      </c>
      <c r="Q210" t="inlineStr">
        <is>
          <t>eng</t>
        </is>
      </c>
      <c r="R210" t="inlineStr">
        <is>
          <t>iau</t>
        </is>
      </c>
      <c r="T210" t="inlineStr">
        <is>
          <t xml:space="preserve">QP </t>
        </is>
      </c>
      <c r="U210" t="n">
        <v>8</v>
      </c>
      <c r="V210" t="n">
        <v>8</v>
      </c>
      <c r="W210" t="inlineStr">
        <is>
          <t>2008-02-05</t>
        </is>
      </c>
      <c r="X210" t="inlineStr">
        <is>
          <t>2008-02-05</t>
        </is>
      </c>
      <c r="Y210" t="inlineStr">
        <is>
          <t>1992-02-25</t>
        </is>
      </c>
      <c r="Z210" t="inlineStr">
        <is>
          <t>1992-02-25</t>
        </is>
      </c>
      <c r="AA210" t="n">
        <v>153</v>
      </c>
      <c r="AB210" t="n">
        <v>125</v>
      </c>
      <c r="AC210" t="n">
        <v>247</v>
      </c>
      <c r="AD210" t="n">
        <v>1</v>
      </c>
      <c r="AE210" t="n">
        <v>2</v>
      </c>
      <c r="AF210" t="n">
        <v>2</v>
      </c>
      <c r="AG210" t="n">
        <v>7</v>
      </c>
      <c r="AH210" t="n">
        <v>2</v>
      </c>
      <c r="AI210" t="n">
        <v>5</v>
      </c>
      <c r="AJ210" t="n">
        <v>0</v>
      </c>
      <c r="AK210" t="n">
        <v>1</v>
      </c>
      <c r="AL210" t="n">
        <v>0</v>
      </c>
      <c r="AM210" t="n">
        <v>2</v>
      </c>
      <c r="AN210" t="n">
        <v>0</v>
      </c>
      <c r="AO210" t="n">
        <v>1</v>
      </c>
      <c r="AP210" t="n">
        <v>0</v>
      </c>
      <c r="AQ210" t="n">
        <v>0</v>
      </c>
      <c r="AR210" t="inlineStr">
        <is>
          <t>No</t>
        </is>
      </c>
      <c r="AS210" t="inlineStr">
        <is>
          <t>No</t>
        </is>
      </c>
      <c r="AU210">
        <f>HYPERLINK("https://creighton-primo.hosted.exlibrisgroup.com/primo-explore/search?tab=default_tab&amp;search_scope=EVERYTHING&amp;vid=01CRU&amp;lang=en_US&amp;offset=0&amp;query=any,contains,991000077689702656","Catalog Record")</f>
        <v/>
      </c>
      <c r="AV210">
        <f>HYPERLINK("http://www.worldcat.org/oclc/8819371","WorldCat Record")</f>
        <v/>
      </c>
      <c r="AW210" t="inlineStr">
        <is>
          <t>7207931:eng</t>
        </is>
      </c>
      <c r="AX210" t="inlineStr">
        <is>
          <t>8819371</t>
        </is>
      </c>
      <c r="AY210" t="inlineStr">
        <is>
          <t>991000077689702656</t>
        </is>
      </c>
      <c r="AZ210" t="inlineStr">
        <is>
          <t>991000077689702656</t>
        </is>
      </c>
      <c r="BA210" t="inlineStr">
        <is>
          <t>2269403750002656</t>
        </is>
      </c>
      <c r="BB210" t="inlineStr">
        <is>
          <t>BOOK</t>
        </is>
      </c>
      <c r="BD210" t="inlineStr">
        <is>
          <t>9780697071859</t>
        </is>
      </c>
      <c r="BE210" t="inlineStr">
        <is>
          <t>32285000976349</t>
        </is>
      </c>
      <c r="BF210" t="inlineStr">
        <is>
          <t>893884082</t>
        </is>
      </c>
    </row>
    <row r="211">
      <c r="B211" t="inlineStr">
        <is>
          <t>CURAL</t>
        </is>
      </c>
      <c r="C211" t="inlineStr">
        <is>
          <t>SHELVES</t>
        </is>
      </c>
      <c r="D211" t="inlineStr">
        <is>
          <t>QP303 .L87 1982</t>
        </is>
      </c>
      <c r="E211" t="inlineStr">
        <is>
          <t>0                      QP 0303000L  87          1982</t>
        </is>
      </c>
      <c r="F211" t="inlineStr">
        <is>
          <t>Kinesiology : scientific basis of human motion / Kathryn Luttgens, Katharine F. Wells.</t>
        </is>
      </c>
      <c r="H211" t="inlineStr">
        <is>
          <t>No</t>
        </is>
      </c>
      <c r="I211" t="inlineStr">
        <is>
          <t>1</t>
        </is>
      </c>
      <c r="J211" t="inlineStr">
        <is>
          <t>Yes</t>
        </is>
      </c>
      <c r="K211" t="inlineStr">
        <is>
          <t>No</t>
        </is>
      </c>
      <c r="L211" t="inlineStr">
        <is>
          <t>0</t>
        </is>
      </c>
      <c r="M211" t="inlineStr">
        <is>
          <t>Luttgens, Kathryn, 1926-</t>
        </is>
      </c>
      <c r="N211" t="inlineStr">
        <is>
          <t>Philadelphia : Saunders College Pub., c1982.</t>
        </is>
      </c>
      <c r="O211" t="inlineStr">
        <is>
          <t>1982</t>
        </is>
      </c>
      <c r="P211" t="inlineStr">
        <is>
          <t>7th ed.</t>
        </is>
      </c>
      <c r="Q211" t="inlineStr">
        <is>
          <t>eng</t>
        </is>
      </c>
      <c r="R211" t="inlineStr">
        <is>
          <t>pau</t>
        </is>
      </c>
      <c r="T211" t="inlineStr">
        <is>
          <t xml:space="preserve">QP </t>
        </is>
      </c>
      <c r="U211" t="n">
        <v>13</v>
      </c>
      <c r="V211" t="n">
        <v>13</v>
      </c>
      <c r="W211" t="inlineStr">
        <is>
          <t>2008-02-05</t>
        </is>
      </c>
      <c r="X211" t="inlineStr">
        <is>
          <t>2008-02-05</t>
        </is>
      </c>
      <c r="Y211" t="inlineStr">
        <is>
          <t>1993-03-02</t>
        </is>
      </c>
      <c r="Z211" t="inlineStr">
        <is>
          <t>1993-03-02</t>
        </is>
      </c>
      <c r="AA211" t="n">
        <v>365</v>
      </c>
      <c r="AB211" t="n">
        <v>284</v>
      </c>
      <c r="AC211" t="n">
        <v>891</v>
      </c>
      <c r="AD211" t="n">
        <v>3</v>
      </c>
      <c r="AE211" t="n">
        <v>9</v>
      </c>
      <c r="AF211" t="n">
        <v>7</v>
      </c>
      <c r="AG211" t="n">
        <v>33</v>
      </c>
      <c r="AH211" t="n">
        <v>2</v>
      </c>
      <c r="AI211" t="n">
        <v>16</v>
      </c>
      <c r="AJ211" t="n">
        <v>2</v>
      </c>
      <c r="AK211" t="n">
        <v>5</v>
      </c>
      <c r="AL211" t="n">
        <v>3</v>
      </c>
      <c r="AM211" t="n">
        <v>10</v>
      </c>
      <c r="AN211" t="n">
        <v>1</v>
      </c>
      <c r="AO211" t="n">
        <v>7</v>
      </c>
      <c r="AP211" t="n">
        <v>0</v>
      </c>
      <c r="AQ211" t="n">
        <v>0</v>
      </c>
      <c r="AR211" t="inlineStr">
        <is>
          <t>No</t>
        </is>
      </c>
      <c r="AS211" t="inlineStr">
        <is>
          <t>Yes</t>
        </is>
      </c>
      <c r="AT211">
        <f>HYPERLINK("http://catalog.hathitrust.org/Record/000652573","HathiTrust Record")</f>
        <v/>
      </c>
      <c r="AU211">
        <f>HYPERLINK("https://creighton-primo.hosted.exlibrisgroup.com/primo-explore/search?tab=default_tab&amp;search_scope=EVERYTHING&amp;vid=01CRU&amp;lang=en_US&amp;offset=0&amp;query=any,contains,991005194439702656","Catalog Record")</f>
        <v/>
      </c>
      <c r="AV211">
        <f>HYPERLINK("http://www.worldcat.org/oclc/8034029","WorldCat Record")</f>
        <v/>
      </c>
      <c r="AW211" t="inlineStr">
        <is>
          <t>22424523:eng</t>
        </is>
      </c>
      <c r="AX211" t="inlineStr">
        <is>
          <t>8034029</t>
        </is>
      </c>
      <c r="AY211" t="inlineStr">
        <is>
          <t>991005194439702656</t>
        </is>
      </c>
      <c r="AZ211" t="inlineStr">
        <is>
          <t>991005194439702656</t>
        </is>
      </c>
      <c r="BA211" t="inlineStr">
        <is>
          <t>2267219080002656</t>
        </is>
      </c>
      <c r="BB211" t="inlineStr">
        <is>
          <t>BOOK</t>
        </is>
      </c>
      <c r="BD211" t="inlineStr">
        <is>
          <t>9780030583582</t>
        </is>
      </c>
      <c r="BE211" t="inlineStr">
        <is>
          <t>32285001560787</t>
        </is>
      </c>
      <c r="BF211" t="inlineStr">
        <is>
          <t>893883484</t>
        </is>
      </c>
    </row>
    <row r="212">
      <c r="B212" t="inlineStr">
        <is>
          <t>CURAL</t>
        </is>
      </c>
      <c r="C212" t="inlineStr">
        <is>
          <t>SHELVES</t>
        </is>
      </c>
      <c r="D212" t="inlineStr">
        <is>
          <t>QP303 .R33 1989</t>
        </is>
      </c>
      <c r="E212" t="inlineStr">
        <is>
          <t>0                      QP 0303000R  33          1989</t>
        </is>
      </c>
      <c r="F212" t="inlineStr">
        <is>
          <t>Kinesiology and applied anatomy / Philip J. Rasch ; with contributions by Mark D. Grabiner, Robert J. Gregor, John Garhammer.</t>
        </is>
      </c>
      <c r="H212" t="inlineStr">
        <is>
          <t>No</t>
        </is>
      </c>
      <c r="I212" t="inlineStr">
        <is>
          <t>1</t>
        </is>
      </c>
      <c r="J212" t="inlineStr">
        <is>
          <t>Yes</t>
        </is>
      </c>
      <c r="K212" t="inlineStr">
        <is>
          <t>No</t>
        </is>
      </c>
      <c r="L212" t="inlineStr">
        <is>
          <t>0</t>
        </is>
      </c>
      <c r="M212" t="inlineStr">
        <is>
          <t>Rasch, Philip J.</t>
        </is>
      </c>
      <c r="N212" t="inlineStr">
        <is>
          <t>Philadelphia : Lea &amp; Febiger, 1989.</t>
        </is>
      </c>
      <c r="O212" t="inlineStr">
        <is>
          <t>1989</t>
        </is>
      </c>
      <c r="P212" t="inlineStr">
        <is>
          <t>7th ed.</t>
        </is>
      </c>
      <c r="Q212" t="inlineStr">
        <is>
          <t>eng</t>
        </is>
      </c>
      <c r="R212" t="inlineStr">
        <is>
          <t>pau</t>
        </is>
      </c>
      <c r="T212" t="inlineStr">
        <is>
          <t xml:space="preserve">QP </t>
        </is>
      </c>
      <c r="U212" t="n">
        <v>7</v>
      </c>
      <c r="V212" t="n">
        <v>7</v>
      </c>
      <c r="W212" t="inlineStr">
        <is>
          <t>1998-10-12</t>
        </is>
      </c>
      <c r="X212" t="inlineStr">
        <is>
          <t>1998-10-12</t>
        </is>
      </c>
      <c r="Y212" t="inlineStr">
        <is>
          <t>1990-06-18</t>
        </is>
      </c>
      <c r="Z212" t="inlineStr">
        <is>
          <t>1990-06-18</t>
        </is>
      </c>
      <c r="AA212" t="n">
        <v>497</v>
      </c>
      <c r="AB212" t="n">
        <v>384</v>
      </c>
      <c r="AC212" t="n">
        <v>392</v>
      </c>
      <c r="AD212" t="n">
        <v>4</v>
      </c>
      <c r="AE212" t="n">
        <v>4</v>
      </c>
      <c r="AF212" t="n">
        <v>12</v>
      </c>
      <c r="AG212" t="n">
        <v>12</v>
      </c>
      <c r="AH212" t="n">
        <v>9</v>
      </c>
      <c r="AI212" t="n">
        <v>9</v>
      </c>
      <c r="AJ212" t="n">
        <v>0</v>
      </c>
      <c r="AK212" t="n">
        <v>0</v>
      </c>
      <c r="AL212" t="n">
        <v>3</v>
      </c>
      <c r="AM212" t="n">
        <v>3</v>
      </c>
      <c r="AN212" t="n">
        <v>2</v>
      </c>
      <c r="AO212" t="n">
        <v>2</v>
      </c>
      <c r="AP212" t="n">
        <v>0</v>
      </c>
      <c r="AQ212" t="n">
        <v>0</v>
      </c>
      <c r="AR212" t="inlineStr">
        <is>
          <t>No</t>
        </is>
      </c>
      <c r="AS212" t="inlineStr">
        <is>
          <t>Yes</t>
        </is>
      </c>
      <c r="AT212">
        <f>HYPERLINK("http://catalog.hathitrust.org/Record/001100545","HathiTrust Record")</f>
        <v/>
      </c>
      <c r="AU212">
        <f>HYPERLINK("https://creighton-primo.hosted.exlibrisgroup.com/primo-explore/search?tab=default_tab&amp;search_scope=EVERYTHING&amp;vid=01CRU&amp;lang=en_US&amp;offset=0&amp;query=any,contains,991001360249702656","Catalog Record")</f>
        <v/>
      </c>
      <c r="AV212">
        <f>HYPERLINK("http://www.worldcat.org/oclc/18520637","WorldCat Record")</f>
        <v/>
      </c>
      <c r="AW212" t="inlineStr">
        <is>
          <t>3858113052:eng</t>
        </is>
      </c>
      <c r="AX212" t="inlineStr">
        <is>
          <t>18520637</t>
        </is>
      </c>
      <c r="AY212" t="inlineStr">
        <is>
          <t>991001360249702656</t>
        </is>
      </c>
      <c r="AZ212" t="inlineStr">
        <is>
          <t>991001360249702656</t>
        </is>
      </c>
      <c r="BA212" t="inlineStr">
        <is>
          <t>2268371860002656</t>
        </is>
      </c>
      <c r="BB212" t="inlineStr">
        <is>
          <t>BOOK</t>
        </is>
      </c>
      <c r="BD212" t="inlineStr">
        <is>
          <t>9780812111323</t>
        </is>
      </c>
      <c r="BE212" t="inlineStr">
        <is>
          <t>32285000177914</t>
        </is>
      </c>
      <c r="BF212" t="inlineStr">
        <is>
          <t>893522516</t>
        </is>
      </c>
    </row>
    <row r="213">
      <c r="B213" t="inlineStr">
        <is>
          <t>CURAL</t>
        </is>
      </c>
      <c r="C213" t="inlineStr">
        <is>
          <t>SHELVES</t>
        </is>
      </c>
      <c r="D213" t="inlineStr">
        <is>
          <t>QP303 .S237 2004</t>
        </is>
      </c>
      <c r="E213" t="inlineStr">
        <is>
          <t>0                      QP 0303000S  237         2004</t>
        </is>
      </c>
      <c r="F213" t="inlineStr">
        <is>
          <t>Biomechanics of human movement / Robert E. Schleihauf.</t>
        </is>
      </c>
      <c r="H213" t="inlineStr">
        <is>
          <t>No</t>
        </is>
      </c>
      <c r="I213" t="inlineStr">
        <is>
          <t>1</t>
        </is>
      </c>
      <c r="J213" t="inlineStr">
        <is>
          <t>No</t>
        </is>
      </c>
      <c r="K213" t="inlineStr">
        <is>
          <t>No</t>
        </is>
      </c>
      <c r="L213" t="inlineStr">
        <is>
          <t>0</t>
        </is>
      </c>
      <c r="M213" t="inlineStr">
        <is>
          <t>Schleihauf, Robert Earl.</t>
        </is>
      </c>
      <c r="N213" t="inlineStr">
        <is>
          <t>Bloomington, Ind. : AuthorHouse, c2004.</t>
        </is>
      </c>
      <c r="O213" t="inlineStr">
        <is>
          <t>2004</t>
        </is>
      </c>
      <c r="P213" t="inlineStr">
        <is>
          <t>1st ed.</t>
        </is>
      </c>
      <c r="Q213" t="inlineStr">
        <is>
          <t>eng</t>
        </is>
      </c>
      <c r="R213" t="inlineStr">
        <is>
          <t>inu</t>
        </is>
      </c>
      <c r="T213" t="inlineStr">
        <is>
          <t xml:space="preserve">QP </t>
        </is>
      </c>
      <c r="U213" t="n">
        <v>2</v>
      </c>
      <c r="V213" t="n">
        <v>2</v>
      </c>
      <c r="W213" t="inlineStr">
        <is>
          <t>2008-04-01</t>
        </is>
      </c>
      <c r="X213" t="inlineStr">
        <is>
          <t>2008-04-01</t>
        </is>
      </c>
      <c r="Y213" t="inlineStr">
        <is>
          <t>2008-03-19</t>
        </is>
      </c>
      <c r="Z213" t="inlineStr">
        <is>
          <t>2008-03-19</t>
        </is>
      </c>
      <c r="AA213" t="n">
        <v>35</v>
      </c>
      <c r="AB213" t="n">
        <v>15</v>
      </c>
      <c r="AC213" t="n">
        <v>20</v>
      </c>
      <c r="AD213" t="n">
        <v>1</v>
      </c>
      <c r="AE213" t="n">
        <v>1</v>
      </c>
      <c r="AF213" t="n">
        <v>0</v>
      </c>
      <c r="AG213" t="n">
        <v>0</v>
      </c>
      <c r="AH213" t="n">
        <v>0</v>
      </c>
      <c r="AI213" t="n">
        <v>0</v>
      </c>
      <c r="AJ213" t="n">
        <v>0</v>
      </c>
      <c r="AK213" t="n">
        <v>0</v>
      </c>
      <c r="AL213" t="n">
        <v>0</v>
      </c>
      <c r="AM213" t="n">
        <v>0</v>
      </c>
      <c r="AN213" t="n">
        <v>0</v>
      </c>
      <c r="AO213" t="n">
        <v>0</v>
      </c>
      <c r="AP213" t="n">
        <v>0</v>
      </c>
      <c r="AQ213" t="n">
        <v>0</v>
      </c>
      <c r="AR213" t="inlineStr">
        <is>
          <t>No</t>
        </is>
      </c>
      <c r="AS213" t="inlineStr">
        <is>
          <t>No</t>
        </is>
      </c>
      <c r="AU213">
        <f>HYPERLINK("https://creighton-primo.hosted.exlibrisgroup.com/primo-explore/search?tab=default_tab&amp;search_scope=EVERYTHING&amp;vid=01CRU&amp;lang=en_US&amp;offset=0&amp;query=any,contains,991005190679702656","Catalog Record")</f>
        <v/>
      </c>
      <c r="AV213">
        <f>HYPERLINK("http://www.worldcat.org/oclc/57662772","WorldCat Record")</f>
        <v/>
      </c>
      <c r="AW213" t="inlineStr">
        <is>
          <t>18666276:eng</t>
        </is>
      </c>
      <c r="AX213" t="inlineStr">
        <is>
          <t>57662772</t>
        </is>
      </c>
      <c r="AY213" t="inlineStr">
        <is>
          <t>991005190679702656</t>
        </is>
      </c>
      <c r="AZ213" t="inlineStr">
        <is>
          <t>991005190679702656</t>
        </is>
      </c>
      <c r="BA213" t="inlineStr">
        <is>
          <t>2272524360002656</t>
        </is>
      </c>
      <c r="BB213" t="inlineStr">
        <is>
          <t>BOOK</t>
        </is>
      </c>
      <c r="BD213" t="inlineStr">
        <is>
          <t>9781418469580</t>
        </is>
      </c>
      <c r="BE213" t="inlineStr">
        <is>
          <t>32285005397897</t>
        </is>
      </c>
      <c r="BF213" t="inlineStr">
        <is>
          <t>893600780</t>
        </is>
      </c>
    </row>
    <row r="214">
      <c r="B214" t="inlineStr">
        <is>
          <t>CURAL</t>
        </is>
      </c>
      <c r="C214" t="inlineStr">
        <is>
          <t>SHELVES</t>
        </is>
      </c>
      <c r="D214" t="inlineStr">
        <is>
          <t>QP303 .V34 1985</t>
        </is>
      </c>
      <c r="E214" t="inlineStr">
        <is>
          <t>0                      QP 0303000V  34          1985</t>
        </is>
      </c>
      <c r="F214" t="inlineStr">
        <is>
          <t>Applied kinesiology : muscle response in diagnosis, therapy, and preventive medicine / by Tom &amp; Carole Valentine.</t>
        </is>
      </c>
      <c r="H214" t="inlineStr">
        <is>
          <t>No</t>
        </is>
      </c>
      <c r="I214" t="inlineStr">
        <is>
          <t>1</t>
        </is>
      </c>
      <c r="J214" t="inlineStr">
        <is>
          <t>No</t>
        </is>
      </c>
      <c r="K214" t="inlineStr">
        <is>
          <t>No</t>
        </is>
      </c>
      <c r="L214" t="inlineStr">
        <is>
          <t>0</t>
        </is>
      </c>
      <c r="M214" t="inlineStr">
        <is>
          <t>Valentine, Tom.</t>
        </is>
      </c>
      <c r="N214" t="inlineStr">
        <is>
          <t>New York : Thorsons Publishers, c1985.</t>
        </is>
      </c>
      <c r="O214" t="inlineStr">
        <is>
          <t>1984</t>
        </is>
      </c>
      <c r="Q214" t="inlineStr">
        <is>
          <t>eng</t>
        </is>
      </c>
      <c r="R214" t="inlineStr">
        <is>
          <t>nyu</t>
        </is>
      </c>
      <c r="S214" t="inlineStr">
        <is>
          <t>Thorsons' inside health series</t>
        </is>
      </c>
      <c r="T214" t="inlineStr">
        <is>
          <t xml:space="preserve">QP </t>
        </is>
      </c>
      <c r="U214" t="n">
        <v>1</v>
      </c>
      <c r="V214" t="n">
        <v>1</v>
      </c>
      <c r="W214" t="inlineStr">
        <is>
          <t>1997-10-12</t>
        </is>
      </c>
      <c r="X214" t="inlineStr">
        <is>
          <t>1997-10-12</t>
        </is>
      </c>
      <c r="Y214" t="inlineStr">
        <is>
          <t>1993-03-02</t>
        </is>
      </c>
      <c r="Z214" t="inlineStr">
        <is>
          <t>1993-03-02</t>
        </is>
      </c>
      <c r="AA214" t="n">
        <v>67</v>
      </c>
      <c r="AB214" t="n">
        <v>59</v>
      </c>
      <c r="AC214" t="n">
        <v>134</v>
      </c>
      <c r="AD214" t="n">
        <v>1</v>
      </c>
      <c r="AE214" t="n">
        <v>1</v>
      </c>
      <c r="AF214" t="n">
        <v>0</v>
      </c>
      <c r="AG214" t="n">
        <v>0</v>
      </c>
      <c r="AH214" t="n">
        <v>0</v>
      </c>
      <c r="AI214" t="n">
        <v>0</v>
      </c>
      <c r="AJ214" t="n">
        <v>0</v>
      </c>
      <c r="AK214" t="n">
        <v>0</v>
      </c>
      <c r="AL214" t="n">
        <v>0</v>
      </c>
      <c r="AM214" t="n">
        <v>0</v>
      </c>
      <c r="AN214" t="n">
        <v>0</v>
      </c>
      <c r="AO214" t="n">
        <v>0</v>
      </c>
      <c r="AP214" t="n">
        <v>0</v>
      </c>
      <c r="AQ214" t="n">
        <v>0</v>
      </c>
      <c r="AR214" t="inlineStr">
        <is>
          <t>No</t>
        </is>
      </c>
      <c r="AS214" t="inlineStr">
        <is>
          <t>No</t>
        </is>
      </c>
      <c r="AU214">
        <f>HYPERLINK("https://creighton-primo.hosted.exlibrisgroup.com/primo-explore/search?tab=default_tab&amp;search_scope=EVERYTHING&amp;vid=01CRU&amp;lang=en_US&amp;offset=0&amp;query=any,contains,991000534969702656","Catalog Record")</f>
        <v/>
      </c>
      <c r="AV214">
        <f>HYPERLINK("http://www.worldcat.org/oclc/11443829","WorldCat Record")</f>
        <v/>
      </c>
      <c r="AW214" t="inlineStr">
        <is>
          <t>2865440:eng</t>
        </is>
      </c>
      <c r="AX214" t="inlineStr">
        <is>
          <t>11443829</t>
        </is>
      </c>
      <c r="AY214" t="inlineStr">
        <is>
          <t>991000534969702656</t>
        </is>
      </c>
      <c r="AZ214" t="inlineStr">
        <is>
          <t>991000534969702656</t>
        </is>
      </c>
      <c r="BA214" t="inlineStr">
        <is>
          <t>2267743610002656</t>
        </is>
      </c>
      <c r="BB214" t="inlineStr">
        <is>
          <t>BOOK</t>
        </is>
      </c>
      <c r="BD214" t="inlineStr">
        <is>
          <t>9780722511237</t>
        </is>
      </c>
      <c r="BE214" t="inlineStr">
        <is>
          <t>32285001560811</t>
        </is>
      </c>
      <c r="BF214" t="inlineStr">
        <is>
          <t>893502568</t>
        </is>
      </c>
    </row>
    <row r="215">
      <c r="B215" t="inlineStr">
        <is>
          <t>CURAL</t>
        </is>
      </c>
      <c r="C215" t="inlineStr">
        <is>
          <t>SHELVES</t>
        </is>
      </c>
      <c r="D215" t="inlineStr">
        <is>
          <t>QP303 .W36 2007</t>
        </is>
      </c>
      <c r="E215" t="inlineStr">
        <is>
          <t>0                      QP 0303000W  36          2007</t>
        </is>
      </c>
      <c r="F215" t="inlineStr">
        <is>
          <t>An introduction to biomechanics of sport and exercise / by James Watkins ; foreword by David G. Kerwin.</t>
        </is>
      </c>
      <c r="H215" t="inlineStr">
        <is>
          <t>No</t>
        </is>
      </c>
      <c r="I215" t="inlineStr">
        <is>
          <t>1</t>
        </is>
      </c>
      <c r="J215" t="inlineStr">
        <is>
          <t>No</t>
        </is>
      </c>
      <c r="K215" t="inlineStr">
        <is>
          <t>No</t>
        </is>
      </c>
      <c r="L215" t="inlineStr">
        <is>
          <t>0</t>
        </is>
      </c>
      <c r="M215" t="inlineStr">
        <is>
          <t>Watkins, James, 1946-</t>
        </is>
      </c>
      <c r="N215" t="inlineStr">
        <is>
          <t>Edinburgh ; New York : Churchill Livingstone Elsevier, 2007.</t>
        </is>
      </c>
      <c r="O215" t="inlineStr">
        <is>
          <t>2007</t>
        </is>
      </c>
      <c r="Q215" t="inlineStr">
        <is>
          <t>eng</t>
        </is>
      </c>
      <c r="R215" t="inlineStr">
        <is>
          <t>stk</t>
        </is>
      </c>
      <c r="T215" t="inlineStr">
        <is>
          <t xml:space="preserve">QP </t>
        </is>
      </c>
      <c r="U215" t="n">
        <v>2</v>
      </c>
      <c r="V215" t="n">
        <v>2</v>
      </c>
      <c r="W215" t="inlineStr">
        <is>
          <t>2008-02-04</t>
        </is>
      </c>
      <c r="X215" t="inlineStr">
        <is>
          <t>2008-02-04</t>
        </is>
      </c>
      <c r="Y215" t="inlineStr">
        <is>
          <t>2007-11-28</t>
        </is>
      </c>
      <c r="Z215" t="inlineStr">
        <is>
          <t>2007-11-28</t>
        </is>
      </c>
      <c r="AA215" t="n">
        <v>220</v>
      </c>
      <c r="AB215" t="n">
        <v>104</v>
      </c>
      <c r="AC215" t="n">
        <v>110</v>
      </c>
      <c r="AD215" t="n">
        <v>3</v>
      </c>
      <c r="AE215" t="n">
        <v>3</v>
      </c>
      <c r="AF215" t="n">
        <v>3</v>
      </c>
      <c r="AG215" t="n">
        <v>4</v>
      </c>
      <c r="AH215" t="n">
        <v>1</v>
      </c>
      <c r="AI215" t="n">
        <v>1</v>
      </c>
      <c r="AJ215" t="n">
        <v>1</v>
      </c>
      <c r="AK215" t="n">
        <v>2</v>
      </c>
      <c r="AL215" t="n">
        <v>1</v>
      </c>
      <c r="AM215" t="n">
        <v>1</v>
      </c>
      <c r="AN215" t="n">
        <v>1</v>
      </c>
      <c r="AO215" t="n">
        <v>1</v>
      </c>
      <c r="AP215" t="n">
        <v>0</v>
      </c>
      <c r="AQ215" t="n">
        <v>0</v>
      </c>
      <c r="AR215" t="inlineStr">
        <is>
          <t>No</t>
        </is>
      </c>
      <c r="AS215" t="inlineStr">
        <is>
          <t>No</t>
        </is>
      </c>
      <c r="AU215">
        <f>HYPERLINK("https://creighton-primo.hosted.exlibrisgroup.com/primo-explore/search?tab=default_tab&amp;search_scope=EVERYTHING&amp;vid=01CRU&amp;lang=en_US&amp;offset=0&amp;query=any,contains,991005143469702656","Catalog Record")</f>
        <v/>
      </c>
      <c r="AV215">
        <f>HYPERLINK("http://www.worldcat.org/oclc/70708105","WorldCat Record")</f>
        <v/>
      </c>
      <c r="AW215" t="inlineStr">
        <is>
          <t>57765951:eng</t>
        </is>
      </c>
      <c r="AX215" t="inlineStr">
        <is>
          <t>70708105</t>
        </is>
      </c>
      <c r="AY215" t="inlineStr">
        <is>
          <t>991005143469702656</t>
        </is>
      </c>
      <c r="AZ215" t="inlineStr">
        <is>
          <t>991005143469702656</t>
        </is>
      </c>
      <c r="BA215" t="inlineStr">
        <is>
          <t>2272547710002656</t>
        </is>
      </c>
      <c r="BB215" t="inlineStr">
        <is>
          <t>BOOK</t>
        </is>
      </c>
      <c r="BD215" t="inlineStr">
        <is>
          <t>9780443102820</t>
        </is>
      </c>
      <c r="BE215" t="inlineStr">
        <is>
          <t>32285005369029</t>
        </is>
      </c>
      <c r="BF215" t="inlineStr">
        <is>
          <t>893594542</t>
        </is>
      </c>
    </row>
    <row r="216">
      <c r="B216" t="inlineStr">
        <is>
          <t>CURAL</t>
        </is>
      </c>
      <c r="C216" t="inlineStr">
        <is>
          <t>SHELVES</t>
        </is>
      </c>
      <c r="D216" t="inlineStr">
        <is>
          <t>QP303 .W6213 1984</t>
        </is>
      </c>
      <c r="E216" t="inlineStr">
        <is>
          <t>0                      QP 0303000W  6213        1984</t>
        </is>
      </c>
      <c r="F216" t="inlineStr">
        <is>
          <t>Athletic ability &amp; the anatomy of motion / Rolf Wirhed ; translated by A.M. Hermansson.</t>
        </is>
      </c>
      <c r="H216" t="inlineStr">
        <is>
          <t>No</t>
        </is>
      </c>
      <c r="I216" t="inlineStr">
        <is>
          <t>1</t>
        </is>
      </c>
      <c r="J216" t="inlineStr">
        <is>
          <t>No</t>
        </is>
      </c>
      <c r="K216" t="inlineStr">
        <is>
          <t>No</t>
        </is>
      </c>
      <c r="L216" t="inlineStr">
        <is>
          <t>0</t>
        </is>
      </c>
      <c r="M216" t="inlineStr">
        <is>
          <t>Wirhed, Rolf.</t>
        </is>
      </c>
      <c r="N216" t="inlineStr">
        <is>
          <t>London, England : Wolfe Medical Publications, c1984.</t>
        </is>
      </c>
      <c r="O216" t="inlineStr">
        <is>
          <t>1984</t>
        </is>
      </c>
      <c r="Q216" t="inlineStr">
        <is>
          <t>eng</t>
        </is>
      </c>
      <c r="R216" t="inlineStr">
        <is>
          <t>enk</t>
        </is>
      </c>
      <c r="T216" t="inlineStr">
        <is>
          <t xml:space="preserve">QP </t>
        </is>
      </c>
      <c r="U216" t="n">
        <v>23</v>
      </c>
      <c r="V216" t="n">
        <v>23</v>
      </c>
      <c r="W216" t="inlineStr">
        <is>
          <t>2008-02-12</t>
        </is>
      </c>
      <c r="X216" t="inlineStr">
        <is>
          <t>2008-02-12</t>
        </is>
      </c>
      <c r="Y216" t="inlineStr">
        <is>
          <t>1990-11-01</t>
        </is>
      </c>
      <c r="Z216" t="inlineStr">
        <is>
          <t>1990-11-01</t>
        </is>
      </c>
      <c r="AA216" t="n">
        <v>333</v>
      </c>
      <c r="AB216" t="n">
        <v>194</v>
      </c>
      <c r="AC216" t="n">
        <v>432</v>
      </c>
      <c r="AD216" t="n">
        <v>2</v>
      </c>
      <c r="AE216" t="n">
        <v>6</v>
      </c>
      <c r="AF216" t="n">
        <v>5</v>
      </c>
      <c r="AG216" t="n">
        <v>18</v>
      </c>
      <c r="AH216" t="n">
        <v>4</v>
      </c>
      <c r="AI216" t="n">
        <v>8</v>
      </c>
      <c r="AJ216" t="n">
        <v>0</v>
      </c>
      <c r="AK216" t="n">
        <v>2</v>
      </c>
      <c r="AL216" t="n">
        <v>0</v>
      </c>
      <c r="AM216" t="n">
        <v>4</v>
      </c>
      <c r="AN216" t="n">
        <v>1</v>
      </c>
      <c r="AO216" t="n">
        <v>5</v>
      </c>
      <c r="AP216" t="n">
        <v>0</v>
      </c>
      <c r="AQ216" t="n">
        <v>0</v>
      </c>
      <c r="AR216" t="inlineStr">
        <is>
          <t>No</t>
        </is>
      </c>
      <c r="AS216" t="inlineStr">
        <is>
          <t>Yes</t>
        </is>
      </c>
      <c r="AT216">
        <f>HYPERLINK("http://catalog.hathitrust.org/Record/001823880","HathiTrust Record")</f>
        <v/>
      </c>
      <c r="AU216">
        <f>HYPERLINK("https://creighton-primo.hosted.exlibrisgroup.com/primo-explore/search?tab=default_tab&amp;search_scope=EVERYTHING&amp;vid=01CRU&amp;lang=en_US&amp;offset=0&amp;query=any,contains,991000535799702656","Catalog Record")</f>
        <v/>
      </c>
      <c r="AV216">
        <f>HYPERLINK("http://www.worldcat.org/oclc/11448789","WorldCat Record")</f>
        <v/>
      </c>
      <c r="AW216" t="inlineStr">
        <is>
          <t>47562276:eng</t>
        </is>
      </c>
      <c r="AX216" t="inlineStr">
        <is>
          <t>11448789</t>
        </is>
      </c>
      <c r="AY216" t="inlineStr">
        <is>
          <t>991000535799702656</t>
        </is>
      </c>
      <c r="AZ216" t="inlineStr">
        <is>
          <t>991000535799702656</t>
        </is>
      </c>
      <c r="BA216" t="inlineStr">
        <is>
          <t>2264225130002656</t>
        </is>
      </c>
      <c r="BB216" t="inlineStr">
        <is>
          <t>BOOK</t>
        </is>
      </c>
      <c r="BD216" t="inlineStr">
        <is>
          <t>9780723408543</t>
        </is>
      </c>
      <c r="BE216" t="inlineStr">
        <is>
          <t>32285000312537</t>
        </is>
      </c>
      <c r="BF216" t="inlineStr">
        <is>
          <t>893614273</t>
        </is>
      </c>
    </row>
    <row r="217">
      <c r="B217" t="inlineStr">
        <is>
          <t>CURAL</t>
        </is>
      </c>
      <c r="C217" t="inlineStr">
        <is>
          <t>SHELVES</t>
        </is>
      </c>
      <c r="D217" t="inlineStr">
        <is>
          <t>QP303 .Z38 1998</t>
        </is>
      </c>
      <c r="E217" t="inlineStr">
        <is>
          <t>0                      QP 0303000Z  38          1998</t>
        </is>
      </c>
      <c r="F217" t="inlineStr">
        <is>
          <t>Kinematics of human motion / Vladimir M. Zatsiorsky.</t>
        </is>
      </c>
      <c r="H217" t="inlineStr">
        <is>
          <t>No</t>
        </is>
      </c>
      <c r="I217" t="inlineStr">
        <is>
          <t>1</t>
        </is>
      </c>
      <c r="J217" t="inlineStr">
        <is>
          <t>Yes</t>
        </is>
      </c>
      <c r="K217" t="inlineStr">
        <is>
          <t>No</t>
        </is>
      </c>
      <c r="L217" t="inlineStr">
        <is>
          <t>0</t>
        </is>
      </c>
      <c r="M217" t="inlineStr">
        <is>
          <t>Zatsiorsky, Vladimir M., 1932-</t>
        </is>
      </c>
      <c r="N217" t="inlineStr">
        <is>
          <t>Champaign, IL : Human Kinetics, c1998.</t>
        </is>
      </c>
      <c r="O217" t="inlineStr">
        <is>
          <t>1998</t>
        </is>
      </c>
      <c r="Q217" t="inlineStr">
        <is>
          <t>eng</t>
        </is>
      </c>
      <c r="R217" t="inlineStr">
        <is>
          <t>ilu</t>
        </is>
      </c>
      <c r="T217" t="inlineStr">
        <is>
          <t xml:space="preserve">QP </t>
        </is>
      </c>
      <c r="U217" t="n">
        <v>2</v>
      </c>
      <c r="V217" t="n">
        <v>12</v>
      </c>
      <c r="W217" t="inlineStr">
        <is>
          <t>2008-02-24</t>
        </is>
      </c>
      <c r="X217" t="inlineStr">
        <is>
          <t>2008-02-24</t>
        </is>
      </c>
      <c r="Y217" t="inlineStr">
        <is>
          <t>1998-09-23</t>
        </is>
      </c>
      <c r="Z217" t="inlineStr">
        <is>
          <t>1998-09-23</t>
        </is>
      </c>
      <c r="AA217" t="n">
        <v>587</v>
      </c>
      <c r="AB217" t="n">
        <v>430</v>
      </c>
      <c r="AC217" t="n">
        <v>568</v>
      </c>
      <c r="AD217" t="n">
        <v>4</v>
      </c>
      <c r="AE217" t="n">
        <v>6</v>
      </c>
      <c r="AF217" t="n">
        <v>17</v>
      </c>
      <c r="AG217" t="n">
        <v>20</v>
      </c>
      <c r="AH217" t="n">
        <v>10</v>
      </c>
      <c r="AI217" t="n">
        <v>11</v>
      </c>
      <c r="AJ217" t="n">
        <v>3</v>
      </c>
      <c r="AK217" t="n">
        <v>3</v>
      </c>
      <c r="AL217" t="n">
        <v>7</v>
      </c>
      <c r="AM217" t="n">
        <v>7</v>
      </c>
      <c r="AN217" t="n">
        <v>2</v>
      </c>
      <c r="AO217" t="n">
        <v>4</v>
      </c>
      <c r="AP217" t="n">
        <v>0</v>
      </c>
      <c r="AQ217" t="n">
        <v>0</v>
      </c>
      <c r="AR217" t="inlineStr">
        <is>
          <t>No</t>
        </is>
      </c>
      <c r="AS217" t="inlineStr">
        <is>
          <t>No</t>
        </is>
      </c>
      <c r="AU217">
        <f>HYPERLINK("https://creighton-primo.hosted.exlibrisgroup.com/primo-explore/search?tab=default_tab&amp;search_scope=EVERYTHING&amp;vid=01CRU&amp;lang=en_US&amp;offset=0&amp;query=any,contains,991001806749702656","Catalog Record")</f>
        <v/>
      </c>
      <c r="AV217">
        <f>HYPERLINK("http://www.worldcat.org/oclc/36521099","WorldCat Record")</f>
        <v/>
      </c>
      <c r="AW217" t="inlineStr">
        <is>
          <t>2278654391:eng</t>
        </is>
      </c>
      <c r="AX217" t="inlineStr">
        <is>
          <t>36521099</t>
        </is>
      </c>
      <c r="AY217" t="inlineStr">
        <is>
          <t>991001806749702656</t>
        </is>
      </c>
      <c r="AZ217" t="inlineStr">
        <is>
          <t>991001806749702656</t>
        </is>
      </c>
      <c r="BA217" t="inlineStr">
        <is>
          <t>2268963750002656</t>
        </is>
      </c>
      <c r="BB217" t="inlineStr">
        <is>
          <t>BOOK</t>
        </is>
      </c>
      <c r="BD217" t="inlineStr">
        <is>
          <t>9780880116763</t>
        </is>
      </c>
      <c r="BE217" t="inlineStr">
        <is>
          <t>32285003470290</t>
        </is>
      </c>
      <c r="BF217" t="inlineStr">
        <is>
          <t>893408382</t>
        </is>
      </c>
    </row>
    <row r="218">
      <c r="B218" t="inlineStr">
        <is>
          <t>CURAL</t>
        </is>
      </c>
      <c r="C218" t="inlineStr">
        <is>
          <t>SHELVES</t>
        </is>
      </c>
      <c r="D218" t="inlineStr">
        <is>
          <t>QP306 .C758 1987</t>
        </is>
      </c>
      <c r="E218" t="inlineStr">
        <is>
          <t>0                      QP 0306000C  758         1987</t>
        </is>
      </c>
      <c r="F218" t="inlineStr">
        <is>
          <t>The human vocal tract : anatomy, function, development, and evolution / by Edmund S. Crelin.</t>
        </is>
      </c>
      <c r="H218" t="inlineStr">
        <is>
          <t>No</t>
        </is>
      </c>
      <c r="I218" t="inlineStr">
        <is>
          <t>1</t>
        </is>
      </c>
      <c r="J218" t="inlineStr">
        <is>
          <t>Yes</t>
        </is>
      </c>
      <c r="K218" t="inlineStr">
        <is>
          <t>No</t>
        </is>
      </c>
      <c r="L218" t="inlineStr">
        <is>
          <t>0</t>
        </is>
      </c>
      <c r="M218" t="inlineStr">
        <is>
          <t>Crelin, Edmund S., 1923-</t>
        </is>
      </c>
      <c r="N218" t="inlineStr">
        <is>
          <t>New York : Vantage Press, c1987.</t>
        </is>
      </c>
      <c r="O218" t="inlineStr">
        <is>
          <t>1987</t>
        </is>
      </c>
      <c r="P218" t="inlineStr">
        <is>
          <t>1st ed.</t>
        </is>
      </c>
      <c r="Q218" t="inlineStr">
        <is>
          <t>eng</t>
        </is>
      </c>
      <c r="R218" t="inlineStr">
        <is>
          <t>nyu</t>
        </is>
      </c>
      <c r="T218" t="inlineStr">
        <is>
          <t xml:space="preserve">QP </t>
        </is>
      </c>
      <c r="U218" t="n">
        <v>2</v>
      </c>
      <c r="V218" t="n">
        <v>6</v>
      </c>
      <c r="X218" t="inlineStr">
        <is>
          <t>2000-02-26</t>
        </is>
      </c>
      <c r="Y218" t="inlineStr">
        <is>
          <t>1991-05-06</t>
        </is>
      </c>
      <c r="Z218" t="inlineStr">
        <is>
          <t>1991-05-06</t>
        </is>
      </c>
      <c r="AA218" t="n">
        <v>413</v>
      </c>
      <c r="AB218" t="n">
        <v>401</v>
      </c>
      <c r="AC218" t="n">
        <v>403</v>
      </c>
      <c r="AD218" t="n">
        <v>4</v>
      </c>
      <c r="AE218" t="n">
        <v>4</v>
      </c>
      <c r="AF218" t="n">
        <v>22</v>
      </c>
      <c r="AG218" t="n">
        <v>22</v>
      </c>
      <c r="AH218" t="n">
        <v>8</v>
      </c>
      <c r="AI218" t="n">
        <v>8</v>
      </c>
      <c r="AJ218" t="n">
        <v>8</v>
      </c>
      <c r="AK218" t="n">
        <v>8</v>
      </c>
      <c r="AL218" t="n">
        <v>12</v>
      </c>
      <c r="AM218" t="n">
        <v>12</v>
      </c>
      <c r="AN218" t="n">
        <v>2</v>
      </c>
      <c r="AO218" t="n">
        <v>2</v>
      </c>
      <c r="AP218" t="n">
        <v>0</v>
      </c>
      <c r="AQ218" t="n">
        <v>0</v>
      </c>
      <c r="AR218" t="inlineStr">
        <is>
          <t>No</t>
        </is>
      </c>
      <c r="AS218" t="inlineStr">
        <is>
          <t>Yes</t>
        </is>
      </c>
      <c r="AT218">
        <f>HYPERLINK("http://catalog.hathitrust.org/Record/002209917","HathiTrust Record")</f>
        <v/>
      </c>
      <c r="AU218">
        <f>HYPERLINK("https://creighton-primo.hosted.exlibrisgroup.com/primo-explore/search?tab=default_tab&amp;search_scope=EVERYTHING&amp;vid=01CRU&amp;lang=en_US&amp;offset=0&amp;query=any,contains,991001786219702656","Catalog Record")</f>
        <v/>
      </c>
      <c r="AV218">
        <f>HYPERLINK("http://www.worldcat.org/oclc/16964653","WorldCat Record")</f>
        <v/>
      </c>
      <c r="AW218" t="inlineStr">
        <is>
          <t>13382688:eng</t>
        </is>
      </c>
      <c r="AX218" t="inlineStr">
        <is>
          <t>16964653</t>
        </is>
      </c>
      <c r="AY218" t="inlineStr">
        <is>
          <t>991001786219702656</t>
        </is>
      </c>
      <c r="AZ218" t="inlineStr">
        <is>
          <t>991001786219702656</t>
        </is>
      </c>
      <c r="BA218" t="inlineStr">
        <is>
          <t>2268399100002656</t>
        </is>
      </c>
      <c r="BB218" t="inlineStr">
        <is>
          <t>BOOK</t>
        </is>
      </c>
      <c r="BD218" t="inlineStr">
        <is>
          <t>9780533069675</t>
        </is>
      </c>
      <c r="BE218" t="inlineStr">
        <is>
          <t>32285000538917</t>
        </is>
      </c>
      <c r="BF218" t="inlineStr">
        <is>
          <t>893516495</t>
        </is>
      </c>
    </row>
    <row r="219">
      <c r="B219" t="inlineStr">
        <is>
          <t>CURAL</t>
        </is>
      </c>
      <c r="C219" t="inlineStr">
        <is>
          <t>SHELVES</t>
        </is>
      </c>
      <c r="D219" t="inlineStr">
        <is>
          <t>QP306 .D45 1973</t>
        </is>
      </c>
      <c r="E219" t="inlineStr">
        <is>
          <t>0                      QP 0306000D  45          1973</t>
        </is>
      </c>
      <c r="F219" t="inlineStr">
        <is>
          <t>The speech chain : the physics and biology of spoken language/ [by] Peter B. Denes [and] Elliot N. Pinson.</t>
        </is>
      </c>
      <c r="H219" t="inlineStr">
        <is>
          <t>No</t>
        </is>
      </c>
      <c r="I219" t="inlineStr">
        <is>
          <t>1</t>
        </is>
      </c>
      <c r="J219" t="inlineStr">
        <is>
          <t>No</t>
        </is>
      </c>
      <c r="K219" t="inlineStr">
        <is>
          <t>No</t>
        </is>
      </c>
      <c r="L219" t="inlineStr">
        <is>
          <t>0</t>
        </is>
      </c>
      <c r="M219" t="inlineStr">
        <is>
          <t>Denes, Peter B.</t>
        </is>
      </c>
      <c r="N219" t="inlineStr">
        <is>
          <t>Garden City, N.Y. : Anchor Press, 1973.</t>
        </is>
      </c>
      <c r="O219" t="inlineStr">
        <is>
          <t>1973</t>
        </is>
      </c>
      <c r="Q219" t="inlineStr">
        <is>
          <t>eng</t>
        </is>
      </c>
      <c r="R219" t="inlineStr">
        <is>
          <t>nyu</t>
        </is>
      </c>
      <c r="S219" t="inlineStr">
        <is>
          <t>Science study series</t>
        </is>
      </c>
      <c r="T219" t="inlineStr">
        <is>
          <t xml:space="preserve">QP </t>
        </is>
      </c>
      <c r="U219" t="n">
        <v>9</v>
      </c>
      <c r="V219" t="n">
        <v>9</v>
      </c>
      <c r="W219" t="inlineStr">
        <is>
          <t>1996-03-27</t>
        </is>
      </c>
      <c r="X219" t="inlineStr">
        <is>
          <t>1996-03-27</t>
        </is>
      </c>
      <c r="Y219" t="inlineStr">
        <is>
          <t>1990-04-12</t>
        </is>
      </c>
      <c r="Z219" t="inlineStr">
        <is>
          <t>1990-04-12</t>
        </is>
      </c>
      <c r="AA219" t="n">
        <v>429</v>
      </c>
      <c r="AB219" t="n">
        <v>323</v>
      </c>
      <c r="AC219" t="n">
        <v>872</v>
      </c>
      <c r="AD219" t="n">
        <v>2</v>
      </c>
      <c r="AE219" t="n">
        <v>6</v>
      </c>
      <c r="AF219" t="n">
        <v>9</v>
      </c>
      <c r="AG219" t="n">
        <v>30</v>
      </c>
      <c r="AH219" t="n">
        <v>3</v>
      </c>
      <c r="AI219" t="n">
        <v>14</v>
      </c>
      <c r="AJ219" t="n">
        <v>2</v>
      </c>
      <c r="AK219" t="n">
        <v>7</v>
      </c>
      <c r="AL219" t="n">
        <v>5</v>
      </c>
      <c r="AM219" t="n">
        <v>14</v>
      </c>
      <c r="AN219" t="n">
        <v>1</v>
      </c>
      <c r="AO219" t="n">
        <v>4</v>
      </c>
      <c r="AP219" t="n">
        <v>0</v>
      </c>
      <c r="AQ219" t="n">
        <v>0</v>
      </c>
      <c r="AR219" t="inlineStr">
        <is>
          <t>No</t>
        </is>
      </c>
      <c r="AS219" t="inlineStr">
        <is>
          <t>Yes</t>
        </is>
      </c>
      <c r="AT219">
        <f>HYPERLINK("http://catalog.hathitrust.org/Record/001554397","HathiTrust Record")</f>
        <v/>
      </c>
      <c r="AU219">
        <f>HYPERLINK("https://creighton-primo.hosted.exlibrisgroup.com/primo-explore/search?tab=default_tab&amp;search_scope=EVERYTHING&amp;vid=01CRU&amp;lang=en_US&amp;offset=0&amp;query=any,contains,991003016129702656","Catalog Record")</f>
        <v/>
      </c>
      <c r="AV219">
        <f>HYPERLINK("http://www.worldcat.org/oclc/581035","WorldCat Record")</f>
        <v/>
      </c>
      <c r="AW219" t="inlineStr">
        <is>
          <t>254364:eng</t>
        </is>
      </c>
      <c r="AX219" t="inlineStr">
        <is>
          <t>581035</t>
        </is>
      </c>
      <c r="AY219" t="inlineStr">
        <is>
          <t>991003016129702656</t>
        </is>
      </c>
      <c r="AZ219" t="inlineStr">
        <is>
          <t>991003016129702656</t>
        </is>
      </c>
      <c r="BA219" t="inlineStr">
        <is>
          <t>2271633930002656</t>
        </is>
      </c>
      <c r="BB219" t="inlineStr">
        <is>
          <t>BOOK</t>
        </is>
      </c>
      <c r="BD219" t="inlineStr">
        <is>
          <t>9780385042376</t>
        </is>
      </c>
      <c r="BE219" t="inlineStr">
        <is>
          <t>32285000115229</t>
        </is>
      </c>
      <c r="BF219" t="inlineStr">
        <is>
          <t>893717222</t>
        </is>
      </c>
    </row>
    <row r="220">
      <c r="B220" t="inlineStr">
        <is>
          <t>CURAL</t>
        </is>
      </c>
      <c r="C220" t="inlineStr">
        <is>
          <t>SHELVES</t>
        </is>
      </c>
      <c r="D220" t="inlineStr">
        <is>
          <t>QP306 .F6 1953</t>
        </is>
      </c>
      <c r="E220" t="inlineStr">
        <is>
          <t>0                      QP 0306000F  6           1953</t>
        </is>
      </c>
      <c r="F220" t="inlineStr">
        <is>
          <t>Speech and hearing in communication.</t>
        </is>
      </c>
      <c r="H220" t="inlineStr">
        <is>
          <t>No</t>
        </is>
      </c>
      <c r="I220" t="inlineStr">
        <is>
          <t>1</t>
        </is>
      </c>
      <c r="J220" t="inlineStr">
        <is>
          <t>No</t>
        </is>
      </c>
      <c r="K220" t="inlineStr">
        <is>
          <t>No</t>
        </is>
      </c>
      <c r="L220" t="inlineStr">
        <is>
          <t>0</t>
        </is>
      </c>
      <c r="M220" t="inlineStr">
        <is>
          <t>Fletcher, Harvey, 1884-1981.</t>
        </is>
      </c>
      <c r="N220" t="inlineStr">
        <is>
          <t>New York : Van Nostrand, [1953]</t>
        </is>
      </c>
      <c r="O220" t="inlineStr">
        <is>
          <t>1953</t>
        </is>
      </c>
      <c r="P220" t="inlineStr">
        <is>
          <t>[2d ed.]</t>
        </is>
      </c>
      <c r="Q220" t="inlineStr">
        <is>
          <t>eng</t>
        </is>
      </c>
      <c r="R220" t="inlineStr">
        <is>
          <t>nyu</t>
        </is>
      </c>
      <c r="S220" t="inlineStr">
        <is>
          <t>The Bell Telephone Laboratories series</t>
        </is>
      </c>
      <c r="T220" t="inlineStr">
        <is>
          <t xml:space="preserve">QP </t>
        </is>
      </c>
      <c r="U220" t="n">
        <v>16</v>
      </c>
      <c r="V220" t="n">
        <v>16</v>
      </c>
      <c r="W220" t="inlineStr">
        <is>
          <t>2000-02-15</t>
        </is>
      </c>
      <c r="X220" t="inlineStr">
        <is>
          <t>2000-02-15</t>
        </is>
      </c>
      <c r="Y220" t="inlineStr">
        <is>
          <t>1992-01-02</t>
        </is>
      </c>
      <c r="Z220" t="inlineStr">
        <is>
          <t>1992-01-02</t>
        </is>
      </c>
      <c r="AA220" t="n">
        <v>487</v>
      </c>
      <c r="AB220" t="n">
        <v>409</v>
      </c>
      <c r="AC220" t="n">
        <v>503</v>
      </c>
      <c r="AD220" t="n">
        <v>3</v>
      </c>
      <c r="AE220" t="n">
        <v>4</v>
      </c>
      <c r="AF220" t="n">
        <v>17</v>
      </c>
      <c r="AG220" t="n">
        <v>18</v>
      </c>
      <c r="AH220" t="n">
        <v>7</v>
      </c>
      <c r="AI220" t="n">
        <v>8</v>
      </c>
      <c r="AJ220" t="n">
        <v>2</v>
      </c>
      <c r="AK220" t="n">
        <v>2</v>
      </c>
      <c r="AL220" t="n">
        <v>8</v>
      </c>
      <c r="AM220" t="n">
        <v>9</v>
      </c>
      <c r="AN220" t="n">
        <v>2</v>
      </c>
      <c r="AO220" t="n">
        <v>2</v>
      </c>
      <c r="AP220" t="n">
        <v>0</v>
      </c>
      <c r="AQ220" t="n">
        <v>0</v>
      </c>
      <c r="AR220" t="inlineStr">
        <is>
          <t>Yes</t>
        </is>
      </c>
      <c r="AS220" t="inlineStr">
        <is>
          <t>No</t>
        </is>
      </c>
      <c r="AT220">
        <f>HYPERLINK("http://catalog.hathitrust.org/Record/001438413","HathiTrust Record")</f>
        <v/>
      </c>
      <c r="AU220">
        <f>HYPERLINK("https://creighton-primo.hosted.exlibrisgroup.com/primo-explore/search?tab=default_tab&amp;search_scope=EVERYTHING&amp;vid=01CRU&amp;lang=en_US&amp;offset=0&amp;query=any,contains,991002995389702656","Catalog Record")</f>
        <v/>
      </c>
      <c r="AV220">
        <f>HYPERLINK("http://www.worldcat.org/oclc/563431","WorldCat Record")</f>
        <v/>
      </c>
      <c r="AW220" t="inlineStr">
        <is>
          <t>1644290:eng</t>
        </is>
      </c>
      <c r="AX220" t="inlineStr">
        <is>
          <t>563431</t>
        </is>
      </c>
      <c r="AY220" t="inlineStr">
        <is>
          <t>991002995389702656</t>
        </is>
      </c>
      <c r="AZ220" t="inlineStr">
        <is>
          <t>991002995389702656</t>
        </is>
      </c>
      <c r="BA220" t="inlineStr">
        <is>
          <t>2255747830002656</t>
        </is>
      </c>
      <c r="BB220" t="inlineStr">
        <is>
          <t>BOOK</t>
        </is>
      </c>
      <c r="BE220" t="inlineStr">
        <is>
          <t>32285000880442</t>
        </is>
      </c>
      <c r="BF220" t="inlineStr">
        <is>
          <t>893717193</t>
        </is>
      </c>
    </row>
    <row r="221">
      <c r="B221" t="inlineStr">
        <is>
          <t>CURAL</t>
        </is>
      </c>
      <c r="C221" t="inlineStr">
        <is>
          <t>SHELVES</t>
        </is>
      </c>
      <c r="D221" t="inlineStr">
        <is>
          <t>QP306 .L33 1962</t>
        </is>
      </c>
      <c r="E221" t="inlineStr">
        <is>
          <t>0                      QP 0306000L  33          1962</t>
        </is>
      </c>
      <c r="F221" t="inlineStr">
        <is>
          <t>Elements of acoustic phonetics.</t>
        </is>
      </c>
      <c r="H221" t="inlineStr">
        <is>
          <t>No</t>
        </is>
      </c>
      <c r="I221" t="inlineStr">
        <is>
          <t>1</t>
        </is>
      </c>
      <c r="J221" t="inlineStr">
        <is>
          <t>No</t>
        </is>
      </c>
      <c r="K221" t="inlineStr">
        <is>
          <t>No</t>
        </is>
      </c>
      <c r="L221" t="inlineStr">
        <is>
          <t>0</t>
        </is>
      </c>
      <c r="M221" t="inlineStr">
        <is>
          <t>Ladefoged, Peter.</t>
        </is>
      </c>
      <c r="N221" t="inlineStr">
        <is>
          <t>[Chicago] University of Chicago Press [1962]</t>
        </is>
      </c>
      <c r="O221" t="inlineStr">
        <is>
          <t>1962</t>
        </is>
      </c>
      <c r="Q221" t="inlineStr">
        <is>
          <t>eng</t>
        </is>
      </c>
      <c r="R221" t="inlineStr">
        <is>
          <t>ilu</t>
        </is>
      </c>
      <c r="T221" t="inlineStr">
        <is>
          <t xml:space="preserve">QP </t>
        </is>
      </c>
      <c r="U221" t="n">
        <v>1</v>
      </c>
      <c r="V221" t="n">
        <v>1</v>
      </c>
      <c r="W221" t="inlineStr">
        <is>
          <t>2002-05-16</t>
        </is>
      </c>
      <c r="X221" t="inlineStr">
        <is>
          <t>2002-05-16</t>
        </is>
      </c>
      <c r="Y221" t="inlineStr">
        <is>
          <t>1997-08-06</t>
        </is>
      </c>
      <c r="Z221" t="inlineStr">
        <is>
          <t>1997-08-06</t>
        </is>
      </c>
      <c r="AA221" t="n">
        <v>577</v>
      </c>
      <c r="AB221" t="n">
        <v>457</v>
      </c>
      <c r="AC221" t="n">
        <v>566</v>
      </c>
      <c r="AD221" t="n">
        <v>4</v>
      </c>
      <c r="AE221" t="n">
        <v>4</v>
      </c>
      <c r="AF221" t="n">
        <v>20</v>
      </c>
      <c r="AG221" t="n">
        <v>20</v>
      </c>
      <c r="AH221" t="n">
        <v>7</v>
      </c>
      <c r="AI221" t="n">
        <v>7</v>
      </c>
      <c r="AJ221" t="n">
        <v>4</v>
      </c>
      <c r="AK221" t="n">
        <v>4</v>
      </c>
      <c r="AL221" t="n">
        <v>11</v>
      </c>
      <c r="AM221" t="n">
        <v>11</v>
      </c>
      <c r="AN221" t="n">
        <v>3</v>
      </c>
      <c r="AO221" t="n">
        <v>3</v>
      </c>
      <c r="AP221" t="n">
        <v>0</v>
      </c>
      <c r="AQ221" t="n">
        <v>0</v>
      </c>
      <c r="AR221" t="inlineStr">
        <is>
          <t>No</t>
        </is>
      </c>
      <c r="AS221" t="inlineStr">
        <is>
          <t>No</t>
        </is>
      </c>
      <c r="AU221">
        <f>HYPERLINK("https://creighton-primo.hosted.exlibrisgroup.com/primo-explore/search?tab=default_tab&amp;search_scope=EVERYTHING&amp;vid=01CRU&amp;lang=en_US&amp;offset=0&amp;query=any,contains,991002210569702656","Catalog Record")</f>
        <v/>
      </c>
      <c r="AV221">
        <f>HYPERLINK("http://www.worldcat.org/oclc/287831","WorldCat Record")</f>
        <v/>
      </c>
      <c r="AW221" t="inlineStr">
        <is>
          <t>1371464:eng</t>
        </is>
      </c>
      <c r="AX221" t="inlineStr">
        <is>
          <t>287831</t>
        </is>
      </c>
      <c r="AY221" t="inlineStr">
        <is>
          <t>991002210569702656</t>
        </is>
      </c>
      <c r="AZ221" t="inlineStr">
        <is>
          <t>991002210569702656</t>
        </is>
      </c>
      <c r="BA221" t="inlineStr">
        <is>
          <t>2263570150002656</t>
        </is>
      </c>
      <c r="BB221" t="inlineStr">
        <is>
          <t>BOOK</t>
        </is>
      </c>
      <c r="BE221" t="inlineStr">
        <is>
          <t>32285003013561</t>
        </is>
      </c>
      <c r="BF221" t="inlineStr">
        <is>
          <t>893238776</t>
        </is>
      </c>
    </row>
    <row r="222">
      <c r="B222" t="inlineStr">
        <is>
          <t>CURAL</t>
        </is>
      </c>
      <c r="C222" t="inlineStr">
        <is>
          <t>SHELVES</t>
        </is>
      </c>
      <c r="D222" t="inlineStr">
        <is>
          <t>QP306 .Z4</t>
        </is>
      </c>
      <c r="E222" t="inlineStr">
        <is>
          <t>0                      QP 0306000Z  4</t>
        </is>
      </c>
      <c r="F222" t="inlineStr">
        <is>
          <t>Speech and hearing science; anatomy and physiology [by] Willard R. Zemlin.</t>
        </is>
      </c>
      <c r="H222" t="inlineStr">
        <is>
          <t>No</t>
        </is>
      </c>
      <c r="I222" t="inlineStr">
        <is>
          <t>1</t>
        </is>
      </c>
      <c r="J222" t="inlineStr">
        <is>
          <t>No</t>
        </is>
      </c>
      <c r="K222" t="inlineStr">
        <is>
          <t>No</t>
        </is>
      </c>
      <c r="L222" t="inlineStr">
        <is>
          <t>0</t>
        </is>
      </c>
      <c r="M222" t="inlineStr">
        <is>
          <t>Zemlin, Willard R.</t>
        </is>
      </c>
      <c r="N222" t="inlineStr">
        <is>
          <t>Englewood Cliffs, N.J., Prentice-Hall [1968]</t>
        </is>
      </c>
      <c r="O222" t="inlineStr">
        <is>
          <t>1968</t>
        </is>
      </c>
      <c r="Q222" t="inlineStr">
        <is>
          <t>eng</t>
        </is>
      </c>
      <c r="R222" t="inlineStr">
        <is>
          <t>nju</t>
        </is>
      </c>
      <c r="T222" t="inlineStr">
        <is>
          <t xml:space="preserve">QP </t>
        </is>
      </c>
      <c r="U222" t="n">
        <v>3</v>
      </c>
      <c r="V222" t="n">
        <v>3</v>
      </c>
      <c r="W222" t="inlineStr">
        <is>
          <t>2000-02-15</t>
        </is>
      </c>
      <c r="X222" t="inlineStr">
        <is>
          <t>2000-02-15</t>
        </is>
      </c>
      <c r="Y222" t="inlineStr">
        <is>
          <t>1997-08-06</t>
        </is>
      </c>
      <c r="Z222" t="inlineStr">
        <is>
          <t>1997-08-06</t>
        </is>
      </c>
      <c r="AA222" t="n">
        <v>415</v>
      </c>
      <c r="AB222" t="n">
        <v>347</v>
      </c>
      <c r="AC222" t="n">
        <v>653</v>
      </c>
      <c r="AD222" t="n">
        <v>7</v>
      </c>
      <c r="AE222" t="n">
        <v>9</v>
      </c>
      <c r="AF222" t="n">
        <v>9</v>
      </c>
      <c r="AG222" t="n">
        <v>24</v>
      </c>
      <c r="AH222" t="n">
        <v>2</v>
      </c>
      <c r="AI222" t="n">
        <v>8</v>
      </c>
      <c r="AJ222" t="n">
        <v>1</v>
      </c>
      <c r="AK222" t="n">
        <v>4</v>
      </c>
      <c r="AL222" t="n">
        <v>2</v>
      </c>
      <c r="AM222" t="n">
        <v>10</v>
      </c>
      <c r="AN222" t="n">
        <v>4</v>
      </c>
      <c r="AO222" t="n">
        <v>6</v>
      </c>
      <c r="AP222" t="n">
        <v>0</v>
      </c>
      <c r="AQ222" t="n">
        <v>0</v>
      </c>
      <c r="AR222" t="inlineStr">
        <is>
          <t>No</t>
        </is>
      </c>
      <c r="AS222" t="inlineStr">
        <is>
          <t>Yes</t>
        </is>
      </c>
      <c r="AT222">
        <f>HYPERLINK("http://catalog.hathitrust.org/Record/000006036","HathiTrust Record")</f>
        <v/>
      </c>
      <c r="AU222">
        <f>HYPERLINK("https://creighton-primo.hosted.exlibrisgroup.com/primo-explore/search?tab=default_tab&amp;search_scope=EVERYTHING&amp;vid=01CRU&amp;lang=en_US&amp;offset=0&amp;query=any,contains,991005264599702656","Catalog Record")</f>
        <v/>
      </c>
      <c r="AV222">
        <f>HYPERLINK("http://www.worldcat.org/oclc/435859","WorldCat Record")</f>
        <v/>
      </c>
      <c r="AW222" t="inlineStr">
        <is>
          <t>1554054:eng</t>
        </is>
      </c>
      <c r="AX222" t="inlineStr">
        <is>
          <t>435859</t>
        </is>
      </c>
      <c r="AY222" t="inlineStr">
        <is>
          <t>991005264599702656</t>
        </is>
      </c>
      <c r="AZ222" t="inlineStr">
        <is>
          <t>991005264599702656</t>
        </is>
      </c>
      <c r="BA222" t="inlineStr">
        <is>
          <t>2269258100002656</t>
        </is>
      </c>
      <c r="BB222" t="inlineStr">
        <is>
          <t>BOOK</t>
        </is>
      </c>
      <c r="BE222" t="inlineStr">
        <is>
          <t>32285003013611</t>
        </is>
      </c>
      <c r="BF222" t="inlineStr">
        <is>
          <t>893332686</t>
        </is>
      </c>
    </row>
    <row r="223">
      <c r="B223" t="inlineStr">
        <is>
          <t>CURAL</t>
        </is>
      </c>
      <c r="C223" t="inlineStr">
        <is>
          <t>SHELVES</t>
        </is>
      </c>
      <c r="D223" t="inlineStr">
        <is>
          <t>QP309 .G7313 1997</t>
        </is>
      </c>
      <c r="E223" t="inlineStr">
        <is>
          <t>0                      QP 0309000G  7313        1997</t>
        </is>
      </c>
      <c r="F223" t="inlineStr">
        <is>
          <t>Fitting the task to the human : a textbook of occupational ergonomics / by K.H.E. Kroemer and E. Grandjean.</t>
        </is>
      </c>
      <c r="H223" t="inlineStr">
        <is>
          <t>No</t>
        </is>
      </c>
      <c r="I223" t="inlineStr">
        <is>
          <t>1</t>
        </is>
      </c>
      <c r="J223" t="inlineStr">
        <is>
          <t>No</t>
        </is>
      </c>
      <c r="K223" t="inlineStr">
        <is>
          <t>No</t>
        </is>
      </c>
      <c r="L223" t="inlineStr">
        <is>
          <t>0</t>
        </is>
      </c>
      <c r="M223" t="inlineStr">
        <is>
          <t>Kroemer, K. H. E., 1933-</t>
        </is>
      </c>
      <c r="N223" t="inlineStr">
        <is>
          <t>London ; Bristol, PA : Taylor &amp; Francis, c1997.</t>
        </is>
      </c>
      <c r="O223" t="inlineStr">
        <is>
          <t>1997</t>
        </is>
      </c>
      <c r="P223" t="inlineStr">
        <is>
          <t>5th ed.</t>
        </is>
      </c>
      <c r="Q223" t="inlineStr">
        <is>
          <t>eng</t>
        </is>
      </c>
      <c r="R223" t="inlineStr">
        <is>
          <t>enk</t>
        </is>
      </c>
      <c r="T223" t="inlineStr">
        <is>
          <t xml:space="preserve">QP </t>
        </is>
      </c>
      <c r="U223" t="n">
        <v>8</v>
      </c>
      <c r="V223" t="n">
        <v>8</v>
      </c>
      <c r="W223" t="inlineStr">
        <is>
          <t>2008-03-10</t>
        </is>
      </c>
      <c r="X223" t="inlineStr">
        <is>
          <t>2008-03-10</t>
        </is>
      </c>
      <c r="Y223" t="inlineStr">
        <is>
          <t>2000-03-09</t>
        </is>
      </c>
      <c r="Z223" t="inlineStr">
        <is>
          <t>2000-03-09</t>
        </is>
      </c>
      <c r="AA223" t="n">
        <v>369</v>
      </c>
      <c r="AB223" t="n">
        <v>185</v>
      </c>
      <c r="AC223" t="n">
        <v>230</v>
      </c>
      <c r="AD223" t="n">
        <v>2</v>
      </c>
      <c r="AE223" t="n">
        <v>2</v>
      </c>
      <c r="AF223" t="n">
        <v>9</v>
      </c>
      <c r="AG223" t="n">
        <v>10</v>
      </c>
      <c r="AH223" t="n">
        <v>4</v>
      </c>
      <c r="AI223" t="n">
        <v>4</v>
      </c>
      <c r="AJ223" t="n">
        <v>3</v>
      </c>
      <c r="AK223" t="n">
        <v>4</v>
      </c>
      <c r="AL223" t="n">
        <v>4</v>
      </c>
      <c r="AM223" t="n">
        <v>4</v>
      </c>
      <c r="AN223" t="n">
        <v>1</v>
      </c>
      <c r="AO223" t="n">
        <v>1</v>
      </c>
      <c r="AP223" t="n">
        <v>0</v>
      </c>
      <c r="AQ223" t="n">
        <v>0</v>
      </c>
      <c r="AR223" t="inlineStr">
        <is>
          <t>No</t>
        </is>
      </c>
      <c r="AS223" t="inlineStr">
        <is>
          <t>No</t>
        </is>
      </c>
      <c r="AU223">
        <f>HYPERLINK("https://creighton-primo.hosted.exlibrisgroup.com/primo-explore/search?tab=default_tab&amp;search_scope=EVERYTHING&amp;vid=01CRU&amp;lang=en_US&amp;offset=0&amp;query=any,contains,991002860899702656","Catalog Record")</f>
        <v/>
      </c>
      <c r="AV223">
        <f>HYPERLINK("http://www.worldcat.org/oclc/37709399","WorldCat Record")</f>
        <v/>
      </c>
      <c r="AW223" t="inlineStr">
        <is>
          <t>4803442754:eng</t>
        </is>
      </c>
      <c r="AX223" t="inlineStr">
        <is>
          <t>37709399</t>
        </is>
      </c>
      <c r="AY223" t="inlineStr">
        <is>
          <t>991002860899702656</t>
        </is>
      </c>
      <c r="AZ223" t="inlineStr">
        <is>
          <t>991002860899702656</t>
        </is>
      </c>
      <c r="BA223" t="inlineStr">
        <is>
          <t>2264992100002656</t>
        </is>
      </c>
      <c r="BB223" t="inlineStr">
        <is>
          <t>BOOK</t>
        </is>
      </c>
      <c r="BD223" t="inlineStr">
        <is>
          <t>9780748406647</t>
        </is>
      </c>
      <c r="BE223" t="inlineStr">
        <is>
          <t>32285003668059</t>
        </is>
      </c>
      <c r="BF223" t="inlineStr">
        <is>
          <t>893899334</t>
        </is>
      </c>
    </row>
    <row r="224">
      <c r="B224" t="inlineStr">
        <is>
          <t>CURAL</t>
        </is>
      </c>
      <c r="C224" t="inlineStr">
        <is>
          <t>SHELVES</t>
        </is>
      </c>
      <c r="D224" t="inlineStr">
        <is>
          <t>QP31 .L35</t>
        </is>
      </c>
      <c r="E224" t="inlineStr">
        <is>
          <t>0                      QP 0031000L  35</t>
        </is>
      </c>
      <c r="F224" t="inlineStr">
        <is>
          <t>Introduction to animal physiology. --</t>
        </is>
      </c>
      <c r="H224" t="inlineStr">
        <is>
          <t>No</t>
        </is>
      </c>
      <c r="I224" t="inlineStr">
        <is>
          <t>1</t>
        </is>
      </c>
      <c r="J224" t="inlineStr">
        <is>
          <t>No</t>
        </is>
      </c>
      <c r="K224" t="inlineStr">
        <is>
          <t>No</t>
        </is>
      </c>
      <c r="L224" t="inlineStr">
        <is>
          <t>0</t>
        </is>
      </c>
      <c r="M224" t="inlineStr">
        <is>
          <t>Larimer, James.</t>
        </is>
      </c>
      <c r="N224" t="inlineStr">
        <is>
          <t>Dubuque, Iowa, W. C. Brown Co. [1968]</t>
        </is>
      </c>
      <c r="O224" t="inlineStr">
        <is>
          <t>1968</t>
        </is>
      </c>
      <c r="Q224" t="inlineStr">
        <is>
          <t>eng</t>
        </is>
      </c>
      <c r="R224" t="inlineStr">
        <is>
          <t>iau</t>
        </is>
      </c>
      <c r="S224" t="inlineStr">
        <is>
          <t>Concepts of biology series</t>
        </is>
      </c>
      <c r="T224" t="inlineStr">
        <is>
          <t xml:space="preserve">QP </t>
        </is>
      </c>
      <c r="U224" t="n">
        <v>3</v>
      </c>
      <c r="V224" t="n">
        <v>3</v>
      </c>
      <c r="W224" t="inlineStr">
        <is>
          <t>1996-02-22</t>
        </is>
      </c>
      <c r="X224" t="inlineStr">
        <is>
          <t>1996-02-22</t>
        </is>
      </c>
      <c r="Y224" t="inlineStr">
        <is>
          <t>1993-02-24</t>
        </is>
      </c>
      <c r="Z224" t="inlineStr">
        <is>
          <t>1993-02-24</t>
        </is>
      </c>
      <c r="AA224" t="n">
        <v>260</v>
      </c>
      <c r="AB224" t="n">
        <v>226</v>
      </c>
      <c r="AC224" t="n">
        <v>276</v>
      </c>
      <c r="AD224" t="n">
        <v>5</v>
      </c>
      <c r="AE224" t="n">
        <v>5</v>
      </c>
      <c r="AF224" t="n">
        <v>10</v>
      </c>
      <c r="AG224" t="n">
        <v>11</v>
      </c>
      <c r="AH224" t="n">
        <v>3</v>
      </c>
      <c r="AI224" t="n">
        <v>4</v>
      </c>
      <c r="AJ224" t="n">
        <v>1</v>
      </c>
      <c r="AK224" t="n">
        <v>1</v>
      </c>
      <c r="AL224" t="n">
        <v>4</v>
      </c>
      <c r="AM224" t="n">
        <v>5</v>
      </c>
      <c r="AN224" t="n">
        <v>4</v>
      </c>
      <c r="AO224" t="n">
        <v>4</v>
      </c>
      <c r="AP224" t="n">
        <v>0</v>
      </c>
      <c r="AQ224" t="n">
        <v>0</v>
      </c>
      <c r="AR224" t="inlineStr">
        <is>
          <t>No</t>
        </is>
      </c>
      <c r="AS224" t="inlineStr">
        <is>
          <t>No</t>
        </is>
      </c>
      <c r="AU224">
        <f>HYPERLINK("https://creighton-primo.hosted.exlibrisgroup.com/primo-explore/search?tab=default_tab&amp;search_scope=EVERYTHING&amp;vid=01CRU&amp;lang=en_US&amp;offset=0&amp;query=any,contains,991002783379702656","Catalog Record")</f>
        <v/>
      </c>
      <c r="AV224">
        <f>HYPERLINK("http://www.worldcat.org/oclc/440983","WorldCat Record")</f>
        <v/>
      </c>
      <c r="AW224" t="inlineStr">
        <is>
          <t>3373126409:eng</t>
        </is>
      </c>
      <c r="AX224" t="inlineStr">
        <is>
          <t>440983</t>
        </is>
      </c>
      <c r="AY224" t="inlineStr">
        <is>
          <t>991002783379702656</t>
        </is>
      </c>
      <c r="AZ224" t="inlineStr">
        <is>
          <t>991002783379702656</t>
        </is>
      </c>
      <c r="BA224" t="inlineStr">
        <is>
          <t>2257055270002656</t>
        </is>
      </c>
      <c r="BB224" t="inlineStr">
        <is>
          <t>BOOK</t>
        </is>
      </c>
      <c r="BE224" t="inlineStr">
        <is>
          <t>32285001548857</t>
        </is>
      </c>
      <c r="BF224" t="inlineStr">
        <is>
          <t>893710674</t>
        </is>
      </c>
    </row>
    <row r="225">
      <c r="B225" t="inlineStr">
        <is>
          <t>CURAL</t>
        </is>
      </c>
      <c r="C225" t="inlineStr">
        <is>
          <t>SHELVES</t>
        </is>
      </c>
      <c r="D225" t="inlineStr">
        <is>
          <t>QP31 .P68 1961</t>
        </is>
      </c>
      <c r="E225" t="inlineStr">
        <is>
          <t>0                      QP 0031000P  68          1961</t>
        </is>
      </c>
      <c r="F225" t="inlineStr">
        <is>
          <t>Comparative animal physiology / [by] C. Ladd Prosser [and] Frank A. Brown, Jr.</t>
        </is>
      </c>
      <c r="H225" t="inlineStr">
        <is>
          <t>No</t>
        </is>
      </c>
      <c r="I225" t="inlineStr">
        <is>
          <t>1</t>
        </is>
      </c>
      <c r="J225" t="inlineStr">
        <is>
          <t>No</t>
        </is>
      </c>
      <c r="K225" t="inlineStr">
        <is>
          <t>Yes</t>
        </is>
      </c>
      <c r="L225" t="inlineStr">
        <is>
          <t>0</t>
        </is>
      </c>
      <c r="M225" t="inlineStr">
        <is>
          <t>Prosser, C. Ladd (Clifford Ladd), 1907-2002.</t>
        </is>
      </c>
      <c r="N225" t="inlineStr">
        <is>
          <t>Philadelphia : Saunders, 1961.</t>
        </is>
      </c>
      <c r="O225" t="inlineStr">
        <is>
          <t>1961</t>
        </is>
      </c>
      <c r="P225" t="inlineStr">
        <is>
          <t>2d ed.</t>
        </is>
      </c>
      <c r="Q225" t="inlineStr">
        <is>
          <t>eng</t>
        </is>
      </c>
      <c r="R225" t="inlineStr">
        <is>
          <t>pau</t>
        </is>
      </c>
      <c r="T225" t="inlineStr">
        <is>
          <t xml:space="preserve">QP </t>
        </is>
      </c>
      <c r="U225" t="n">
        <v>5</v>
      </c>
      <c r="V225" t="n">
        <v>5</v>
      </c>
      <c r="W225" t="inlineStr">
        <is>
          <t>1997-03-26</t>
        </is>
      </c>
      <c r="X225" t="inlineStr">
        <is>
          <t>1997-03-26</t>
        </is>
      </c>
      <c r="Y225" t="inlineStr">
        <is>
          <t>1994-03-11</t>
        </is>
      </c>
      <c r="Z225" t="inlineStr">
        <is>
          <t>1994-03-11</t>
        </is>
      </c>
      <c r="AA225" t="n">
        <v>662</v>
      </c>
      <c r="AB225" t="n">
        <v>531</v>
      </c>
      <c r="AC225" t="n">
        <v>1010</v>
      </c>
      <c r="AD225" t="n">
        <v>4</v>
      </c>
      <c r="AE225" t="n">
        <v>8</v>
      </c>
      <c r="AF225" t="n">
        <v>21</v>
      </c>
      <c r="AG225" t="n">
        <v>38</v>
      </c>
      <c r="AH225" t="n">
        <v>10</v>
      </c>
      <c r="AI225" t="n">
        <v>13</v>
      </c>
      <c r="AJ225" t="n">
        <v>4</v>
      </c>
      <c r="AK225" t="n">
        <v>8</v>
      </c>
      <c r="AL225" t="n">
        <v>10</v>
      </c>
      <c r="AM225" t="n">
        <v>20</v>
      </c>
      <c r="AN225" t="n">
        <v>3</v>
      </c>
      <c r="AO225" t="n">
        <v>7</v>
      </c>
      <c r="AP225" t="n">
        <v>0</v>
      </c>
      <c r="AQ225" t="n">
        <v>0</v>
      </c>
      <c r="AR225" t="inlineStr">
        <is>
          <t>No</t>
        </is>
      </c>
      <c r="AS225" t="inlineStr">
        <is>
          <t>Yes</t>
        </is>
      </c>
      <c r="AT225">
        <f>HYPERLINK("http://catalog.hathitrust.org/Record/001553192","HathiTrust Record")</f>
        <v/>
      </c>
      <c r="AU225">
        <f>HYPERLINK("https://creighton-primo.hosted.exlibrisgroup.com/primo-explore/search?tab=default_tab&amp;search_scope=EVERYTHING&amp;vid=01CRU&amp;lang=en_US&amp;offset=0&amp;query=any,contains,991005254219702656","Catalog Record")</f>
        <v/>
      </c>
      <c r="AV225">
        <f>HYPERLINK("http://www.worldcat.org/oclc/557029","WorldCat Record")</f>
        <v/>
      </c>
      <c r="AW225" t="inlineStr">
        <is>
          <t>4915252924:eng</t>
        </is>
      </c>
      <c r="AX225" t="inlineStr">
        <is>
          <t>557029</t>
        </is>
      </c>
      <c r="AY225" t="inlineStr">
        <is>
          <t>991005254219702656</t>
        </is>
      </c>
      <c r="AZ225" t="inlineStr">
        <is>
          <t>991005254219702656</t>
        </is>
      </c>
      <c r="BA225" t="inlineStr">
        <is>
          <t>2261280720002656</t>
        </is>
      </c>
      <c r="BB225" t="inlineStr">
        <is>
          <t>BOOK</t>
        </is>
      </c>
      <c r="BE225" t="inlineStr">
        <is>
          <t>32285001853190</t>
        </is>
      </c>
      <c r="BF225" t="inlineStr">
        <is>
          <t>893889928</t>
        </is>
      </c>
    </row>
    <row r="226">
      <c r="B226" t="inlineStr">
        <is>
          <t>CURAL</t>
        </is>
      </c>
      <c r="C226" t="inlineStr">
        <is>
          <t>SHELVES</t>
        </is>
      </c>
      <c r="D226" t="inlineStr">
        <is>
          <t>QP31.2 .M37 1980</t>
        </is>
      </c>
      <c r="E226" t="inlineStr">
        <is>
          <t>0                      QP 0031200M  37          1980</t>
        </is>
      </c>
      <c r="F226" t="inlineStr">
        <is>
          <t>Physiology of mammals and other vertebrates / P.T. Marshall, G.M. Hughes.</t>
        </is>
      </c>
      <c r="H226" t="inlineStr">
        <is>
          <t>No</t>
        </is>
      </c>
      <c r="I226" t="inlineStr">
        <is>
          <t>1</t>
        </is>
      </c>
      <c r="J226" t="inlineStr">
        <is>
          <t>No</t>
        </is>
      </c>
      <c r="K226" t="inlineStr">
        <is>
          <t>No</t>
        </is>
      </c>
      <c r="L226" t="inlineStr">
        <is>
          <t>0</t>
        </is>
      </c>
      <c r="M226" t="inlineStr">
        <is>
          <t>Marshall, P. T.</t>
        </is>
      </c>
      <c r="N226" t="inlineStr">
        <is>
          <t>Cambridge [Eng.] ; New York : Cambridge University Press, 1980.</t>
        </is>
      </c>
      <c r="O226" t="inlineStr">
        <is>
          <t>1980</t>
        </is>
      </c>
      <c r="P226" t="inlineStr">
        <is>
          <t>2d ed.</t>
        </is>
      </c>
      <c r="Q226" t="inlineStr">
        <is>
          <t>eng</t>
        </is>
      </c>
      <c r="R226" t="inlineStr">
        <is>
          <t>enk</t>
        </is>
      </c>
      <c r="T226" t="inlineStr">
        <is>
          <t xml:space="preserve">QP </t>
        </is>
      </c>
      <c r="U226" t="n">
        <v>8</v>
      </c>
      <c r="V226" t="n">
        <v>8</v>
      </c>
      <c r="W226" t="inlineStr">
        <is>
          <t>1997-02-24</t>
        </is>
      </c>
      <c r="X226" t="inlineStr">
        <is>
          <t>1997-02-24</t>
        </is>
      </c>
      <c r="Y226" t="inlineStr">
        <is>
          <t>1993-02-24</t>
        </is>
      </c>
      <c r="Z226" t="inlineStr">
        <is>
          <t>1993-02-24</t>
        </is>
      </c>
      <c r="AA226" t="n">
        <v>474</v>
      </c>
      <c r="AB226" t="n">
        <v>360</v>
      </c>
      <c r="AC226" t="n">
        <v>362</v>
      </c>
      <c r="AD226" t="n">
        <v>5</v>
      </c>
      <c r="AE226" t="n">
        <v>5</v>
      </c>
      <c r="AF226" t="n">
        <v>17</v>
      </c>
      <c r="AG226" t="n">
        <v>17</v>
      </c>
      <c r="AH226" t="n">
        <v>5</v>
      </c>
      <c r="AI226" t="n">
        <v>5</v>
      </c>
      <c r="AJ226" t="n">
        <v>5</v>
      </c>
      <c r="AK226" t="n">
        <v>5</v>
      </c>
      <c r="AL226" t="n">
        <v>9</v>
      </c>
      <c r="AM226" t="n">
        <v>9</v>
      </c>
      <c r="AN226" t="n">
        <v>4</v>
      </c>
      <c r="AO226" t="n">
        <v>4</v>
      </c>
      <c r="AP226" t="n">
        <v>0</v>
      </c>
      <c r="AQ226" t="n">
        <v>0</v>
      </c>
      <c r="AR226" t="inlineStr">
        <is>
          <t>No</t>
        </is>
      </c>
      <c r="AS226" t="inlineStr">
        <is>
          <t>No</t>
        </is>
      </c>
      <c r="AU226">
        <f>HYPERLINK("https://creighton-primo.hosted.exlibrisgroup.com/primo-explore/search?tab=default_tab&amp;search_scope=EVERYTHING&amp;vid=01CRU&amp;lang=en_US&amp;offset=0&amp;query=any,contains,991004893609702656","Catalog Record")</f>
        <v/>
      </c>
      <c r="AV226">
        <f>HYPERLINK("http://www.worldcat.org/oclc/5889616","WorldCat Record")</f>
        <v/>
      </c>
      <c r="AW226" t="inlineStr">
        <is>
          <t>4920887665:eng</t>
        </is>
      </c>
      <c r="AX226" t="inlineStr">
        <is>
          <t>5889616</t>
        </is>
      </c>
      <c r="AY226" t="inlineStr">
        <is>
          <t>991004893609702656</t>
        </is>
      </c>
      <c r="AZ226" t="inlineStr">
        <is>
          <t>991004893609702656</t>
        </is>
      </c>
      <c r="BA226" t="inlineStr">
        <is>
          <t>2271425240002656</t>
        </is>
      </c>
      <c r="BB226" t="inlineStr">
        <is>
          <t>BOOK</t>
        </is>
      </c>
      <c r="BD226" t="inlineStr">
        <is>
          <t>9780521226332</t>
        </is>
      </c>
      <c r="BE226" t="inlineStr">
        <is>
          <t>32285001548865</t>
        </is>
      </c>
      <c r="BF226" t="inlineStr">
        <is>
          <t>893883075</t>
        </is>
      </c>
    </row>
    <row r="227">
      <c r="B227" t="inlineStr">
        <is>
          <t>CURAL</t>
        </is>
      </c>
      <c r="C227" t="inlineStr">
        <is>
          <t>SHELVES</t>
        </is>
      </c>
      <c r="D227" t="inlineStr">
        <is>
          <t>QP31.2 .P78 1973</t>
        </is>
      </c>
      <c r="E227" t="inlineStr">
        <is>
          <t>0                      QP 0031200P  78          1973</t>
        </is>
      </c>
      <c r="F227" t="inlineStr">
        <is>
          <t>Comparative animal physiology / edited by C. Ladd Prosser.</t>
        </is>
      </c>
      <c r="H227" t="inlineStr">
        <is>
          <t>No</t>
        </is>
      </c>
      <c r="I227" t="inlineStr">
        <is>
          <t>1</t>
        </is>
      </c>
      <c r="J227" t="inlineStr">
        <is>
          <t>No</t>
        </is>
      </c>
      <c r="K227" t="inlineStr">
        <is>
          <t>Yes</t>
        </is>
      </c>
      <c r="L227" t="inlineStr">
        <is>
          <t>0</t>
        </is>
      </c>
      <c r="M227" t="inlineStr">
        <is>
          <t>Prosser, C. Ladd (Clifford Ladd), 1907-2002.</t>
        </is>
      </c>
      <c r="N227" t="inlineStr">
        <is>
          <t>Philadelphia : Saunders, 1973.</t>
        </is>
      </c>
      <c r="O227" t="inlineStr">
        <is>
          <t>1973</t>
        </is>
      </c>
      <c r="P227" t="inlineStr">
        <is>
          <t>3d ed.</t>
        </is>
      </c>
      <c r="Q227" t="inlineStr">
        <is>
          <t>eng</t>
        </is>
      </c>
      <c r="R227" t="inlineStr">
        <is>
          <t>pau</t>
        </is>
      </c>
      <c r="T227" t="inlineStr">
        <is>
          <t xml:space="preserve">QP </t>
        </is>
      </c>
      <c r="U227" t="n">
        <v>8</v>
      </c>
      <c r="V227" t="n">
        <v>8</v>
      </c>
      <c r="W227" t="inlineStr">
        <is>
          <t>2008-02-21</t>
        </is>
      </c>
      <c r="X227" t="inlineStr">
        <is>
          <t>2008-02-21</t>
        </is>
      </c>
      <c r="Y227" t="inlineStr">
        <is>
          <t>1994-03-30</t>
        </is>
      </c>
      <c r="Z227" t="inlineStr">
        <is>
          <t>1994-03-30</t>
        </is>
      </c>
      <c r="AA227" t="n">
        <v>687</v>
      </c>
      <c r="AB227" t="n">
        <v>529</v>
      </c>
      <c r="AC227" t="n">
        <v>1010</v>
      </c>
      <c r="AD227" t="n">
        <v>5</v>
      </c>
      <c r="AE227" t="n">
        <v>8</v>
      </c>
      <c r="AF227" t="n">
        <v>19</v>
      </c>
      <c r="AG227" t="n">
        <v>38</v>
      </c>
      <c r="AH227" t="n">
        <v>4</v>
      </c>
      <c r="AI227" t="n">
        <v>13</v>
      </c>
      <c r="AJ227" t="n">
        <v>3</v>
      </c>
      <c r="AK227" t="n">
        <v>8</v>
      </c>
      <c r="AL227" t="n">
        <v>11</v>
      </c>
      <c r="AM227" t="n">
        <v>20</v>
      </c>
      <c r="AN227" t="n">
        <v>4</v>
      </c>
      <c r="AO227" t="n">
        <v>7</v>
      </c>
      <c r="AP227" t="n">
        <v>0</v>
      </c>
      <c r="AQ227" t="n">
        <v>0</v>
      </c>
      <c r="AR227" t="inlineStr">
        <is>
          <t>No</t>
        </is>
      </c>
      <c r="AS227" t="inlineStr">
        <is>
          <t>Yes</t>
        </is>
      </c>
      <c r="AT227">
        <f>HYPERLINK("http://catalog.hathitrust.org/Record/000182473","HathiTrust Record")</f>
        <v/>
      </c>
      <c r="AU227">
        <f>HYPERLINK("https://creighton-primo.hosted.exlibrisgroup.com/primo-explore/search?tab=default_tab&amp;search_scope=EVERYTHING&amp;vid=01CRU&amp;lang=en_US&amp;offset=0&amp;query=any,contains,991003195679702656","Catalog Record")</f>
        <v/>
      </c>
      <c r="AV227">
        <f>HYPERLINK("http://www.worldcat.org/oclc/721059","WorldCat Record")</f>
        <v/>
      </c>
      <c r="AW227" t="inlineStr">
        <is>
          <t>4915252924:eng</t>
        </is>
      </c>
      <c r="AX227" t="inlineStr">
        <is>
          <t>721059</t>
        </is>
      </c>
      <c r="AY227" t="inlineStr">
        <is>
          <t>991003195679702656</t>
        </is>
      </c>
      <c r="AZ227" t="inlineStr">
        <is>
          <t>991003195679702656</t>
        </is>
      </c>
      <c r="BA227" t="inlineStr">
        <is>
          <t>2259050520002656</t>
        </is>
      </c>
      <c r="BB227" t="inlineStr">
        <is>
          <t>BOOK</t>
        </is>
      </c>
      <c r="BD227" t="inlineStr">
        <is>
          <t>9780721673813</t>
        </is>
      </c>
      <c r="BE227" t="inlineStr">
        <is>
          <t>32285001872869</t>
        </is>
      </c>
      <c r="BF227" t="inlineStr">
        <is>
          <t>893535376</t>
        </is>
      </c>
    </row>
    <row r="228">
      <c r="B228" t="inlineStr">
        <is>
          <t>CURAL</t>
        </is>
      </c>
      <c r="C228" t="inlineStr">
        <is>
          <t>SHELVES</t>
        </is>
      </c>
      <c r="D228" t="inlineStr">
        <is>
          <t>QP31.2 .R36 1997</t>
        </is>
      </c>
      <c r="E228" t="inlineStr">
        <is>
          <t>0                      QP 0031200R  36          1997</t>
        </is>
      </c>
      <c r="F228" t="inlineStr">
        <is>
          <t>Eckert animal physiology : mechanisms and adaptations / David Randall, Warren Burggren, Kathleen French ; with contributions by Russell Fernald.</t>
        </is>
      </c>
      <c r="H228" t="inlineStr">
        <is>
          <t>No</t>
        </is>
      </c>
      <c r="I228" t="inlineStr">
        <is>
          <t>1</t>
        </is>
      </c>
      <c r="J228" t="inlineStr">
        <is>
          <t>No</t>
        </is>
      </c>
      <c r="K228" t="inlineStr">
        <is>
          <t>No</t>
        </is>
      </c>
      <c r="L228" t="inlineStr">
        <is>
          <t>0</t>
        </is>
      </c>
      <c r="M228" t="inlineStr">
        <is>
          <t>Randall, David J., 1938-</t>
        </is>
      </c>
      <c r="N228" t="inlineStr">
        <is>
          <t>New York : W.H. Freeman and Co., c1997.</t>
        </is>
      </c>
      <c r="O228" t="inlineStr">
        <is>
          <t>1997</t>
        </is>
      </c>
      <c r="P228" t="inlineStr">
        <is>
          <t>4th ed.</t>
        </is>
      </c>
      <c r="Q228" t="inlineStr">
        <is>
          <t>eng</t>
        </is>
      </c>
      <c r="R228" t="inlineStr">
        <is>
          <t>nyu</t>
        </is>
      </c>
      <c r="T228" t="inlineStr">
        <is>
          <t xml:space="preserve">QP </t>
        </is>
      </c>
      <c r="U228" t="n">
        <v>25</v>
      </c>
      <c r="V228" t="n">
        <v>25</v>
      </c>
      <c r="W228" t="inlineStr">
        <is>
          <t>2008-07-24</t>
        </is>
      </c>
      <c r="X228" t="inlineStr">
        <is>
          <t>2008-07-24</t>
        </is>
      </c>
      <c r="Y228" t="inlineStr">
        <is>
          <t>1997-04-17</t>
        </is>
      </c>
      <c r="Z228" t="inlineStr">
        <is>
          <t>1997-04-17</t>
        </is>
      </c>
      <c r="AA228" t="n">
        <v>295</v>
      </c>
      <c r="AB228" t="n">
        <v>163</v>
      </c>
      <c r="AC228" t="n">
        <v>282</v>
      </c>
      <c r="AD228" t="n">
        <v>2</v>
      </c>
      <c r="AE228" t="n">
        <v>2</v>
      </c>
      <c r="AF228" t="n">
        <v>6</v>
      </c>
      <c r="AG228" t="n">
        <v>11</v>
      </c>
      <c r="AH228" t="n">
        <v>3</v>
      </c>
      <c r="AI228" t="n">
        <v>7</v>
      </c>
      <c r="AJ228" t="n">
        <v>1</v>
      </c>
      <c r="AK228" t="n">
        <v>2</v>
      </c>
      <c r="AL228" t="n">
        <v>3</v>
      </c>
      <c r="AM228" t="n">
        <v>4</v>
      </c>
      <c r="AN228" t="n">
        <v>1</v>
      </c>
      <c r="AO228" t="n">
        <v>1</v>
      </c>
      <c r="AP228" t="n">
        <v>0</v>
      </c>
      <c r="AQ228" t="n">
        <v>0</v>
      </c>
      <c r="AR228" t="inlineStr">
        <is>
          <t>No</t>
        </is>
      </c>
      <c r="AS228" t="inlineStr">
        <is>
          <t>No</t>
        </is>
      </c>
      <c r="AU228">
        <f>HYPERLINK("https://creighton-primo.hosted.exlibrisgroup.com/primo-explore/search?tab=default_tab&amp;search_scope=EVERYTHING&amp;vid=01CRU&amp;lang=en_US&amp;offset=0&amp;query=any,contains,991002685669702656","Catalog Record")</f>
        <v/>
      </c>
      <c r="AV228">
        <f>HYPERLINK("http://www.worldcat.org/oclc/35086180","WorldCat Record")</f>
        <v/>
      </c>
      <c r="AW228" t="inlineStr">
        <is>
          <t>3901380969:eng</t>
        </is>
      </c>
      <c r="AX228" t="inlineStr">
        <is>
          <t>35086180</t>
        </is>
      </c>
      <c r="AY228" t="inlineStr">
        <is>
          <t>991002685669702656</t>
        </is>
      </c>
      <c r="AZ228" t="inlineStr">
        <is>
          <t>991002685669702656</t>
        </is>
      </c>
      <c r="BA228" t="inlineStr">
        <is>
          <t>2255522340002656</t>
        </is>
      </c>
      <c r="BB228" t="inlineStr">
        <is>
          <t>BOOK</t>
        </is>
      </c>
      <c r="BD228" t="inlineStr">
        <is>
          <t>9780716724148</t>
        </is>
      </c>
      <c r="BE228" t="inlineStr">
        <is>
          <t>32285002498029</t>
        </is>
      </c>
      <c r="BF228" t="inlineStr">
        <is>
          <t>893804889</t>
        </is>
      </c>
    </row>
    <row r="229">
      <c r="B229" t="inlineStr">
        <is>
          <t>CURAL</t>
        </is>
      </c>
      <c r="C229" t="inlineStr">
        <is>
          <t>SHELVES</t>
        </is>
      </c>
      <c r="D229" t="inlineStr">
        <is>
          <t>QP31.2 .S36 1970</t>
        </is>
      </c>
      <c r="E229" t="inlineStr">
        <is>
          <t>0                      QP 0031200S  36          1970</t>
        </is>
      </c>
      <c r="F229" t="inlineStr">
        <is>
          <t>Animal physiology / [by] Knut Schmidt-Nielsen.</t>
        </is>
      </c>
      <c r="H229" t="inlineStr">
        <is>
          <t>No</t>
        </is>
      </c>
      <c r="I229" t="inlineStr">
        <is>
          <t>1</t>
        </is>
      </c>
      <c r="J229" t="inlineStr">
        <is>
          <t>No</t>
        </is>
      </c>
      <c r="K229" t="inlineStr">
        <is>
          <t>Yes</t>
        </is>
      </c>
      <c r="L229" t="inlineStr">
        <is>
          <t>0</t>
        </is>
      </c>
      <c r="M229" t="inlineStr">
        <is>
          <t>Schmidt-Nielsen, Knut, 1915-2007.</t>
        </is>
      </c>
      <c r="N229" t="inlineStr">
        <is>
          <t>Englewood Cliffs, N.J. : Prentice-Hall, [1970]</t>
        </is>
      </c>
      <c r="O229" t="inlineStr">
        <is>
          <t>1970</t>
        </is>
      </c>
      <c r="P229" t="inlineStr">
        <is>
          <t>3d ed.</t>
        </is>
      </c>
      <c r="Q229" t="inlineStr">
        <is>
          <t>eng</t>
        </is>
      </c>
      <c r="R229" t="inlineStr">
        <is>
          <t>nju</t>
        </is>
      </c>
      <c r="S229" t="inlineStr">
        <is>
          <t>Prentice-Hall foundations of modern biology series</t>
        </is>
      </c>
      <c r="T229" t="inlineStr">
        <is>
          <t xml:space="preserve">QP </t>
        </is>
      </c>
      <c r="U229" t="n">
        <v>8</v>
      </c>
      <c r="V229" t="n">
        <v>8</v>
      </c>
      <c r="W229" t="inlineStr">
        <is>
          <t>1997-03-22</t>
        </is>
      </c>
      <c r="X229" t="inlineStr">
        <is>
          <t>1997-03-22</t>
        </is>
      </c>
      <c r="Y229" t="inlineStr">
        <is>
          <t>1994-03-11</t>
        </is>
      </c>
      <c r="Z229" t="inlineStr">
        <is>
          <t>1994-03-11</t>
        </is>
      </c>
      <c r="AA229" t="n">
        <v>501</v>
      </c>
      <c r="AB229" t="n">
        <v>377</v>
      </c>
      <c r="AC229" t="n">
        <v>1479</v>
      </c>
      <c r="AD229" t="n">
        <v>3</v>
      </c>
      <c r="AE229" t="n">
        <v>11</v>
      </c>
      <c r="AF229" t="n">
        <v>10</v>
      </c>
      <c r="AG229" t="n">
        <v>48</v>
      </c>
      <c r="AH229" t="n">
        <v>5</v>
      </c>
      <c r="AI229" t="n">
        <v>21</v>
      </c>
      <c r="AJ229" t="n">
        <v>2</v>
      </c>
      <c r="AK229" t="n">
        <v>7</v>
      </c>
      <c r="AL229" t="n">
        <v>4</v>
      </c>
      <c r="AM229" t="n">
        <v>24</v>
      </c>
      <c r="AN229" t="n">
        <v>2</v>
      </c>
      <c r="AO229" t="n">
        <v>8</v>
      </c>
      <c r="AP229" t="n">
        <v>0</v>
      </c>
      <c r="AQ229" t="n">
        <v>0</v>
      </c>
      <c r="AR229" t="inlineStr">
        <is>
          <t>No</t>
        </is>
      </c>
      <c r="AS229" t="inlineStr">
        <is>
          <t>Yes</t>
        </is>
      </c>
      <c r="AT229">
        <f>HYPERLINK("http://catalog.hathitrust.org/Record/004416151","HathiTrust Record")</f>
        <v/>
      </c>
      <c r="AU229">
        <f>HYPERLINK("https://creighton-primo.hosted.exlibrisgroup.com/primo-explore/search?tab=default_tab&amp;search_scope=EVERYTHING&amp;vid=01CRU&amp;lang=en_US&amp;offset=0&amp;query=any,contains,991000556699702656","Catalog Record")</f>
        <v/>
      </c>
      <c r="AV229">
        <f>HYPERLINK("http://www.worldcat.org/oclc/93217","WorldCat Record")</f>
        <v/>
      </c>
      <c r="AW229" t="inlineStr">
        <is>
          <t>2072812:eng</t>
        </is>
      </c>
      <c r="AX229" t="inlineStr">
        <is>
          <t>93217</t>
        </is>
      </c>
      <c r="AY229" t="inlineStr">
        <is>
          <t>991000556699702656</t>
        </is>
      </c>
      <c r="AZ229" t="inlineStr">
        <is>
          <t>991000556699702656</t>
        </is>
      </c>
      <c r="BA229" t="inlineStr">
        <is>
          <t>2262996540002656</t>
        </is>
      </c>
      <c r="BB229" t="inlineStr">
        <is>
          <t>BOOK</t>
        </is>
      </c>
      <c r="BD229" t="inlineStr">
        <is>
          <t>9780130373908</t>
        </is>
      </c>
      <c r="BE229" t="inlineStr">
        <is>
          <t>32285001852853</t>
        </is>
      </c>
      <c r="BF229" t="inlineStr">
        <is>
          <t>893683532</t>
        </is>
      </c>
    </row>
    <row r="230">
      <c r="B230" t="inlineStr">
        <is>
          <t>CURAL</t>
        </is>
      </c>
      <c r="C230" t="inlineStr">
        <is>
          <t>SHELVES</t>
        </is>
      </c>
      <c r="D230" t="inlineStr">
        <is>
          <t>QP31.2 .S363</t>
        </is>
      </c>
      <c r="E230" t="inlineStr">
        <is>
          <t>0                      QP 0031200S  363</t>
        </is>
      </c>
      <c r="F230" t="inlineStr">
        <is>
          <t>Animal physiology : adaptation and environment / Knut Schmidt-Nielsen.</t>
        </is>
      </c>
      <c r="H230" t="inlineStr">
        <is>
          <t>No</t>
        </is>
      </c>
      <c r="I230" t="inlineStr">
        <is>
          <t>1</t>
        </is>
      </c>
      <c r="J230" t="inlineStr">
        <is>
          <t>No</t>
        </is>
      </c>
      <c r="K230" t="inlineStr">
        <is>
          <t>Yes</t>
        </is>
      </c>
      <c r="L230" t="inlineStr">
        <is>
          <t>0</t>
        </is>
      </c>
      <c r="M230" t="inlineStr">
        <is>
          <t>Schmidt-Nielsen, Knut, 1915-2007.</t>
        </is>
      </c>
      <c r="N230" t="inlineStr">
        <is>
          <t>London ; New York : Cambridge University Press, 1975.</t>
        </is>
      </c>
      <c r="O230" t="inlineStr">
        <is>
          <t>1975</t>
        </is>
      </c>
      <c r="Q230" t="inlineStr">
        <is>
          <t>eng</t>
        </is>
      </c>
      <c r="R230" t="inlineStr">
        <is>
          <t>enk</t>
        </is>
      </c>
      <c r="T230" t="inlineStr">
        <is>
          <t xml:space="preserve">QP </t>
        </is>
      </c>
      <c r="U230" t="n">
        <v>10</v>
      </c>
      <c r="V230" t="n">
        <v>10</v>
      </c>
      <c r="W230" t="inlineStr">
        <is>
          <t>1996-02-22</t>
        </is>
      </c>
      <c r="X230" t="inlineStr">
        <is>
          <t>1996-02-22</t>
        </is>
      </c>
      <c r="Y230" t="inlineStr">
        <is>
          <t>1994-03-30</t>
        </is>
      </c>
      <c r="Z230" t="inlineStr">
        <is>
          <t>1994-03-30</t>
        </is>
      </c>
      <c r="AA230" t="n">
        <v>447</v>
      </c>
      <c r="AB230" t="n">
        <v>316</v>
      </c>
      <c r="AC230" t="n">
        <v>1479</v>
      </c>
      <c r="AD230" t="n">
        <v>3</v>
      </c>
      <c r="AE230" t="n">
        <v>11</v>
      </c>
      <c r="AF230" t="n">
        <v>12</v>
      </c>
      <c r="AG230" t="n">
        <v>48</v>
      </c>
      <c r="AH230" t="n">
        <v>5</v>
      </c>
      <c r="AI230" t="n">
        <v>21</v>
      </c>
      <c r="AJ230" t="n">
        <v>1</v>
      </c>
      <c r="AK230" t="n">
        <v>7</v>
      </c>
      <c r="AL230" t="n">
        <v>7</v>
      </c>
      <c r="AM230" t="n">
        <v>24</v>
      </c>
      <c r="AN230" t="n">
        <v>2</v>
      </c>
      <c r="AO230" t="n">
        <v>8</v>
      </c>
      <c r="AP230" t="n">
        <v>0</v>
      </c>
      <c r="AQ230" t="n">
        <v>0</v>
      </c>
      <c r="AR230" t="inlineStr">
        <is>
          <t>No</t>
        </is>
      </c>
      <c r="AS230" t="inlineStr">
        <is>
          <t>No</t>
        </is>
      </c>
      <c r="AU230">
        <f>HYPERLINK("https://creighton-primo.hosted.exlibrisgroup.com/primo-explore/search?tab=default_tab&amp;search_scope=EVERYTHING&amp;vid=01CRU&amp;lang=en_US&amp;offset=0&amp;query=any,contains,991003571849702656","Catalog Record")</f>
        <v/>
      </c>
      <c r="AV230">
        <f>HYPERLINK("http://www.worldcat.org/oclc/1147197","WorldCat Record")</f>
        <v/>
      </c>
      <c r="AW230" t="inlineStr">
        <is>
          <t>2072812:eng</t>
        </is>
      </c>
      <c r="AX230" t="inlineStr">
        <is>
          <t>1147197</t>
        </is>
      </c>
      <c r="AY230" t="inlineStr">
        <is>
          <t>991003571849702656</t>
        </is>
      </c>
      <c r="AZ230" t="inlineStr">
        <is>
          <t>991003571849702656</t>
        </is>
      </c>
      <c r="BA230" t="inlineStr">
        <is>
          <t>2262358530002656</t>
        </is>
      </c>
      <c r="BB230" t="inlineStr">
        <is>
          <t>BOOK</t>
        </is>
      </c>
      <c r="BD230" t="inlineStr">
        <is>
          <t>9780521205511</t>
        </is>
      </c>
      <c r="BE230" t="inlineStr">
        <is>
          <t>32285001872851</t>
        </is>
      </c>
      <c r="BF230" t="inlineStr">
        <is>
          <t>893252504</t>
        </is>
      </c>
    </row>
    <row r="231">
      <c r="B231" t="inlineStr">
        <is>
          <t>CURAL</t>
        </is>
      </c>
      <c r="C231" t="inlineStr">
        <is>
          <t>SHELVES</t>
        </is>
      </c>
      <c r="D231" t="inlineStr">
        <is>
          <t>QP31.2 .S363 1979</t>
        </is>
      </c>
      <c r="E231" t="inlineStr">
        <is>
          <t>0                      QP 0031200S  363         1979</t>
        </is>
      </c>
      <c r="F231" t="inlineStr">
        <is>
          <t>Animal physiology : adaptation and environment / Knut Schmidt-Nielsen. --</t>
        </is>
      </c>
      <c r="H231" t="inlineStr">
        <is>
          <t>No</t>
        </is>
      </c>
      <c r="I231" t="inlineStr">
        <is>
          <t>1</t>
        </is>
      </c>
      <c r="J231" t="inlineStr">
        <is>
          <t>No</t>
        </is>
      </c>
      <c r="K231" t="inlineStr">
        <is>
          <t>Yes</t>
        </is>
      </c>
      <c r="L231" t="inlineStr">
        <is>
          <t>0</t>
        </is>
      </c>
      <c r="M231" t="inlineStr">
        <is>
          <t>Schmidt-Nielsen, Knut, 1915-2007.</t>
        </is>
      </c>
      <c r="N231" t="inlineStr">
        <is>
          <t>Cambridge [Eng.] ; New York : Cambridge University Press, 1979.</t>
        </is>
      </c>
      <c r="O231" t="inlineStr">
        <is>
          <t>1979</t>
        </is>
      </c>
      <c r="P231" t="inlineStr">
        <is>
          <t>2d ed. --</t>
        </is>
      </c>
      <c r="Q231" t="inlineStr">
        <is>
          <t>eng</t>
        </is>
      </c>
      <c r="R231" t="inlineStr">
        <is>
          <t>enk</t>
        </is>
      </c>
      <c r="T231" t="inlineStr">
        <is>
          <t xml:space="preserve">QP </t>
        </is>
      </c>
      <c r="U231" t="n">
        <v>13</v>
      </c>
      <c r="V231" t="n">
        <v>13</v>
      </c>
      <c r="W231" t="inlineStr">
        <is>
          <t>1996-02-25</t>
        </is>
      </c>
      <c r="X231" t="inlineStr">
        <is>
          <t>1996-02-25</t>
        </is>
      </c>
      <c r="Y231" t="inlineStr">
        <is>
          <t>1993-02-24</t>
        </is>
      </c>
      <c r="Z231" t="inlineStr">
        <is>
          <t>1993-02-24</t>
        </is>
      </c>
      <c r="AA231" t="n">
        <v>371</v>
      </c>
      <c r="AB231" t="n">
        <v>227</v>
      </c>
      <c r="AC231" t="n">
        <v>1479</v>
      </c>
      <c r="AD231" t="n">
        <v>1</v>
      </c>
      <c r="AE231" t="n">
        <v>11</v>
      </c>
      <c r="AF231" t="n">
        <v>7</v>
      </c>
      <c r="AG231" t="n">
        <v>48</v>
      </c>
      <c r="AH231" t="n">
        <v>2</v>
      </c>
      <c r="AI231" t="n">
        <v>21</v>
      </c>
      <c r="AJ231" t="n">
        <v>3</v>
      </c>
      <c r="AK231" t="n">
        <v>7</v>
      </c>
      <c r="AL231" t="n">
        <v>4</v>
      </c>
      <c r="AM231" t="n">
        <v>24</v>
      </c>
      <c r="AN231" t="n">
        <v>0</v>
      </c>
      <c r="AO231" t="n">
        <v>8</v>
      </c>
      <c r="AP231" t="n">
        <v>0</v>
      </c>
      <c r="AQ231" t="n">
        <v>0</v>
      </c>
      <c r="AR231" t="inlineStr">
        <is>
          <t>No</t>
        </is>
      </c>
      <c r="AS231" t="inlineStr">
        <is>
          <t>No</t>
        </is>
      </c>
      <c r="AU231">
        <f>HYPERLINK("https://creighton-primo.hosted.exlibrisgroup.com/primo-explore/search?tab=default_tab&amp;search_scope=EVERYTHING&amp;vid=01CRU&amp;lang=en_US&amp;offset=0&amp;query=any,contains,991004562599702656","Catalog Record")</f>
        <v/>
      </c>
      <c r="AV231">
        <f>HYPERLINK("http://www.worldcat.org/oclc/4003687","WorldCat Record")</f>
        <v/>
      </c>
      <c r="AW231" t="inlineStr">
        <is>
          <t>2072812:eng</t>
        </is>
      </c>
      <c r="AX231" t="inlineStr">
        <is>
          <t>4003687</t>
        </is>
      </c>
      <c r="AY231" t="inlineStr">
        <is>
          <t>991004562599702656</t>
        </is>
      </c>
      <c r="AZ231" t="inlineStr">
        <is>
          <t>991004562599702656</t>
        </is>
      </c>
      <c r="BA231" t="inlineStr">
        <is>
          <t>2267737210002656</t>
        </is>
      </c>
      <c r="BB231" t="inlineStr">
        <is>
          <t>BOOK</t>
        </is>
      </c>
      <c r="BD231" t="inlineStr">
        <is>
          <t>9780521221788</t>
        </is>
      </c>
      <c r="BE231" t="inlineStr">
        <is>
          <t>32285001548873</t>
        </is>
      </c>
      <c r="BF231" t="inlineStr">
        <is>
          <t>893325517</t>
        </is>
      </c>
    </row>
    <row r="232">
      <c r="B232" t="inlineStr">
        <is>
          <t>CURAL</t>
        </is>
      </c>
      <c r="C232" t="inlineStr">
        <is>
          <t>SHELVES</t>
        </is>
      </c>
      <c r="D232" t="inlineStr">
        <is>
          <t>QP31.2 .W55 1979</t>
        </is>
      </c>
      <c r="E232" t="inlineStr">
        <is>
          <t>0                      QP 0031200W  55          1979</t>
        </is>
      </c>
      <c r="F232" t="inlineStr">
        <is>
          <t>Principles of animal physiology / James A. Wilson.</t>
        </is>
      </c>
      <c r="H232" t="inlineStr">
        <is>
          <t>No</t>
        </is>
      </c>
      <c r="I232" t="inlineStr">
        <is>
          <t>1</t>
        </is>
      </c>
      <c r="J232" t="inlineStr">
        <is>
          <t>No</t>
        </is>
      </c>
      <c r="K232" t="inlineStr">
        <is>
          <t>No</t>
        </is>
      </c>
      <c r="L232" t="inlineStr">
        <is>
          <t>0</t>
        </is>
      </c>
      <c r="M232" t="inlineStr">
        <is>
          <t>Wilson, James A. (James Albert), 1929-</t>
        </is>
      </c>
      <c r="N232" t="inlineStr">
        <is>
          <t>New York : Macmillan, c1979.</t>
        </is>
      </c>
      <c r="O232" t="inlineStr">
        <is>
          <t>1979</t>
        </is>
      </c>
      <c r="P232" t="inlineStr">
        <is>
          <t>2d ed.</t>
        </is>
      </c>
      <c r="Q232" t="inlineStr">
        <is>
          <t>eng</t>
        </is>
      </c>
      <c r="R232" t="inlineStr">
        <is>
          <t>nyu</t>
        </is>
      </c>
      <c r="T232" t="inlineStr">
        <is>
          <t xml:space="preserve">QP </t>
        </is>
      </c>
      <c r="U232" t="n">
        <v>13</v>
      </c>
      <c r="V232" t="n">
        <v>13</v>
      </c>
      <c r="W232" t="inlineStr">
        <is>
          <t>1997-05-06</t>
        </is>
      </c>
      <c r="X232" t="inlineStr">
        <is>
          <t>1997-05-06</t>
        </is>
      </c>
      <c r="Y232" t="inlineStr">
        <is>
          <t>1993-02-24</t>
        </is>
      </c>
      <c r="Z232" t="inlineStr">
        <is>
          <t>1993-02-24</t>
        </is>
      </c>
      <c r="AA232" t="n">
        <v>239</v>
      </c>
      <c r="AB232" t="n">
        <v>138</v>
      </c>
      <c r="AC232" t="n">
        <v>421</v>
      </c>
      <c r="AD232" t="n">
        <v>3</v>
      </c>
      <c r="AE232" t="n">
        <v>4</v>
      </c>
      <c r="AF232" t="n">
        <v>5</v>
      </c>
      <c r="AG232" t="n">
        <v>12</v>
      </c>
      <c r="AH232" t="n">
        <v>1</v>
      </c>
      <c r="AI232" t="n">
        <v>5</v>
      </c>
      <c r="AJ232" t="n">
        <v>1</v>
      </c>
      <c r="AK232" t="n">
        <v>1</v>
      </c>
      <c r="AL232" t="n">
        <v>3</v>
      </c>
      <c r="AM232" t="n">
        <v>6</v>
      </c>
      <c r="AN232" t="n">
        <v>2</v>
      </c>
      <c r="AO232" t="n">
        <v>3</v>
      </c>
      <c r="AP232" t="n">
        <v>0</v>
      </c>
      <c r="AQ232" t="n">
        <v>0</v>
      </c>
      <c r="AR232" t="inlineStr">
        <is>
          <t>No</t>
        </is>
      </c>
      <c r="AS232" t="inlineStr">
        <is>
          <t>No</t>
        </is>
      </c>
      <c r="AU232">
        <f>HYPERLINK("https://creighton-primo.hosted.exlibrisgroup.com/primo-explore/search?tab=default_tab&amp;search_scope=EVERYTHING&amp;vid=01CRU&amp;lang=en_US&amp;offset=0&amp;query=any,contains,991004452849702656","Catalog Record")</f>
        <v/>
      </c>
      <c r="AV232">
        <f>HYPERLINK("http://www.worldcat.org/oclc/3516543","WorldCat Record")</f>
        <v/>
      </c>
      <c r="AW232" t="inlineStr">
        <is>
          <t>3887393268:eng</t>
        </is>
      </c>
      <c r="AX232" t="inlineStr">
        <is>
          <t>3516543</t>
        </is>
      </c>
      <c r="AY232" t="inlineStr">
        <is>
          <t>991004452849702656</t>
        </is>
      </c>
      <c r="AZ232" t="inlineStr">
        <is>
          <t>991004452849702656</t>
        </is>
      </c>
      <c r="BA232" t="inlineStr">
        <is>
          <t>2272487800002656</t>
        </is>
      </c>
      <c r="BB232" t="inlineStr">
        <is>
          <t>BOOK</t>
        </is>
      </c>
      <c r="BD232" t="inlineStr">
        <is>
          <t>9780024283603</t>
        </is>
      </c>
      <c r="BE232" t="inlineStr">
        <is>
          <t>32285001548899</t>
        </is>
      </c>
      <c r="BF232" t="inlineStr">
        <is>
          <t>893895024</t>
        </is>
      </c>
    </row>
    <row r="233">
      <c r="B233" t="inlineStr">
        <is>
          <t>CURAL</t>
        </is>
      </c>
      <c r="C233" t="inlineStr">
        <is>
          <t>SHELVES</t>
        </is>
      </c>
      <c r="D233" t="inlineStr">
        <is>
          <t>QP31.2 .W65 1970</t>
        </is>
      </c>
      <c r="E233" t="inlineStr">
        <is>
          <t>0                      QP 0031200W  65          1970</t>
        </is>
      </c>
      <c r="F233" t="inlineStr">
        <is>
          <t>Principles of animal physiology / [by] Dennis W. Wood.</t>
        </is>
      </c>
      <c r="H233" t="inlineStr">
        <is>
          <t>No</t>
        </is>
      </c>
      <c r="I233" t="inlineStr">
        <is>
          <t>1</t>
        </is>
      </c>
      <c r="J233" t="inlineStr">
        <is>
          <t>No</t>
        </is>
      </c>
      <c r="K233" t="inlineStr">
        <is>
          <t>No</t>
        </is>
      </c>
      <c r="L233" t="inlineStr">
        <is>
          <t>0</t>
        </is>
      </c>
      <c r="M233" t="inlineStr">
        <is>
          <t>Wood, Dennis W. (Dennis William)</t>
        </is>
      </c>
      <c r="N233" t="inlineStr">
        <is>
          <t>New York : American Elsevier Pub. Co., [1970, c1968]</t>
        </is>
      </c>
      <c r="O233" t="inlineStr">
        <is>
          <t>1970</t>
        </is>
      </c>
      <c r="Q233" t="inlineStr">
        <is>
          <t>eng</t>
        </is>
      </c>
      <c r="R233" t="inlineStr">
        <is>
          <t>nyu</t>
        </is>
      </c>
      <c r="S233" t="inlineStr">
        <is>
          <t>Contemporary biology</t>
        </is>
      </c>
      <c r="T233" t="inlineStr">
        <is>
          <t xml:space="preserve">QP </t>
        </is>
      </c>
      <c r="U233" t="n">
        <v>6</v>
      </c>
      <c r="V233" t="n">
        <v>6</v>
      </c>
      <c r="W233" t="inlineStr">
        <is>
          <t>1997-05-06</t>
        </is>
      </c>
      <c r="X233" t="inlineStr">
        <is>
          <t>1997-05-06</t>
        </is>
      </c>
      <c r="Y233" t="inlineStr">
        <is>
          <t>1995-02-24</t>
        </is>
      </c>
      <c r="Z233" t="inlineStr">
        <is>
          <t>1995-02-24</t>
        </is>
      </c>
      <c r="AA233" t="n">
        <v>192</v>
      </c>
      <c r="AB233" t="n">
        <v>180</v>
      </c>
      <c r="AC233" t="n">
        <v>423</v>
      </c>
      <c r="AD233" t="n">
        <v>1</v>
      </c>
      <c r="AE233" t="n">
        <v>2</v>
      </c>
      <c r="AF233" t="n">
        <v>5</v>
      </c>
      <c r="AG233" t="n">
        <v>13</v>
      </c>
      <c r="AH233" t="n">
        <v>2</v>
      </c>
      <c r="AI233" t="n">
        <v>5</v>
      </c>
      <c r="AJ233" t="n">
        <v>1</v>
      </c>
      <c r="AK233" t="n">
        <v>4</v>
      </c>
      <c r="AL233" t="n">
        <v>4</v>
      </c>
      <c r="AM233" t="n">
        <v>8</v>
      </c>
      <c r="AN233" t="n">
        <v>0</v>
      </c>
      <c r="AO233" t="n">
        <v>1</v>
      </c>
      <c r="AP233" t="n">
        <v>0</v>
      </c>
      <c r="AQ233" t="n">
        <v>0</v>
      </c>
      <c r="AR233" t="inlineStr">
        <is>
          <t>No</t>
        </is>
      </c>
      <c r="AS233" t="inlineStr">
        <is>
          <t>Yes</t>
        </is>
      </c>
      <c r="AT233">
        <f>HYPERLINK("http://catalog.hathitrust.org/Record/001553214","HathiTrust Record")</f>
        <v/>
      </c>
      <c r="AU233">
        <f>HYPERLINK("https://creighton-primo.hosted.exlibrisgroup.com/primo-explore/search?tab=default_tab&amp;search_scope=EVERYTHING&amp;vid=01CRU&amp;lang=en_US&amp;offset=0&amp;query=any,contains,991000631619702656","Catalog Record")</f>
        <v/>
      </c>
      <c r="AV233">
        <f>HYPERLINK("http://www.worldcat.org/oclc/106076","WorldCat Record")</f>
        <v/>
      </c>
      <c r="AW233" t="inlineStr">
        <is>
          <t>1188290:eng</t>
        </is>
      </c>
      <c r="AX233" t="inlineStr">
        <is>
          <t>106076</t>
        </is>
      </c>
      <c r="AY233" t="inlineStr">
        <is>
          <t>991000631619702656</t>
        </is>
      </c>
      <c r="AZ233" t="inlineStr">
        <is>
          <t>991000631619702656</t>
        </is>
      </c>
      <c r="BA233" t="inlineStr">
        <is>
          <t>2263764330002656</t>
        </is>
      </c>
      <c r="BB233" t="inlineStr">
        <is>
          <t>BOOK</t>
        </is>
      </c>
      <c r="BD233" t="inlineStr">
        <is>
          <t>9780444196750</t>
        </is>
      </c>
      <c r="BE233" t="inlineStr">
        <is>
          <t>32285002010212</t>
        </is>
      </c>
      <c r="BF233" t="inlineStr">
        <is>
          <t>893626378</t>
        </is>
      </c>
    </row>
    <row r="234">
      <c r="B234" t="inlineStr">
        <is>
          <t>CURAL</t>
        </is>
      </c>
      <c r="C234" t="inlineStr">
        <is>
          <t>SHELVES</t>
        </is>
      </c>
      <c r="D234" t="inlineStr">
        <is>
          <t>QP310.5 .I53 1986</t>
        </is>
      </c>
      <c r="E234" t="inlineStr">
        <is>
          <t>0                      QP 0310500I  53          1986</t>
        </is>
      </c>
      <c r="F234" t="inlineStr">
        <is>
          <t>Inactivity : physiological effects / edited by Harold Sandler, Joan Vernikos.</t>
        </is>
      </c>
      <c r="H234" t="inlineStr">
        <is>
          <t>No</t>
        </is>
      </c>
      <c r="I234" t="inlineStr">
        <is>
          <t>1</t>
        </is>
      </c>
      <c r="J234" t="inlineStr">
        <is>
          <t>No</t>
        </is>
      </c>
      <c r="K234" t="inlineStr">
        <is>
          <t>No</t>
        </is>
      </c>
      <c r="L234" t="inlineStr">
        <is>
          <t>0</t>
        </is>
      </c>
      <c r="N234" t="inlineStr">
        <is>
          <t>Orlando : Academic Press, 1986.</t>
        </is>
      </c>
      <c r="O234" t="inlineStr">
        <is>
          <t>1986</t>
        </is>
      </c>
      <c r="Q234" t="inlineStr">
        <is>
          <t>eng</t>
        </is>
      </c>
      <c r="R234" t="inlineStr">
        <is>
          <t>flu</t>
        </is>
      </c>
      <c r="T234" t="inlineStr">
        <is>
          <t xml:space="preserve">QP </t>
        </is>
      </c>
      <c r="U234" t="n">
        <v>1</v>
      </c>
      <c r="V234" t="n">
        <v>1</v>
      </c>
      <c r="W234" t="inlineStr">
        <is>
          <t>2001-10-24</t>
        </is>
      </c>
      <c r="X234" t="inlineStr">
        <is>
          <t>2001-10-24</t>
        </is>
      </c>
      <c r="Y234" t="inlineStr">
        <is>
          <t>1993-08-12</t>
        </is>
      </c>
      <c r="Z234" t="inlineStr">
        <is>
          <t>1993-08-12</t>
        </is>
      </c>
      <c r="AA234" t="n">
        <v>391</v>
      </c>
      <c r="AB234" t="n">
        <v>337</v>
      </c>
      <c r="AC234" t="n">
        <v>386</v>
      </c>
      <c r="AD234" t="n">
        <v>5</v>
      </c>
      <c r="AE234" t="n">
        <v>5</v>
      </c>
      <c r="AF234" t="n">
        <v>13</v>
      </c>
      <c r="AG234" t="n">
        <v>16</v>
      </c>
      <c r="AH234" t="n">
        <v>7</v>
      </c>
      <c r="AI234" t="n">
        <v>9</v>
      </c>
      <c r="AJ234" t="n">
        <v>1</v>
      </c>
      <c r="AK234" t="n">
        <v>3</v>
      </c>
      <c r="AL234" t="n">
        <v>5</v>
      </c>
      <c r="AM234" t="n">
        <v>5</v>
      </c>
      <c r="AN234" t="n">
        <v>3</v>
      </c>
      <c r="AO234" t="n">
        <v>3</v>
      </c>
      <c r="AP234" t="n">
        <v>0</v>
      </c>
      <c r="AQ234" t="n">
        <v>0</v>
      </c>
      <c r="AR234" t="inlineStr">
        <is>
          <t>No</t>
        </is>
      </c>
      <c r="AS234" t="inlineStr">
        <is>
          <t>No</t>
        </is>
      </c>
      <c r="AU234">
        <f>HYPERLINK("https://creighton-primo.hosted.exlibrisgroup.com/primo-explore/search?tab=default_tab&amp;search_scope=EVERYTHING&amp;vid=01CRU&amp;lang=en_US&amp;offset=0&amp;query=any,contains,991000851159702656","Catalog Record")</f>
        <v/>
      </c>
      <c r="AV234">
        <f>HYPERLINK("http://www.worldcat.org/oclc/13582524","WorldCat Record")</f>
        <v/>
      </c>
      <c r="AW234" t="inlineStr">
        <is>
          <t>889416113:eng</t>
        </is>
      </c>
      <c r="AX234" t="inlineStr">
        <is>
          <t>13582524</t>
        </is>
      </c>
      <c r="AY234" t="inlineStr">
        <is>
          <t>991000851159702656</t>
        </is>
      </c>
      <c r="AZ234" t="inlineStr">
        <is>
          <t>991000851159702656</t>
        </is>
      </c>
      <c r="BA234" t="inlineStr">
        <is>
          <t>2259168250002656</t>
        </is>
      </c>
      <c r="BB234" t="inlineStr">
        <is>
          <t>BOOK</t>
        </is>
      </c>
      <c r="BD234" t="inlineStr">
        <is>
          <t>9780126185102</t>
        </is>
      </c>
      <c r="BE234" t="inlineStr">
        <is>
          <t>32285001753994</t>
        </is>
      </c>
      <c r="BF234" t="inlineStr">
        <is>
          <t>893419825</t>
        </is>
      </c>
    </row>
    <row r="235">
      <c r="B235" t="inlineStr">
        <is>
          <t>CURAL</t>
        </is>
      </c>
      <c r="C235" t="inlineStr">
        <is>
          <t>SHELVES</t>
        </is>
      </c>
      <c r="D235" t="inlineStr">
        <is>
          <t>QP310.D35 F58 1996</t>
        </is>
      </c>
      <c r="E235" t="inlineStr">
        <is>
          <t>0                      QP 0310000D  35                 F  58          1996</t>
        </is>
      </c>
      <c r="F235" t="inlineStr">
        <is>
          <t>Dance kinesiology / Sally Sevey Fitt.</t>
        </is>
      </c>
      <c r="H235" t="inlineStr">
        <is>
          <t>No</t>
        </is>
      </c>
      <c r="I235" t="inlineStr">
        <is>
          <t>1</t>
        </is>
      </c>
      <c r="J235" t="inlineStr">
        <is>
          <t>No</t>
        </is>
      </c>
      <c r="K235" t="inlineStr">
        <is>
          <t>No</t>
        </is>
      </c>
      <c r="L235" t="inlineStr">
        <is>
          <t>0</t>
        </is>
      </c>
      <c r="M235" t="inlineStr">
        <is>
          <t>Fitt, Sally Sevey.</t>
        </is>
      </c>
      <c r="N235" t="inlineStr">
        <is>
          <t>New York : Schirmer Books ; London : Prentice Hall International, c1996.</t>
        </is>
      </c>
      <c r="O235" t="inlineStr">
        <is>
          <t>1996</t>
        </is>
      </c>
      <c r="P235" t="inlineStr">
        <is>
          <t>2nd ed.</t>
        </is>
      </c>
      <c r="Q235" t="inlineStr">
        <is>
          <t>eng</t>
        </is>
      </c>
      <c r="R235" t="inlineStr">
        <is>
          <t>nyu</t>
        </is>
      </c>
      <c r="T235" t="inlineStr">
        <is>
          <t xml:space="preserve">QP </t>
        </is>
      </c>
      <c r="U235" t="n">
        <v>6</v>
      </c>
      <c r="V235" t="n">
        <v>6</v>
      </c>
      <c r="W235" t="inlineStr">
        <is>
          <t>2005-11-07</t>
        </is>
      </c>
      <c r="X235" t="inlineStr">
        <is>
          <t>2005-11-07</t>
        </is>
      </c>
      <c r="Y235" t="inlineStr">
        <is>
          <t>2002-12-05</t>
        </is>
      </c>
      <c r="Z235" t="inlineStr">
        <is>
          <t>2002-12-05</t>
        </is>
      </c>
      <c r="AA235" t="n">
        <v>448</v>
      </c>
      <c r="AB235" t="n">
        <v>388</v>
      </c>
      <c r="AC235" t="n">
        <v>552</v>
      </c>
      <c r="AD235" t="n">
        <v>2</v>
      </c>
      <c r="AE235" t="n">
        <v>4</v>
      </c>
      <c r="AF235" t="n">
        <v>14</v>
      </c>
      <c r="AG235" t="n">
        <v>22</v>
      </c>
      <c r="AH235" t="n">
        <v>6</v>
      </c>
      <c r="AI235" t="n">
        <v>11</v>
      </c>
      <c r="AJ235" t="n">
        <v>3</v>
      </c>
      <c r="AK235" t="n">
        <v>3</v>
      </c>
      <c r="AL235" t="n">
        <v>8</v>
      </c>
      <c r="AM235" t="n">
        <v>10</v>
      </c>
      <c r="AN235" t="n">
        <v>1</v>
      </c>
      <c r="AO235" t="n">
        <v>3</v>
      </c>
      <c r="AP235" t="n">
        <v>0</v>
      </c>
      <c r="AQ235" t="n">
        <v>0</v>
      </c>
      <c r="AR235" t="inlineStr">
        <is>
          <t>No</t>
        </is>
      </c>
      <c r="AS235" t="inlineStr">
        <is>
          <t>No</t>
        </is>
      </c>
      <c r="AU235">
        <f>HYPERLINK("https://creighton-primo.hosted.exlibrisgroup.com/primo-explore/search?tab=default_tab&amp;search_scope=EVERYTHING&amp;vid=01CRU&amp;lang=en_US&amp;offset=0&amp;query=any,contains,991003956729702656","Catalog Record")</f>
        <v/>
      </c>
      <c r="AV235">
        <f>HYPERLINK("http://www.worldcat.org/oclc/35103451","WorldCat Record")</f>
        <v/>
      </c>
      <c r="AW235" t="inlineStr">
        <is>
          <t>12215041:eng</t>
        </is>
      </c>
      <c r="AX235" t="inlineStr">
        <is>
          <t>35103451</t>
        </is>
      </c>
      <c r="AY235" t="inlineStr">
        <is>
          <t>991003956729702656</t>
        </is>
      </c>
      <c r="AZ235" t="inlineStr">
        <is>
          <t>991003956729702656</t>
        </is>
      </c>
      <c r="BA235" t="inlineStr">
        <is>
          <t>2266875400002656</t>
        </is>
      </c>
      <c r="BB235" t="inlineStr">
        <is>
          <t>BOOK</t>
        </is>
      </c>
      <c r="BD235" t="inlineStr">
        <is>
          <t>9780028645070</t>
        </is>
      </c>
      <c r="BE235" t="inlineStr">
        <is>
          <t>32285004667936</t>
        </is>
      </c>
      <c r="BF235" t="inlineStr">
        <is>
          <t>893794311</t>
        </is>
      </c>
    </row>
    <row r="236">
      <c r="B236" t="inlineStr">
        <is>
          <t>CURAL</t>
        </is>
      </c>
      <c r="C236" t="inlineStr">
        <is>
          <t>SHELVES</t>
        </is>
      </c>
      <c r="D236" t="inlineStr">
        <is>
          <t>QP310.D35 L39 1984</t>
        </is>
      </c>
      <c r="E236" t="inlineStr">
        <is>
          <t>0                      QP 0310000D  35                 L  39          1984</t>
        </is>
      </c>
      <c r="F236" t="inlineStr">
        <is>
          <t>The physics of dance / Kenneth Laws ; photographs by Martha Swope.</t>
        </is>
      </c>
      <c r="H236" t="inlineStr">
        <is>
          <t>No</t>
        </is>
      </c>
      <c r="I236" t="inlineStr">
        <is>
          <t>1</t>
        </is>
      </c>
      <c r="J236" t="inlineStr">
        <is>
          <t>No</t>
        </is>
      </c>
      <c r="K236" t="inlineStr">
        <is>
          <t>No</t>
        </is>
      </c>
      <c r="L236" t="inlineStr">
        <is>
          <t>0</t>
        </is>
      </c>
      <c r="M236" t="inlineStr">
        <is>
          <t>Laws, Kenneth.</t>
        </is>
      </c>
      <c r="N236" t="inlineStr">
        <is>
          <t>New York : Schirmer Books ; London : Collier Macmillan, c1984.</t>
        </is>
      </c>
      <c r="O236" t="inlineStr">
        <is>
          <t>1984</t>
        </is>
      </c>
      <c r="Q236" t="inlineStr">
        <is>
          <t>eng</t>
        </is>
      </c>
      <c r="R236" t="inlineStr">
        <is>
          <t>nyu</t>
        </is>
      </c>
      <c r="T236" t="inlineStr">
        <is>
          <t xml:space="preserve">QP </t>
        </is>
      </c>
      <c r="U236" t="n">
        <v>13</v>
      </c>
      <c r="V236" t="n">
        <v>13</v>
      </c>
      <c r="W236" t="inlineStr">
        <is>
          <t>2002-10-11</t>
        </is>
      </c>
      <c r="X236" t="inlineStr">
        <is>
          <t>2002-10-11</t>
        </is>
      </c>
      <c r="Y236" t="inlineStr">
        <is>
          <t>1993-03-02</t>
        </is>
      </c>
      <c r="Z236" t="inlineStr">
        <is>
          <t>1993-03-02</t>
        </is>
      </c>
      <c r="AA236" t="n">
        <v>677</v>
      </c>
      <c r="AB236" t="n">
        <v>578</v>
      </c>
      <c r="AC236" t="n">
        <v>623</v>
      </c>
      <c r="AD236" t="n">
        <v>6</v>
      </c>
      <c r="AE236" t="n">
        <v>6</v>
      </c>
      <c r="AF236" t="n">
        <v>15</v>
      </c>
      <c r="AG236" t="n">
        <v>15</v>
      </c>
      <c r="AH236" t="n">
        <v>6</v>
      </c>
      <c r="AI236" t="n">
        <v>6</v>
      </c>
      <c r="AJ236" t="n">
        <v>3</v>
      </c>
      <c r="AK236" t="n">
        <v>3</v>
      </c>
      <c r="AL236" t="n">
        <v>8</v>
      </c>
      <c r="AM236" t="n">
        <v>8</v>
      </c>
      <c r="AN236" t="n">
        <v>4</v>
      </c>
      <c r="AO236" t="n">
        <v>4</v>
      </c>
      <c r="AP236" t="n">
        <v>0</v>
      </c>
      <c r="AQ236" t="n">
        <v>0</v>
      </c>
      <c r="AR236" t="inlineStr">
        <is>
          <t>No</t>
        </is>
      </c>
      <c r="AS236" t="inlineStr">
        <is>
          <t>Yes</t>
        </is>
      </c>
      <c r="AT236">
        <f>HYPERLINK("http://catalog.hathitrust.org/Record/000558392","HathiTrust Record")</f>
        <v/>
      </c>
      <c r="AU236">
        <f>HYPERLINK("https://creighton-primo.hosted.exlibrisgroup.com/primo-explore/search?tab=default_tab&amp;search_scope=EVERYTHING&amp;vid=01CRU&amp;lang=en_US&amp;offset=0&amp;query=any,contains,991000351019702656","Catalog Record")</f>
        <v/>
      </c>
      <c r="AV236">
        <f>HYPERLINK("http://www.worldcat.org/oclc/10301975","WorldCat Record")</f>
        <v/>
      </c>
      <c r="AW236" t="inlineStr">
        <is>
          <t>3144492931:eng</t>
        </is>
      </c>
      <c r="AX236" t="inlineStr">
        <is>
          <t>10301975</t>
        </is>
      </c>
      <c r="AY236" t="inlineStr">
        <is>
          <t>991000351019702656</t>
        </is>
      </c>
      <c r="AZ236" t="inlineStr">
        <is>
          <t>991000351019702656</t>
        </is>
      </c>
      <c r="BA236" t="inlineStr">
        <is>
          <t>2272035900002656</t>
        </is>
      </c>
      <c r="BB236" t="inlineStr">
        <is>
          <t>BOOK</t>
        </is>
      </c>
      <c r="BD236" t="inlineStr">
        <is>
          <t>9780028720302</t>
        </is>
      </c>
      <c r="BE236" t="inlineStr">
        <is>
          <t>32285001560837</t>
        </is>
      </c>
      <c r="BF236" t="inlineStr">
        <is>
          <t>893327219</t>
        </is>
      </c>
    </row>
    <row r="237">
      <c r="B237" t="inlineStr">
        <is>
          <t>CURAL</t>
        </is>
      </c>
      <c r="C237" t="inlineStr">
        <is>
          <t>SHELVES</t>
        </is>
      </c>
      <c r="D237" t="inlineStr">
        <is>
          <t>QP310.F5 A54 2002</t>
        </is>
      </c>
      <c r="E237" t="inlineStr">
        <is>
          <t>0                      QP 0310000F  5                  A  54          2002</t>
        </is>
      </c>
      <c r="F237" t="inlineStr">
        <is>
          <t>Nature's flyers : birds, insects, and the biomechanics of flight / David E. Alexander ; foreword by Steven Vogel.</t>
        </is>
      </c>
      <c r="H237" t="inlineStr">
        <is>
          <t>No</t>
        </is>
      </c>
      <c r="I237" t="inlineStr">
        <is>
          <t>1</t>
        </is>
      </c>
      <c r="J237" t="inlineStr">
        <is>
          <t>No</t>
        </is>
      </c>
      <c r="K237" t="inlineStr">
        <is>
          <t>No</t>
        </is>
      </c>
      <c r="L237" t="inlineStr">
        <is>
          <t>0</t>
        </is>
      </c>
      <c r="M237" t="inlineStr">
        <is>
          <t>Alexander, David (David E.)</t>
        </is>
      </c>
      <c r="N237" t="inlineStr">
        <is>
          <t>Baltimore : Johns Hopkins University Press, c2002.</t>
        </is>
      </c>
      <c r="O237" t="inlineStr">
        <is>
          <t>2002</t>
        </is>
      </c>
      <c r="Q237" t="inlineStr">
        <is>
          <t>eng</t>
        </is>
      </c>
      <c r="R237" t="inlineStr">
        <is>
          <t>mdu</t>
        </is>
      </c>
      <c r="T237" t="inlineStr">
        <is>
          <t xml:space="preserve">QP </t>
        </is>
      </c>
      <c r="U237" t="n">
        <v>6</v>
      </c>
      <c r="V237" t="n">
        <v>6</v>
      </c>
      <c r="W237" t="inlineStr">
        <is>
          <t>2008-02-14</t>
        </is>
      </c>
      <c r="X237" t="inlineStr">
        <is>
          <t>2008-02-14</t>
        </is>
      </c>
      <c r="Y237" t="inlineStr">
        <is>
          <t>2003-06-16</t>
        </is>
      </c>
      <c r="Z237" t="inlineStr">
        <is>
          <t>2003-06-16</t>
        </is>
      </c>
      <c r="AA237" t="n">
        <v>737</v>
      </c>
      <c r="AB237" t="n">
        <v>636</v>
      </c>
      <c r="AC237" t="n">
        <v>677</v>
      </c>
      <c r="AD237" t="n">
        <v>6</v>
      </c>
      <c r="AE237" t="n">
        <v>7</v>
      </c>
      <c r="AF237" t="n">
        <v>29</v>
      </c>
      <c r="AG237" t="n">
        <v>30</v>
      </c>
      <c r="AH237" t="n">
        <v>15</v>
      </c>
      <c r="AI237" t="n">
        <v>15</v>
      </c>
      <c r="AJ237" t="n">
        <v>4</v>
      </c>
      <c r="AK237" t="n">
        <v>4</v>
      </c>
      <c r="AL237" t="n">
        <v>11</v>
      </c>
      <c r="AM237" t="n">
        <v>11</v>
      </c>
      <c r="AN237" t="n">
        <v>5</v>
      </c>
      <c r="AO237" t="n">
        <v>6</v>
      </c>
      <c r="AP237" t="n">
        <v>0</v>
      </c>
      <c r="AQ237" t="n">
        <v>0</v>
      </c>
      <c r="AR237" t="inlineStr">
        <is>
          <t>No</t>
        </is>
      </c>
      <c r="AS237" t="inlineStr">
        <is>
          <t>Yes</t>
        </is>
      </c>
      <c r="AT237">
        <f>HYPERLINK("http://catalog.hathitrust.org/Record/004233681","HathiTrust Record")</f>
        <v/>
      </c>
      <c r="AU237">
        <f>HYPERLINK("https://creighton-primo.hosted.exlibrisgroup.com/primo-explore/search?tab=default_tab&amp;search_scope=EVERYTHING&amp;vid=01CRU&amp;lang=en_US&amp;offset=0&amp;query=any,contains,991004051889702656","Catalog Record")</f>
        <v/>
      </c>
      <c r="AV237">
        <f>HYPERLINK("http://www.worldcat.org/oclc/45890321","WorldCat Record")</f>
        <v/>
      </c>
      <c r="AW237" t="inlineStr">
        <is>
          <t>801390341:eng</t>
        </is>
      </c>
      <c r="AX237" t="inlineStr">
        <is>
          <t>45890321</t>
        </is>
      </c>
      <c r="AY237" t="inlineStr">
        <is>
          <t>991004051889702656</t>
        </is>
      </c>
      <c r="AZ237" t="inlineStr">
        <is>
          <t>991004051889702656</t>
        </is>
      </c>
      <c r="BA237" t="inlineStr">
        <is>
          <t>2265085480002656</t>
        </is>
      </c>
      <c r="BB237" t="inlineStr">
        <is>
          <t>BOOK</t>
        </is>
      </c>
      <c r="BD237" t="inlineStr">
        <is>
          <t>9780801867569</t>
        </is>
      </c>
      <c r="BE237" t="inlineStr">
        <is>
          <t>32285004752274</t>
        </is>
      </c>
      <c r="BF237" t="inlineStr">
        <is>
          <t>893435833</t>
        </is>
      </c>
    </row>
    <row r="238">
      <c r="B238" t="inlineStr">
        <is>
          <t>CURAL</t>
        </is>
      </c>
      <c r="C238" t="inlineStr">
        <is>
          <t>SHELVES</t>
        </is>
      </c>
      <c r="D238" t="inlineStr">
        <is>
          <t>QP310.F5 N67 1990</t>
        </is>
      </c>
      <c r="E238" t="inlineStr">
        <is>
          <t>0                      QP 0310000F  5                  N  67          1990</t>
        </is>
      </c>
      <c r="F238" t="inlineStr">
        <is>
          <t>Vertebrate flight : mechanics, physiology, morphology, ecology and evolution / U.M. Norberg.</t>
        </is>
      </c>
      <c r="H238" t="inlineStr">
        <is>
          <t>No</t>
        </is>
      </c>
      <c r="I238" t="inlineStr">
        <is>
          <t>1</t>
        </is>
      </c>
      <c r="J238" t="inlineStr">
        <is>
          <t>No</t>
        </is>
      </c>
      <c r="K238" t="inlineStr">
        <is>
          <t>No</t>
        </is>
      </c>
      <c r="L238" t="inlineStr">
        <is>
          <t>0</t>
        </is>
      </c>
      <c r="M238" t="inlineStr">
        <is>
          <t>Norberg, U. M. (Ulla M.)</t>
        </is>
      </c>
      <c r="N238" t="inlineStr">
        <is>
          <t>Berlin ; New York : Springer-Verlag, c1990.</t>
        </is>
      </c>
      <c r="O238" t="inlineStr">
        <is>
          <t>1990</t>
        </is>
      </c>
      <c r="Q238" t="inlineStr">
        <is>
          <t>eng</t>
        </is>
      </c>
      <c r="R238" t="inlineStr">
        <is>
          <t xml:space="preserve">gw </t>
        </is>
      </c>
      <c r="S238" t="inlineStr">
        <is>
          <t>Zoophysiology ; v. 27</t>
        </is>
      </c>
      <c r="T238" t="inlineStr">
        <is>
          <t xml:space="preserve">QP </t>
        </is>
      </c>
      <c r="U238" t="n">
        <v>15</v>
      </c>
      <c r="V238" t="n">
        <v>15</v>
      </c>
      <c r="W238" t="inlineStr">
        <is>
          <t>2008-02-23</t>
        </is>
      </c>
      <c r="X238" t="inlineStr">
        <is>
          <t>2008-02-23</t>
        </is>
      </c>
      <c r="Y238" t="inlineStr">
        <is>
          <t>1992-06-22</t>
        </is>
      </c>
      <c r="Z238" t="inlineStr">
        <is>
          <t>1992-06-22</t>
        </is>
      </c>
      <c r="AA238" t="n">
        <v>338</v>
      </c>
      <c r="AB238" t="n">
        <v>230</v>
      </c>
      <c r="AC238" t="n">
        <v>252</v>
      </c>
      <c r="AD238" t="n">
        <v>3</v>
      </c>
      <c r="AE238" t="n">
        <v>3</v>
      </c>
      <c r="AF238" t="n">
        <v>13</v>
      </c>
      <c r="AG238" t="n">
        <v>14</v>
      </c>
      <c r="AH238" t="n">
        <v>3</v>
      </c>
      <c r="AI238" t="n">
        <v>4</v>
      </c>
      <c r="AJ238" t="n">
        <v>5</v>
      </c>
      <c r="AK238" t="n">
        <v>6</v>
      </c>
      <c r="AL238" t="n">
        <v>7</v>
      </c>
      <c r="AM238" t="n">
        <v>7</v>
      </c>
      <c r="AN238" t="n">
        <v>2</v>
      </c>
      <c r="AO238" t="n">
        <v>2</v>
      </c>
      <c r="AP238" t="n">
        <v>0</v>
      </c>
      <c r="AQ238" t="n">
        <v>0</v>
      </c>
      <c r="AR238" t="inlineStr">
        <is>
          <t>No</t>
        </is>
      </c>
      <c r="AS238" t="inlineStr">
        <is>
          <t>Yes</t>
        </is>
      </c>
      <c r="AT238">
        <f>HYPERLINK("http://catalog.hathitrust.org/Record/001952118","HathiTrust Record")</f>
        <v/>
      </c>
      <c r="AU238">
        <f>HYPERLINK("https://creighton-primo.hosted.exlibrisgroup.com/primo-explore/search?tab=default_tab&amp;search_scope=EVERYTHING&amp;vid=01CRU&amp;lang=en_US&amp;offset=0&amp;query=any,contains,991001647539702656","Catalog Record")</f>
        <v/>
      </c>
      <c r="AV238">
        <f>HYPERLINK("http://www.worldcat.org/oclc/21075551","WorldCat Record")</f>
        <v/>
      </c>
      <c r="AW238" t="inlineStr">
        <is>
          <t>808414065:eng</t>
        </is>
      </c>
      <c r="AX238" t="inlineStr">
        <is>
          <t>21075551</t>
        </is>
      </c>
      <c r="AY238" t="inlineStr">
        <is>
          <t>991001647539702656</t>
        </is>
      </c>
      <c r="AZ238" t="inlineStr">
        <is>
          <t>991001647539702656</t>
        </is>
      </c>
      <c r="BA238" t="inlineStr">
        <is>
          <t>2269327890002656</t>
        </is>
      </c>
      <c r="BB238" t="inlineStr">
        <is>
          <t>BOOK</t>
        </is>
      </c>
      <c r="BD238" t="inlineStr">
        <is>
          <t>9783540513704</t>
        </is>
      </c>
      <c r="BE238" t="inlineStr">
        <is>
          <t>32285001129864</t>
        </is>
      </c>
      <c r="BF238" t="inlineStr">
        <is>
          <t>893596591</t>
        </is>
      </c>
    </row>
    <row r="239">
      <c r="B239" t="inlineStr">
        <is>
          <t>CURAL</t>
        </is>
      </c>
      <c r="C239" t="inlineStr">
        <is>
          <t>SHELVES</t>
        </is>
      </c>
      <c r="D239" t="inlineStr">
        <is>
          <t>QP310.F5 W37 1984</t>
        </is>
      </c>
      <c r="E239" t="inlineStr">
        <is>
          <t>0                      QP 0310000F  5                  W  37          1984</t>
        </is>
      </c>
      <c r="F239" t="inlineStr">
        <is>
          <t>Biophysical aerodynamics and the natural environment / A.J. Ward-Smith.</t>
        </is>
      </c>
      <c r="H239" t="inlineStr">
        <is>
          <t>No</t>
        </is>
      </c>
      <c r="I239" t="inlineStr">
        <is>
          <t>1</t>
        </is>
      </c>
      <c r="J239" t="inlineStr">
        <is>
          <t>No</t>
        </is>
      </c>
      <c r="K239" t="inlineStr">
        <is>
          <t>No</t>
        </is>
      </c>
      <c r="L239" t="inlineStr">
        <is>
          <t>0</t>
        </is>
      </c>
      <c r="M239" t="inlineStr">
        <is>
          <t>Ward-Smith, A. J. (Alfred John)</t>
        </is>
      </c>
      <c r="N239" t="inlineStr">
        <is>
          <t>Chichester [West Sussex] ; New York : Wiley, c1984.</t>
        </is>
      </c>
      <c r="O239" t="inlineStr">
        <is>
          <t>1984</t>
        </is>
      </c>
      <c r="Q239" t="inlineStr">
        <is>
          <t>eng</t>
        </is>
      </c>
      <c r="R239" t="inlineStr">
        <is>
          <t>enk</t>
        </is>
      </c>
      <c r="T239" t="inlineStr">
        <is>
          <t xml:space="preserve">QP </t>
        </is>
      </c>
      <c r="U239" t="n">
        <v>8</v>
      </c>
      <c r="V239" t="n">
        <v>8</v>
      </c>
      <c r="W239" t="inlineStr">
        <is>
          <t>2008-02-08</t>
        </is>
      </c>
      <c r="X239" t="inlineStr">
        <is>
          <t>2008-02-08</t>
        </is>
      </c>
      <c r="Y239" t="inlineStr">
        <is>
          <t>1993-03-02</t>
        </is>
      </c>
      <c r="Z239" t="inlineStr">
        <is>
          <t>1993-03-02</t>
        </is>
      </c>
      <c r="AA239" t="n">
        <v>289</v>
      </c>
      <c r="AB239" t="n">
        <v>231</v>
      </c>
      <c r="AC239" t="n">
        <v>232</v>
      </c>
      <c r="AD239" t="n">
        <v>3</v>
      </c>
      <c r="AE239" t="n">
        <v>3</v>
      </c>
      <c r="AF239" t="n">
        <v>4</v>
      </c>
      <c r="AG239" t="n">
        <v>4</v>
      </c>
      <c r="AH239" t="n">
        <v>0</v>
      </c>
      <c r="AI239" t="n">
        <v>0</v>
      </c>
      <c r="AJ239" t="n">
        <v>1</v>
      </c>
      <c r="AK239" t="n">
        <v>1</v>
      </c>
      <c r="AL239" t="n">
        <v>1</v>
      </c>
      <c r="AM239" t="n">
        <v>1</v>
      </c>
      <c r="AN239" t="n">
        <v>2</v>
      </c>
      <c r="AO239" t="n">
        <v>2</v>
      </c>
      <c r="AP239" t="n">
        <v>0</v>
      </c>
      <c r="AQ239" t="n">
        <v>0</v>
      </c>
      <c r="AR239" t="inlineStr">
        <is>
          <t>No</t>
        </is>
      </c>
      <c r="AS239" t="inlineStr">
        <is>
          <t>Yes</t>
        </is>
      </c>
      <c r="AT239">
        <f>HYPERLINK("http://catalog.hathitrust.org/Record/000458767","HathiTrust Record")</f>
        <v/>
      </c>
      <c r="AU239">
        <f>HYPERLINK("https://creighton-primo.hosted.exlibrisgroup.com/primo-explore/search?tab=default_tab&amp;search_scope=EVERYTHING&amp;vid=01CRU&amp;lang=en_US&amp;offset=0&amp;query=any,contains,991000441379702656","Catalog Record")</f>
        <v/>
      </c>
      <c r="AV239">
        <f>HYPERLINK("http://www.worldcat.org/oclc/10824862","WorldCat Record")</f>
        <v/>
      </c>
      <c r="AW239" t="inlineStr">
        <is>
          <t>3351787:eng</t>
        </is>
      </c>
      <c r="AX239" t="inlineStr">
        <is>
          <t>10824862</t>
        </is>
      </c>
      <c r="AY239" t="inlineStr">
        <is>
          <t>991000441379702656</t>
        </is>
      </c>
      <c r="AZ239" t="inlineStr">
        <is>
          <t>991000441379702656</t>
        </is>
      </c>
      <c r="BA239" t="inlineStr">
        <is>
          <t>2264550130002656</t>
        </is>
      </c>
      <c r="BB239" t="inlineStr">
        <is>
          <t>BOOK</t>
        </is>
      </c>
      <c r="BD239" t="inlineStr">
        <is>
          <t>9780471904366</t>
        </is>
      </c>
      <c r="BE239" t="inlineStr">
        <is>
          <t>32285001560845</t>
        </is>
      </c>
      <c r="BF239" t="inlineStr">
        <is>
          <t>893534158</t>
        </is>
      </c>
    </row>
    <row r="240">
      <c r="B240" t="inlineStr">
        <is>
          <t>CURAL</t>
        </is>
      </c>
      <c r="C240" t="inlineStr">
        <is>
          <t>SHELVES</t>
        </is>
      </c>
      <c r="D240" t="inlineStr">
        <is>
          <t>QP310.S77 A45 1988</t>
        </is>
      </c>
      <c r="E240" t="inlineStr">
        <is>
          <t>0                      QP 0310000S  77                 A  45          1988</t>
        </is>
      </c>
      <c r="F240" t="inlineStr">
        <is>
          <t>Science of stretching / Michael J. Alter.</t>
        </is>
      </c>
      <c r="H240" t="inlineStr">
        <is>
          <t>No</t>
        </is>
      </c>
      <c r="I240" t="inlineStr">
        <is>
          <t>1</t>
        </is>
      </c>
      <c r="J240" t="inlineStr">
        <is>
          <t>No</t>
        </is>
      </c>
      <c r="K240" t="inlineStr">
        <is>
          <t>No</t>
        </is>
      </c>
      <c r="L240" t="inlineStr">
        <is>
          <t>0</t>
        </is>
      </c>
      <c r="M240" t="inlineStr">
        <is>
          <t>Alter, Michael J., 1952-</t>
        </is>
      </c>
      <c r="N240" t="inlineStr">
        <is>
          <t>Champaign, Ill. : Human Kinetics Books, c1988.</t>
        </is>
      </c>
      <c r="O240" t="inlineStr">
        <is>
          <t>1988</t>
        </is>
      </c>
      <c r="Q240" t="inlineStr">
        <is>
          <t>eng</t>
        </is>
      </c>
      <c r="R240" t="inlineStr">
        <is>
          <t>ilu</t>
        </is>
      </c>
      <c r="T240" t="inlineStr">
        <is>
          <t xml:space="preserve">QP </t>
        </is>
      </c>
      <c r="U240" t="n">
        <v>27</v>
      </c>
      <c r="V240" t="n">
        <v>27</v>
      </c>
      <c r="W240" t="inlineStr">
        <is>
          <t>2001-04-18</t>
        </is>
      </c>
      <c r="X240" t="inlineStr">
        <is>
          <t>2001-04-18</t>
        </is>
      </c>
      <c r="Y240" t="inlineStr">
        <is>
          <t>1990-01-30</t>
        </is>
      </c>
      <c r="Z240" t="inlineStr">
        <is>
          <t>1990-01-30</t>
        </is>
      </c>
      <c r="AA240" t="n">
        <v>532</v>
      </c>
      <c r="AB240" t="n">
        <v>411</v>
      </c>
      <c r="AC240" t="n">
        <v>422</v>
      </c>
      <c r="AD240" t="n">
        <v>3</v>
      </c>
      <c r="AE240" t="n">
        <v>3</v>
      </c>
      <c r="AF240" t="n">
        <v>12</v>
      </c>
      <c r="AG240" t="n">
        <v>12</v>
      </c>
      <c r="AH240" t="n">
        <v>6</v>
      </c>
      <c r="AI240" t="n">
        <v>6</v>
      </c>
      <c r="AJ240" t="n">
        <v>1</v>
      </c>
      <c r="AK240" t="n">
        <v>1</v>
      </c>
      <c r="AL240" t="n">
        <v>6</v>
      </c>
      <c r="AM240" t="n">
        <v>6</v>
      </c>
      <c r="AN240" t="n">
        <v>2</v>
      </c>
      <c r="AO240" t="n">
        <v>2</v>
      </c>
      <c r="AP240" t="n">
        <v>0</v>
      </c>
      <c r="AQ240" t="n">
        <v>0</v>
      </c>
      <c r="AR240" t="inlineStr">
        <is>
          <t>No</t>
        </is>
      </c>
      <c r="AS240" t="inlineStr">
        <is>
          <t>Yes</t>
        </is>
      </c>
      <c r="AT240">
        <f>HYPERLINK("http://catalog.hathitrust.org/Record/002471085","HathiTrust Record")</f>
        <v/>
      </c>
      <c r="AU240">
        <f>HYPERLINK("https://creighton-primo.hosted.exlibrisgroup.com/primo-explore/search?tab=default_tab&amp;search_scope=EVERYTHING&amp;vid=01CRU&amp;lang=en_US&amp;offset=0&amp;query=any,contains,991001029929702656","Catalog Record")</f>
        <v/>
      </c>
      <c r="AV240">
        <f>HYPERLINK("http://www.worldcat.org/oclc/15489937","WorldCat Record")</f>
        <v/>
      </c>
      <c r="AW240" t="inlineStr">
        <is>
          <t>9410988:eng</t>
        </is>
      </c>
      <c r="AX240" t="inlineStr">
        <is>
          <t>15489937</t>
        </is>
      </c>
      <c r="AY240" t="inlineStr">
        <is>
          <t>991001029929702656</t>
        </is>
      </c>
      <c r="AZ240" t="inlineStr">
        <is>
          <t>991001029929702656</t>
        </is>
      </c>
      <c r="BA240" t="inlineStr">
        <is>
          <t>2272581850002656</t>
        </is>
      </c>
      <c r="BB240" t="inlineStr">
        <is>
          <t>BOOK</t>
        </is>
      </c>
      <c r="BD240" t="inlineStr">
        <is>
          <t>9780873220903</t>
        </is>
      </c>
      <c r="BE240" t="inlineStr">
        <is>
          <t>32285000036102</t>
        </is>
      </c>
      <c r="BF240" t="inlineStr">
        <is>
          <t>893231643</t>
        </is>
      </c>
    </row>
    <row r="241">
      <c r="B241" t="inlineStr">
        <is>
          <t>CURAL</t>
        </is>
      </c>
      <c r="C241" t="inlineStr">
        <is>
          <t>SHELVES</t>
        </is>
      </c>
      <c r="D241" t="inlineStr">
        <is>
          <t>QP310.S77 A45 1996</t>
        </is>
      </c>
      <c r="E241" t="inlineStr">
        <is>
          <t>0                      QP 0310000S  77                 A  45          1996</t>
        </is>
      </c>
      <c r="F241" t="inlineStr">
        <is>
          <t>Science of flexibility / Michael J. Alter.</t>
        </is>
      </c>
      <c r="H241" t="inlineStr">
        <is>
          <t>No</t>
        </is>
      </c>
      <c r="I241" t="inlineStr">
        <is>
          <t>1</t>
        </is>
      </c>
      <c r="J241" t="inlineStr">
        <is>
          <t>No</t>
        </is>
      </c>
      <c r="K241" t="inlineStr">
        <is>
          <t>No</t>
        </is>
      </c>
      <c r="L241" t="inlineStr">
        <is>
          <t>0</t>
        </is>
      </c>
      <c r="M241" t="inlineStr">
        <is>
          <t>Alter, Michael J., 1952-</t>
        </is>
      </c>
      <c r="N241" t="inlineStr">
        <is>
          <t>Champaign, IL : Human Kinetics, c1996.</t>
        </is>
      </c>
      <c r="O241" t="inlineStr">
        <is>
          <t>1996</t>
        </is>
      </c>
      <c r="P241" t="inlineStr">
        <is>
          <t>2nd ed.</t>
        </is>
      </c>
      <c r="Q241" t="inlineStr">
        <is>
          <t>eng</t>
        </is>
      </c>
      <c r="R241" t="inlineStr">
        <is>
          <t>ilu</t>
        </is>
      </c>
      <c r="T241" t="inlineStr">
        <is>
          <t xml:space="preserve">QP </t>
        </is>
      </c>
      <c r="U241" t="n">
        <v>2</v>
      </c>
      <c r="V241" t="n">
        <v>2</v>
      </c>
      <c r="W241" t="inlineStr">
        <is>
          <t>2000-09-20</t>
        </is>
      </c>
      <c r="X241" t="inlineStr">
        <is>
          <t>2000-09-20</t>
        </is>
      </c>
      <c r="Y241" t="inlineStr">
        <is>
          <t>1998-03-12</t>
        </is>
      </c>
      <c r="Z241" t="inlineStr">
        <is>
          <t>1998-03-12</t>
        </is>
      </c>
      <c r="AA241" t="n">
        <v>519</v>
      </c>
      <c r="AB241" t="n">
        <v>385</v>
      </c>
      <c r="AC241" t="n">
        <v>604</v>
      </c>
      <c r="AD241" t="n">
        <v>3</v>
      </c>
      <c r="AE241" t="n">
        <v>5</v>
      </c>
      <c r="AF241" t="n">
        <v>9</v>
      </c>
      <c r="AG241" t="n">
        <v>21</v>
      </c>
      <c r="AH241" t="n">
        <v>5</v>
      </c>
      <c r="AI241" t="n">
        <v>12</v>
      </c>
      <c r="AJ241" t="n">
        <v>3</v>
      </c>
      <c r="AK241" t="n">
        <v>4</v>
      </c>
      <c r="AL241" t="n">
        <v>3</v>
      </c>
      <c r="AM241" t="n">
        <v>7</v>
      </c>
      <c r="AN241" t="n">
        <v>2</v>
      </c>
      <c r="AO241" t="n">
        <v>4</v>
      </c>
      <c r="AP241" t="n">
        <v>0</v>
      </c>
      <c r="AQ241" t="n">
        <v>0</v>
      </c>
      <c r="AR241" t="inlineStr">
        <is>
          <t>No</t>
        </is>
      </c>
      <c r="AS241" t="inlineStr">
        <is>
          <t>Yes</t>
        </is>
      </c>
      <c r="AT241">
        <f>HYPERLINK("http://catalog.hathitrust.org/Record/003071462","HathiTrust Record")</f>
        <v/>
      </c>
      <c r="AU241">
        <f>HYPERLINK("https://creighton-primo.hosted.exlibrisgroup.com/primo-explore/search?tab=default_tab&amp;search_scope=EVERYTHING&amp;vid=01CRU&amp;lang=en_US&amp;offset=0&amp;query=any,contains,991002582479702656","Catalog Record")</f>
        <v/>
      </c>
      <c r="AV241">
        <f>HYPERLINK("http://www.worldcat.org/oclc/33862033","WorldCat Record")</f>
        <v/>
      </c>
      <c r="AW241" t="inlineStr">
        <is>
          <t>1037904:eng</t>
        </is>
      </c>
      <c r="AX241" t="inlineStr">
        <is>
          <t>33862033</t>
        </is>
      </c>
      <c r="AY241" t="inlineStr">
        <is>
          <t>991002582479702656</t>
        </is>
      </c>
      <c r="AZ241" t="inlineStr">
        <is>
          <t>991002582479702656</t>
        </is>
      </c>
      <c r="BA241" t="inlineStr">
        <is>
          <t>2266457610002656</t>
        </is>
      </c>
      <c r="BB241" t="inlineStr">
        <is>
          <t>BOOK</t>
        </is>
      </c>
      <c r="BD241" t="inlineStr">
        <is>
          <t>9780873229777</t>
        </is>
      </c>
      <c r="BE241" t="inlineStr">
        <is>
          <t>32285003357703</t>
        </is>
      </c>
      <c r="BF241" t="inlineStr">
        <is>
          <t>893798750</t>
        </is>
      </c>
    </row>
    <row r="242">
      <c r="B242" t="inlineStr">
        <is>
          <t>CURAL</t>
        </is>
      </c>
      <c r="C242" t="inlineStr">
        <is>
          <t>SHELVES</t>
        </is>
      </c>
      <c r="D242" t="inlineStr">
        <is>
          <t>QP321 .C35</t>
        </is>
      </c>
      <c r="E242" t="inlineStr">
        <is>
          <t>0                      QP 0321000C  35</t>
        </is>
      </c>
      <c r="F242" t="inlineStr">
        <is>
          <t>Muscle physiology / [by] Francis D. Carlson [and] Douglas R. Wilkie.</t>
        </is>
      </c>
      <c r="H242" t="inlineStr">
        <is>
          <t>No</t>
        </is>
      </c>
      <c r="I242" t="inlineStr">
        <is>
          <t>1</t>
        </is>
      </c>
      <c r="J242" t="inlineStr">
        <is>
          <t>No</t>
        </is>
      </c>
      <c r="K242" t="inlineStr">
        <is>
          <t>No</t>
        </is>
      </c>
      <c r="L242" t="inlineStr">
        <is>
          <t>0</t>
        </is>
      </c>
      <c r="M242" t="inlineStr">
        <is>
          <t>Carlson, Francis D.</t>
        </is>
      </c>
      <c r="N242" t="inlineStr">
        <is>
          <t>Englewood Cliffs, N.J. : Prentice-Hall, [1974]</t>
        </is>
      </c>
      <c r="O242" t="inlineStr">
        <is>
          <t>1974</t>
        </is>
      </c>
      <c r="Q242" t="inlineStr">
        <is>
          <t>eng</t>
        </is>
      </c>
      <c r="R242" t="inlineStr">
        <is>
          <t>nju</t>
        </is>
      </c>
      <c r="S242" t="inlineStr">
        <is>
          <t>Prentice-Hall biological science series</t>
        </is>
      </c>
      <c r="T242" t="inlineStr">
        <is>
          <t xml:space="preserve">QP </t>
        </is>
      </c>
      <c r="U242" t="n">
        <v>6</v>
      </c>
      <c r="V242" t="n">
        <v>6</v>
      </c>
      <c r="W242" t="inlineStr">
        <is>
          <t>2008-02-12</t>
        </is>
      </c>
      <c r="X242" t="inlineStr">
        <is>
          <t>2008-02-12</t>
        </is>
      </c>
      <c r="Y242" t="inlineStr">
        <is>
          <t>1993-03-02</t>
        </is>
      </c>
      <c r="Z242" t="inlineStr">
        <is>
          <t>1993-03-02</t>
        </is>
      </c>
      <c r="AA242" t="n">
        <v>494</v>
      </c>
      <c r="AB242" t="n">
        <v>379</v>
      </c>
      <c r="AC242" t="n">
        <v>386</v>
      </c>
      <c r="AD242" t="n">
        <v>3</v>
      </c>
      <c r="AE242" t="n">
        <v>3</v>
      </c>
      <c r="AF242" t="n">
        <v>15</v>
      </c>
      <c r="AG242" t="n">
        <v>15</v>
      </c>
      <c r="AH242" t="n">
        <v>8</v>
      </c>
      <c r="AI242" t="n">
        <v>8</v>
      </c>
      <c r="AJ242" t="n">
        <v>2</v>
      </c>
      <c r="AK242" t="n">
        <v>2</v>
      </c>
      <c r="AL242" t="n">
        <v>6</v>
      </c>
      <c r="AM242" t="n">
        <v>6</v>
      </c>
      <c r="AN242" t="n">
        <v>2</v>
      </c>
      <c r="AO242" t="n">
        <v>2</v>
      </c>
      <c r="AP242" t="n">
        <v>0</v>
      </c>
      <c r="AQ242" t="n">
        <v>0</v>
      </c>
      <c r="AR242" t="inlineStr">
        <is>
          <t>No</t>
        </is>
      </c>
      <c r="AS242" t="inlineStr">
        <is>
          <t>Yes</t>
        </is>
      </c>
      <c r="AT242">
        <f>HYPERLINK("http://catalog.hathitrust.org/Record/001576818","HathiTrust Record")</f>
        <v/>
      </c>
      <c r="AU242">
        <f>HYPERLINK("https://creighton-primo.hosted.exlibrisgroup.com/primo-explore/search?tab=default_tab&amp;search_scope=EVERYTHING&amp;vid=01CRU&amp;lang=en_US&amp;offset=0&amp;query=any,contains,991003200739702656","Catalog Record")</f>
        <v/>
      </c>
      <c r="AV242">
        <f>HYPERLINK("http://www.worldcat.org/oclc/724452","WorldCat Record")</f>
        <v/>
      </c>
      <c r="AW242" t="inlineStr">
        <is>
          <t>1723907:eng</t>
        </is>
      </c>
      <c r="AX242" t="inlineStr">
        <is>
          <t>724452</t>
        </is>
      </c>
      <c r="AY242" t="inlineStr">
        <is>
          <t>991003200739702656</t>
        </is>
      </c>
      <c r="AZ242" t="inlineStr">
        <is>
          <t>991003200739702656</t>
        </is>
      </c>
      <c r="BA242" t="inlineStr">
        <is>
          <t>2254850000002656</t>
        </is>
      </c>
      <c r="BB242" t="inlineStr">
        <is>
          <t>BOOK</t>
        </is>
      </c>
      <c r="BD242" t="inlineStr">
        <is>
          <t>9780136069058</t>
        </is>
      </c>
      <c r="BE242" t="inlineStr">
        <is>
          <t>32285001560860</t>
        </is>
      </c>
      <c r="BF242" t="inlineStr">
        <is>
          <t>893505313</t>
        </is>
      </c>
    </row>
    <row r="243">
      <c r="B243" t="inlineStr">
        <is>
          <t>CURAL</t>
        </is>
      </c>
      <c r="C243" t="inlineStr">
        <is>
          <t>SHELVES</t>
        </is>
      </c>
      <c r="D243" t="inlineStr">
        <is>
          <t>QP321 .C365 v...</t>
        </is>
      </c>
      <c r="E243" t="inlineStr">
        <is>
          <t>0                      QP 0321000C  365                                                     v...</t>
        </is>
      </c>
      <c r="F243" t="inlineStr">
        <is>
          <t>Cell and muscle motility / edited by Robert M. Dowben and Jerry W. Shay.</t>
        </is>
      </c>
      <c r="G243" t="inlineStr">
        <is>
          <t>V.1</t>
        </is>
      </c>
      <c r="H243" t="inlineStr">
        <is>
          <t>No</t>
        </is>
      </c>
      <c r="I243" t="inlineStr">
        <is>
          <t>1</t>
        </is>
      </c>
      <c r="J243" t="inlineStr">
        <is>
          <t>No</t>
        </is>
      </c>
      <c r="K243" t="inlineStr">
        <is>
          <t>No</t>
        </is>
      </c>
      <c r="L243" t="inlineStr">
        <is>
          <t>0</t>
        </is>
      </c>
      <c r="N243" t="inlineStr">
        <is>
          <t>New York : Plenum Press, c1981-</t>
        </is>
      </c>
      <c r="O243" t="inlineStr">
        <is>
          <t>1981</t>
        </is>
      </c>
      <c r="Q243" t="inlineStr">
        <is>
          <t>eng</t>
        </is>
      </c>
      <c r="R243" t="inlineStr">
        <is>
          <t>nyu</t>
        </is>
      </c>
      <c r="T243" t="inlineStr">
        <is>
          <t xml:space="preserve">QP </t>
        </is>
      </c>
      <c r="U243" t="n">
        <v>2</v>
      </c>
      <c r="V243" t="n">
        <v>2</v>
      </c>
      <c r="W243" t="inlineStr">
        <is>
          <t>2008-02-15</t>
        </is>
      </c>
      <c r="X243" t="inlineStr">
        <is>
          <t>2008-02-15</t>
        </is>
      </c>
      <c r="Y243" t="inlineStr">
        <is>
          <t>1993-03-02</t>
        </is>
      </c>
      <c r="Z243" t="inlineStr">
        <is>
          <t>1993-03-02</t>
        </is>
      </c>
      <c r="AA243" t="n">
        <v>247</v>
      </c>
      <c r="AB243" t="n">
        <v>201</v>
      </c>
      <c r="AC243" t="n">
        <v>217</v>
      </c>
      <c r="AD243" t="n">
        <v>1</v>
      </c>
      <c r="AE243" t="n">
        <v>1</v>
      </c>
      <c r="AF243" t="n">
        <v>5</v>
      </c>
      <c r="AG243" t="n">
        <v>5</v>
      </c>
      <c r="AH243" t="n">
        <v>1</v>
      </c>
      <c r="AI243" t="n">
        <v>1</v>
      </c>
      <c r="AJ243" t="n">
        <v>2</v>
      </c>
      <c r="AK243" t="n">
        <v>2</v>
      </c>
      <c r="AL243" t="n">
        <v>4</v>
      </c>
      <c r="AM243" t="n">
        <v>4</v>
      </c>
      <c r="AN243" t="n">
        <v>0</v>
      </c>
      <c r="AO243" t="n">
        <v>0</v>
      </c>
      <c r="AP243" t="n">
        <v>0</v>
      </c>
      <c r="AQ243" t="n">
        <v>0</v>
      </c>
      <c r="AR243" t="inlineStr">
        <is>
          <t>No</t>
        </is>
      </c>
      <c r="AS243" t="inlineStr">
        <is>
          <t>Yes</t>
        </is>
      </c>
      <c r="AT243">
        <f>HYPERLINK("http://catalog.hathitrust.org/Record/000774951","HathiTrust Record")</f>
        <v/>
      </c>
      <c r="AU243">
        <f>HYPERLINK("https://creighton-primo.hosted.exlibrisgroup.com/primo-explore/search?tab=default_tab&amp;search_scope=EVERYTHING&amp;vid=01CRU&amp;lang=en_US&amp;offset=0&amp;query=any,contains,991005152059702656","Catalog Record")</f>
        <v/>
      </c>
      <c r="AV243">
        <f>HYPERLINK("http://www.worldcat.org/oclc/7733574","WorldCat Record")</f>
        <v/>
      </c>
      <c r="AW243" t="inlineStr">
        <is>
          <t>10075953343:eng</t>
        </is>
      </c>
      <c r="AX243" t="inlineStr">
        <is>
          <t>7733574</t>
        </is>
      </c>
      <c r="AY243" t="inlineStr">
        <is>
          <t>991005152059702656</t>
        </is>
      </c>
      <c r="AZ243" t="inlineStr">
        <is>
          <t>991005152059702656</t>
        </is>
      </c>
      <c r="BA243" t="inlineStr">
        <is>
          <t>2257010840002656</t>
        </is>
      </c>
      <c r="BB243" t="inlineStr">
        <is>
          <t>BOOK</t>
        </is>
      </c>
      <c r="BD243" t="inlineStr">
        <is>
          <t>9780306407031</t>
        </is>
      </c>
      <c r="BE243" t="inlineStr">
        <is>
          <t>32285001560878</t>
        </is>
      </c>
      <c r="BF243" t="inlineStr">
        <is>
          <t>893412401</t>
        </is>
      </c>
    </row>
    <row r="244">
      <c r="B244" t="inlineStr">
        <is>
          <t>CURAL</t>
        </is>
      </c>
      <c r="C244" t="inlineStr">
        <is>
          <t>SHELVES</t>
        </is>
      </c>
      <c r="D244" t="inlineStr">
        <is>
          <t>QP321 .E94 1995</t>
        </is>
      </c>
      <c r="E244" t="inlineStr">
        <is>
          <t>0                      QP 0321000E  94          1995</t>
        </is>
      </c>
      <c r="F244" t="inlineStr">
        <is>
          <t>Exercise and intracellular regulation of cardiac and skeletal muscle / Michael I. Kalinski ... [et al.].</t>
        </is>
      </c>
      <c r="H244" t="inlineStr">
        <is>
          <t>No</t>
        </is>
      </c>
      <c r="I244" t="inlineStr">
        <is>
          <t>1</t>
        </is>
      </c>
      <c r="J244" t="inlineStr">
        <is>
          <t>No</t>
        </is>
      </c>
      <c r="K244" t="inlineStr">
        <is>
          <t>No</t>
        </is>
      </c>
      <c r="L244" t="inlineStr">
        <is>
          <t>0</t>
        </is>
      </c>
      <c r="N244" t="inlineStr">
        <is>
          <t>Champaign, IL : Human Kinetics, c1995.</t>
        </is>
      </c>
      <c r="O244" t="inlineStr">
        <is>
          <t>1995</t>
        </is>
      </c>
      <c r="Q244" t="inlineStr">
        <is>
          <t>eng</t>
        </is>
      </c>
      <c r="R244" t="inlineStr">
        <is>
          <t>ilu</t>
        </is>
      </c>
      <c r="S244" t="inlineStr">
        <is>
          <t>HK sport science monograph series, 0894-4229 ; v. 7</t>
        </is>
      </c>
      <c r="T244" t="inlineStr">
        <is>
          <t xml:space="preserve">QP </t>
        </is>
      </c>
      <c r="U244" t="n">
        <v>3</v>
      </c>
      <c r="V244" t="n">
        <v>3</v>
      </c>
      <c r="W244" t="inlineStr">
        <is>
          <t>1996-09-26</t>
        </is>
      </c>
      <c r="X244" t="inlineStr">
        <is>
          <t>1996-09-26</t>
        </is>
      </c>
      <c r="Y244" t="inlineStr">
        <is>
          <t>1995-10-13</t>
        </is>
      </c>
      <c r="Z244" t="inlineStr">
        <is>
          <t>1995-10-13</t>
        </is>
      </c>
      <c r="AA244" t="n">
        <v>224</v>
      </c>
      <c r="AB244" t="n">
        <v>159</v>
      </c>
      <c r="AC244" t="n">
        <v>161</v>
      </c>
      <c r="AD244" t="n">
        <v>2</v>
      </c>
      <c r="AE244" t="n">
        <v>2</v>
      </c>
      <c r="AF244" t="n">
        <v>7</v>
      </c>
      <c r="AG244" t="n">
        <v>7</v>
      </c>
      <c r="AH244" t="n">
        <v>3</v>
      </c>
      <c r="AI244" t="n">
        <v>3</v>
      </c>
      <c r="AJ244" t="n">
        <v>2</v>
      </c>
      <c r="AK244" t="n">
        <v>2</v>
      </c>
      <c r="AL244" t="n">
        <v>4</v>
      </c>
      <c r="AM244" t="n">
        <v>4</v>
      </c>
      <c r="AN244" t="n">
        <v>1</v>
      </c>
      <c r="AO244" t="n">
        <v>1</v>
      </c>
      <c r="AP244" t="n">
        <v>0</v>
      </c>
      <c r="AQ244" t="n">
        <v>0</v>
      </c>
      <c r="AR244" t="inlineStr">
        <is>
          <t>No</t>
        </is>
      </c>
      <c r="AS244" t="inlineStr">
        <is>
          <t>Yes</t>
        </is>
      </c>
      <c r="AT244">
        <f>HYPERLINK("http://catalog.hathitrust.org/Record/002981985","HathiTrust Record")</f>
        <v/>
      </c>
      <c r="AU244">
        <f>HYPERLINK("https://creighton-primo.hosted.exlibrisgroup.com/primo-explore/search?tab=default_tab&amp;search_scope=EVERYTHING&amp;vid=01CRU&amp;lang=en_US&amp;offset=0&amp;query=any,contains,991002382289702656","Catalog Record")</f>
        <v/>
      </c>
      <c r="AV244">
        <f>HYPERLINK("http://www.worldcat.org/oclc/30971976","WorldCat Record")</f>
        <v/>
      </c>
      <c r="AW244" t="inlineStr">
        <is>
          <t>32895835:eng</t>
        </is>
      </c>
      <c r="AX244" t="inlineStr">
        <is>
          <t>30971976</t>
        </is>
      </c>
      <c r="AY244" t="inlineStr">
        <is>
          <t>991002382289702656</t>
        </is>
      </c>
      <c r="AZ244" t="inlineStr">
        <is>
          <t>991002382289702656</t>
        </is>
      </c>
      <c r="BA244" t="inlineStr">
        <is>
          <t>2260879440002656</t>
        </is>
      </c>
      <c r="BB244" t="inlineStr">
        <is>
          <t>BOOK</t>
        </is>
      </c>
      <c r="BD244" t="inlineStr">
        <is>
          <t>9780873227254</t>
        </is>
      </c>
      <c r="BE244" t="inlineStr">
        <is>
          <t>32285001415735</t>
        </is>
      </c>
      <c r="BF244" t="inlineStr">
        <is>
          <t>893798517</t>
        </is>
      </c>
    </row>
    <row r="245">
      <c r="B245" t="inlineStr">
        <is>
          <t>CURAL</t>
        </is>
      </c>
      <c r="C245" t="inlineStr">
        <is>
          <t>SHELVES</t>
        </is>
      </c>
      <c r="D245" t="inlineStr">
        <is>
          <t>QP321 .H668 1994</t>
        </is>
      </c>
      <c r="E245" t="inlineStr">
        <is>
          <t>0                      QP 0321000H  668         1994</t>
        </is>
      </c>
      <c r="F245" t="inlineStr">
        <is>
          <t>Muscles as molecular and metabolic machines / by Peter W. Hochachka.</t>
        </is>
      </c>
      <c r="H245" t="inlineStr">
        <is>
          <t>No</t>
        </is>
      </c>
      <c r="I245" t="inlineStr">
        <is>
          <t>1</t>
        </is>
      </c>
      <c r="J245" t="inlineStr">
        <is>
          <t>Yes</t>
        </is>
      </c>
      <c r="K245" t="inlineStr">
        <is>
          <t>No</t>
        </is>
      </c>
      <c r="L245" t="inlineStr">
        <is>
          <t>0</t>
        </is>
      </c>
      <c r="M245" t="inlineStr">
        <is>
          <t>Hochachka, Peter W.</t>
        </is>
      </c>
      <c r="N245" t="inlineStr">
        <is>
          <t>Boca Raton : CRC Press, c1994.</t>
        </is>
      </c>
      <c r="O245" t="inlineStr">
        <is>
          <t>1994</t>
        </is>
      </c>
      <c r="Q245" t="inlineStr">
        <is>
          <t>eng</t>
        </is>
      </c>
      <c r="R245" t="inlineStr">
        <is>
          <t>flu</t>
        </is>
      </c>
      <c r="T245" t="inlineStr">
        <is>
          <t xml:space="preserve">QP </t>
        </is>
      </c>
      <c r="U245" t="n">
        <v>5</v>
      </c>
      <c r="V245" t="n">
        <v>10</v>
      </c>
      <c r="W245" t="inlineStr">
        <is>
          <t>2008-02-15</t>
        </is>
      </c>
      <c r="X245" t="inlineStr">
        <is>
          <t>2008-02-15</t>
        </is>
      </c>
      <c r="Y245" t="inlineStr">
        <is>
          <t>1995-11-27</t>
        </is>
      </c>
      <c r="Z245" t="inlineStr">
        <is>
          <t>1995-11-27</t>
        </is>
      </c>
      <c r="AA245" t="n">
        <v>297</v>
      </c>
      <c r="AB245" t="n">
        <v>232</v>
      </c>
      <c r="AC245" t="n">
        <v>255</v>
      </c>
      <c r="AD245" t="n">
        <v>4</v>
      </c>
      <c r="AE245" t="n">
        <v>4</v>
      </c>
      <c r="AF245" t="n">
        <v>10</v>
      </c>
      <c r="AG245" t="n">
        <v>10</v>
      </c>
      <c r="AH245" t="n">
        <v>3</v>
      </c>
      <c r="AI245" t="n">
        <v>3</v>
      </c>
      <c r="AJ245" t="n">
        <v>3</v>
      </c>
      <c r="AK245" t="n">
        <v>3</v>
      </c>
      <c r="AL245" t="n">
        <v>3</v>
      </c>
      <c r="AM245" t="n">
        <v>3</v>
      </c>
      <c r="AN245" t="n">
        <v>2</v>
      </c>
      <c r="AO245" t="n">
        <v>2</v>
      </c>
      <c r="AP245" t="n">
        <v>0</v>
      </c>
      <c r="AQ245" t="n">
        <v>0</v>
      </c>
      <c r="AR245" t="inlineStr">
        <is>
          <t>No</t>
        </is>
      </c>
      <c r="AS245" t="inlineStr">
        <is>
          <t>No</t>
        </is>
      </c>
      <c r="AU245">
        <f>HYPERLINK("https://creighton-primo.hosted.exlibrisgroup.com/primo-explore/search?tab=default_tab&amp;search_scope=EVERYTHING&amp;vid=01CRU&amp;lang=en_US&amp;offset=0&amp;query=any,contains,991001798079702656","Catalog Record")</f>
        <v/>
      </c>
      <c r="AV245">
        <f>HYPERLINK("http://www.worldcat.org/oclc/29908628","WorldCat Record")</f>
        <v/>
      </c>
      <c r="AW245" t="inlineStr">
        <is>
          <t>31828981:eng</t>
        </is>
      </c>
      <c r="AX245" t="inlineStr">
        <is>
          <t>29908628</t>
        </is>
      </c>
      <c r="AY245" t="inlineStr">
        <is>
          <t>991001798079702656</t>
        </is>
      </c>
      <c r="AZ245" t="inlineStr">
        <is>
          <t>991001798079702656</t>
        </is>
      </c>
      <c r="BA245" t="inlineStr">
        <is>
          <t>2261458570002656</t>
        </is>
      </c>
      <c r="BB245" t="inlineStr">
        <is>
          <t>BOOK</t>
        </is>
      </c>
      <c r="BD245" t="inlineStr">
        <is>
          <t>9780849324680</t>
        </is>
      </c>
      <c r="BE245" t="inlineStr">
        <is>
          <t>32285002106515</t>
        </is>
      </c>
      <c r="BF245" t="inlineStr">
        <is>
          <t>893690926</t>
        </is>
      </c>
    </row>
    <row r="246">
      <c r="B246" t="inlineStr">
        <is>
          <t>CURAL</t>
        </is>
      </c>
      <c r="C246" t="inlineStr">
        <is>
          <t>SHELVES</t>
        </is>
      </c>
      <c r="D246" t="inlineStr">
        <is>
          <t>QP321 .H78 1983</t>
        </is>
      </c>
      <c r="E246" t="inlineStr">
        <is>
          <t>0                      QP 0321000H  78          1983</t>
        </is>
      </c>
      <c r="F246" t="inlineStr">
        <is>
          <t>Muscles and their neural control / Graham Hoyle.</t>
        </is>
      </c>
      <c r="H246" t="inlineStr">
        <is>
          <t>No</t>
        </is>
      </c>
      <c r="I246" t="inlineStr">
        <is>
          <t>1</t>
        </is>
      </c>
      <c r="J246" t="inlineStr">
        <is>
          <t>Yes</t>
        </is>
      </c>
      <c r="K246" t="inlineStr">
        <is>
          <t>No</t>
        </is>
      </c>
      <c r="L246" t="inlineStr">
        <is>
          <t>0</t>
        </is>
      </c>
      <c r="M246" t="inlineStr">
        <is>
          <t>Hoyle, Graham.</t>
        </is>
      </c>
      <c r="N246" t="inlineStr">
        <is>
          <t>New York : Wiley, 1983.</t>
        </is>
      </c>
      <c r="O246" t="inlineStr">
        <is>
          <t>1983</t>
        </is>
      </c>
      <c r="Q246" t="inlineStr">
        <is>
          <t>eng</t>
        </is>
      </c>
      <c r="R246" t="inlineStr">
        <is>
          <t>nyu</t>
        </is>
      </c>
      <c r="T246" t="inlineStr">
        <is>
          <t xml:space="preserve">QP </t>
        </is>
      </c>
      <c r="U246" t="n">
        <v>4</v>
      </c>
      <c r="V246" t="n">
        <v>4</v>
      </c>
      <c r="W246" t="inlineStr">
        <is>
          <t>2008-02-18</t>
        </is>
      </c>
      <c r="X246" t="inlineStr">
        <is>
          <t>2008-02-18</t>
        </is>
      </c>
      <c r="Y246" t="inlineStr">
        <is>
          <t>1993-03-02</t>
        </is>
      </c>
      <c r="Z246" t="inlineStr">
        <is>
          <t>1993-03-02</t>
        </is>
      </c>
      <c r="AA246" t="n">
        <v>532</v>
      </c>
      <c r="AB246" t="n">
        <v>442</v>
      </c>
      <c r="AC246" t="n">
        <v>448</v>
      </c>
      <c r="AD246" t="n">
        <v>5</v>
      </c>
      <c r="AE246" t="n">
        <v>5</v>
      </c>
      <c r="AF246" t="n">
        <v>17</v>
      </c>
      <c r="AG246" t="n">
        <v>17</v>
      </c>
      <c r="AH246" t="n">
        <v>6</v>
      </c>
      <c r="AI246" t="n">
        <v>6</v>
      </c>
      <c r="AJ246" t="n">
        <v>5</v>
      </c>
      <c r="AK246" t="n">
        <v>5</v>
      </c>
      <c r="AL246" t="n">
        <v>8</v>
      </c>
      <c r="AM246" t="n">
        <v>8</v>
      </c>
      <c r="AN246" t="n">
        <v>3</v>
      </c>
      <c r="AO246" t="n">
        <v>3</v>
      </c>
      <c r="AP246" t="n">
        <v>0</v>
      </c>
      <c r="AQ246" t="n">
        <v>0</v>
      </c>
      <c r="AR246" t="inlineStr">
        <is>
          <t>No</t>
        </is>
      </c>
      <c r="AS246" t="inlineStr">
        <is>
          <t>Yes</t>
        </is>
      </c>
      <c r="AT246">
        <f>HYPERLINK("http://catalog.hathitrust.org/Record/000770573","HathiTrust Record")</f>
        <v/>
      </c>
      <c r="AU246">
        <f>HYPERLINK("https://creighton-primo.hosted.exlibrisgroup.com/primo-explore/search?tab=default_tab&amp;search_scope=EVERYTHING&amp;vid=01CRU&amp;lang=en_US&amp;offset=0&amp;query=any,contains,991000028329702656","Catalog Record")</f>
        <v/>
      </c>
      <c r="AV246">
        <f>HYPERLINK("http://www.worldcat.org/oclc/8590488","WorldCat Record")</f>
        <v/>
      </c>
      <c r="AW246" t="inlineStr">
        <is>
          <t>43002858:eng</t>
        </is>
      </c>
      <c r="AX246" t="inlineStr">
        <is>
          <t>8590488</t>
        </is>
      </c>
      <c r="AY246" t="inlineStr">
        <is>
          <t>991000028329702656</t>
        </is>
      </c>
      <c r="AZ246" t="inlineStr">
        <is>
          <t>991000028329702656</t>
        </is>
      </c>
      <c r="BA246" t="inlineStr">
        <is>
          <t>2272053530002656</t>
        </is>
      </c>
      <c r="BB246" t="inlineStr">
        <is>
          <t>BOOK</t>
        </is>
      </c>
      <c r="BD246" t="inlineStr">
        <is>
          <t>9780471877097</t>
        </is>
      </c>
      <c r="BE246" t="inlineStr">
        <is>
          <t>32285001560902</t>
        </is>
      </c>
      <c r="BF246" t="inlineStr">
        <is>
          <t>893701770</t>
        </is>
      </c>
    </row>
    <row r="247">
      <c r="B247" t="inlineStr">
        <is>
          <t>CURAL</t>
        </is>
      </c>
      <c r="C247" t="inlineStr">
        <is>
          <t>SHELVES</t>
        </is>
      </c>
      <c r="D247" t="inlineStr">
        <is>
          <t>QP321 .H86 1986</t>
        </is>
      </c>
      <c r="E247" t="inlineStr">
        <is>
          <t>0                      QP 0321000H  86          1986</t>
        </is>
      </c>
      <c r="F247" t="inlineStr">
        <is>
          <t>Human muscle power / edited by Norman L. Jones, Neil McCartney, and Alan J. McComas.</t>
        </is>
      </c>
      <c r="H247" t="inlineStr">
        <is>
          <t>No</t>
        </is>
      </c>
      <c r="I247" t="inlineStr">
        <is>
          <t>1</t>
        </is>
      </c>
      <c r="J247" t="inlineStr">
        <is>
          <t>No</t>
        </is>
      </c>
      <c r="K247" t="inlineStr">
        <is>
          <t>No</t>
        </is>
      </c>
      <c r="L247" t="inlineStr">
        <is>
          <t>0</t>
        </is>
      </c>
      <c r="N247" t="inlineStr">
        <is>
          <t>Champaign, IL : Human Kinetics Publishers, c1986.</t>
        </is>
      </c>
      <c r="O247" t="inlineStr">
        <is>
          <t>1986</t>
        </is>
      </c>
      <c r="Q247" t="inlineStr">
        <is>
          <t>eng</t>
        </is>
      </c>
      <c r="R247" t="inlineStr">
        <is>
          <t>ilu</t>
        </is>
      </c>
      <c r="T247" t="inlineStr">
        <is>
          <t xml:space="preserve">QP </t>
        </is>
      </c>
      <c r="U247" t="n">
        <v>9</v>
      </c>
      <c r="V247" t="n">
        <v>9</v>
      </c>
      <c r="W247" t="inlineStr">
        <is>
          <t>2008-02-19</t>
        </is>
      </c>
      <c r="X247" t="inlineStr">
        <is>
          <t>2008-02-19</t>
        </is>
      </c>
      <c r="Y247" t="inlineStr">
        <is>
          <t>1993-03-02</t>
        </is>
      </c>
      <c r="Z247" t="inlineStr">
        <is>
          <t>1993-03-02</t>
        </is>
      </c>
      <c r="AA247" t="n">
        <v>416</v>
      </c>
      <c r="AB247" t="n">
        <v>307</v>
      </c>
      <c r="AC247" t="n">
        <v>312</v>
      </c>
      <c r="AD247" t="n">
        <v>3</v>
      </c>
      <c r="AE247" t="n">
        <v>3</v>
      </c>
      <c r="AF247" t="n">
        <v>9</v>
      </c>
      <c r="AG247" t="n">
        <v>9</v>
      </c>
      <c r="AH247" t="n">
        <v>5</v>
      </c>
      <c r="AI247" t="n">
        <v>5</v>
      </c>
      <c r="AJ247" t="n">
        <v>1</v>
      </c>
      <c r="AK247" t="n">
        <v>1</v>
      </c>
      <c r="AL247" t="n">
        <v>1</v>
      </c>
      <c r="AM247" t="n">
        <v>1</v>
      </c>
      <c r="AN247" t="n">
        <v>2</v>
      </c>
      <c r="AO247" t="n">
        <v>2</v>
      </c>
      <c r="AP247" t="n">
        <v>0</v>
      </c>
      <c r="AQ247" t="n">
        <v>0</v>
      </c>
      <c r="AR247" t="inlineStr">
        <is>
          <t>No</t>
        </is>
      </c>
      <c r="AS247" t="inlineStr">
        <is>
          <t>No</t>
        </is>
      </c>
      <c r="AU247">
        <f>HYPERLINK("https://creighton-primo.hosted.exlibrisgroup.com/primo-explore/search?tab=default_tab&amp;search_scope=EVERYTHING&amp;vid=01CRU&amp;lang=en_US&amp;offset=0&amp;query=any,contains,991000774829702656","Catalog Record")</f>
        <v/>
      </c>
      <c r="AV247">
        <f>HYPERLINK("http://www.worldcat.org/oclc/13063099","WorldCat Record")</f>
        <v/>
      </c>
      <c r="AW247" t="inlineStr">
        <is>
          <t>353641073:eng</t>
        </is>
      </c>
      <c r="AX247" t="inlineStr">
        <is>
          <t>13063099</t>
        </is>
      </c>
      <c r="AY247" t="inlineStr">
        <is>
          <t>991000774829702656</t>
        </is>
      </c>
      <c r="AZ247" t="inlineStr">
        <is>
          <t>991000774829702656</t>
        </is>
      </c>
      <c r="BA247" t="inlineStr">
        <is>
          <t>2257171110002656</t>
        </is>
      </c>
      <c r="BB247" t="inlineStr">
        <is>
          <t>BOOK</t>
        </is>
      </c>
      <c r="BD247" t="inlineStr">
        <is>
          <t>9780873220040</t>
        </is>
      </c>
      <c r="BE247" t="inlineStr">
        <is>
          <t>32285001560910</t>
        </is>
      </c>
      <c r="BF247" t="inlineStr">
        <is>
          <t>893771952</t>
        </is>
      </c>
    </row>
    <row r="248">
      <c r="B248" t="inlineStr">
        <is>
          <t>CURAL</t>
        </is>
      </c>
      <c r="C248" t="inlineStr">
        <is>
          <t>SHELVES</t>
        </is>
      </c>
      <c r="D248" t="inlineStr">
        <is>
          <t>QP321 .L62 1992</t>
        </is>
      </c>
      <c r="E248" t="inlineStr">
        <is>
          <t>0                      QP 0321000L  62          1992</t>
        </is>
      </c>
      <c r="F248" t="inlineStr">
        <is>
          <t>Skeletal muscle structure and function : implications for rehabilitation and sports medicine / Richard L. Lieber.</t>
        </is>
      </c>
      <c r="H248" t="inlineStr">
        <is>
          <t>No</t>
        </is>
      </c>
      <c r="I248" t="inlineStr">
        <is>
          <t>1</t>
        </is>
      </c>
      <c r="J248" t="inlineStr">
        <is>
          <t>No</t>
        </is>
      </c>
      <c r="K248" t="inlineStr">
        <is>
          <t>No</t>
        </is>
      </c>
      <c r="L248" t="inlineStr">
        <is>
          <t>0</t>
        </is>
      </c>
      <c r="M248" t="inlineStr">
        <is>
          <t>Lieber, Richard L.</t>
        </is>
      </c>
      <c r="N248" t="inlineStr">
        <is>
          <t>Baltimore : Williams &amp; Wilkins, c1992.</t>
        </is>
      </c>
      <c r="O248" t="inlineStr">
        <is>
          <t>1992</t>
        </is>
      </c>
      <c r="Q248" t="inlineStr">
        <is>
          <t>eng</t>
        </is>
      </c>
      <c r="R248" t="inlineStr">
        <is>
          <t>mdu</t>
        </is>
      </c>
      <c r="T248" t="inlineStr">
        <is>
          <t xml:space="preserve">QP </t>
        </is>
      </c>
      <c r="U248" t="n">
        <v>5</v>
      </c>
      <c r="V248" t="n">
        <v>5</v>
      </c>
      <c r="W248" t="inlineStr">
        <is>
          <t>2008-02-15</t>
        </is>
      </c>
      <c r="X248" t="inlineStr">
        <is>
          <t>2008-02-15</t>
        </is>
      </c>
      <c r="Y248" t="inlineStr">
        <is>
          <t>1997-02-06</t>
        </is>
      </c>
      <c r="Z248" t="inlineStr">
        <is>
          <t>1997-02-06</t>
        </is>
      </c>
      <c r="AA248" t="n">
        <v>299</v>
      </c>
      <c r="AB248" t="n">
        <v>221</v>
      </c>
      <c r="AC248" t="n">
        <v>228</v>
      </c>
      <c r="AD248" t="n">
        <v>2</v>
      </c>
      <c r="AE248" t="n">
        <v>2</v>
      </c>
      <c r="AF248" t="n">
        <v>11</v>
      </c>
      <c r="AG248" t="n">
        <v>11</v>
      </c>
      <c r="AH248" t="n">
        <v>6</v>
      </c>
      <c r="AI248" t="n">
        <v>6</v>
      </c>
      <c r="AJ248" t="n">
        <v>2</v>
      </c>
      <c r="AK248" t="n">
        <v>2</v>
      </c>
      <c r="AL248" t="n">
        <v>5</v>
      </c>
      <c r="AM248" t="n">
        <v>5</v>
      </c>
      <c r="AN248" t="n">
        <v>1</v>
      </c>
      <c r="AO248" t="n">
        <v>1</v>
      </c>
      <c r="AP248" t="n">
        <v>0</v>
      </c>
      <c r="AQ248" t="n">
        <v>0</v>
      </c>
      <c r="AR248" t="inlineStr">
        <is>
          <t>No</t>
        </is>
      </c>
      <c r="AS248" t="inlineStr">
        <is>
          <t>Yes</t>
        </is>
      </c>
      <c r="AT248">
        <f>HYPERLINK("http://catalog.hathitrust.org/Record/002549828","HathiTrust Record")</f>
        <v/>
      </c>
      <c r="AU248">
        <f>HYPERLINK("https://creighton-primo.hosted.exlibrisgroup.com/primo-explore/search?tab=default_tab&amp;search_scope=EVERYTHING&amp;vid=01CRU&amp;lang=en_US&amp;offset=0&amp;query=any,contains,991001937639702656","Catalog Record")</f>
        <v/>
      </c>
      <c r="AV248">
        <f>HYPERLINK("http://www.worldcat.org/oclc/24469256","WorldCat Record")</f>
        <v/>
      </c>
      <c r="AW248" t="inlineStr">
        <is>
          <t>325094780:eng</t>
        </is>
      </c>
      <c r="AX248" t="inlineStr">
        <is>
          <t>24469256</t>
        </is>
      </c>
      <c r="AY248" t="inlineStr">
        <is>
          <t>991001937639702656</t>
        </is>
      </c>
      <c r="AZ248" t="inlineStr">
        <is>
          <t>991001937639702656</t>
        </is>
      </c>
      <c r="BA248" t="inlineStr">
        <is>
          <t>2272347500002656</t>
        </is>
      </c>
      <c r="BB248" t="inlineStr">
        <is>
          <t>BOOK</t>
        </is>
      </c>
      <c r="BD248" t="inlineStr">
        <is>
          <t>9780683050264</t>
        </is>
      </c>
      <c r="BE248" t="inlineStr">
        <is>
          <t>32285002414422</t>
        </is>
      </c>
      <c r="BF248" t="inlineStr">
        <is>
          <t>893340855</t>
        </is>
      </c>
    </row>
    <row r="249">
      <c r="B249" t="inlineStr">
        <is>
          <t>CURAL</t>
        </is>
      </c>
      <c r="C249" t="inlineStr">
        <is>
          <t>SHELVES</t>
        </is>
      </c>
      <c r="D249" t="inlineStr">
        <is>
          <t>QP321 .M3376 1996</t>
        </is>
      </c>
      <c r="E249" t="inlineStr">
        <is>
          <t>0                      QP 0321000M  3376        1996</t>
        </is>
      </c>
      <c r="F249" t="inlineStr">
        <is>
          <t>Skeletal muscle : form and function / Alan J. McComas.</t>
        </is>
      </c>
      <c r="H249" t="inlineStr">
        <is>
          <t>No</t>
        </is>
      </c>
      <c r="I249" t="inlineStr">
        <is>
          <t>1</t>
        </is>
      </c>
      <c r="J249" t="inlineStr">
        <is>
          <t>No</t>
        </is>
      </c>
      <c r="K249" t="inlineStr">
        <is>
          <t>No</t>
        </is>
      </c>
      <c r="L249" t="inlineStr">
        <is>
          <t>0</t>
        </is>
      </c>
      <c r="M249" t="inlineStr">
        <is>
          <t>McComas, Alan J.</t>
        </is>
      </c>
      <c r="N249" t="inlineStr">
        <is>
          <t>Champaign, IL : Human Kinetics, c1996.</t>
        </is>
      </c>
      <c r="O249" t="inlineStr">
        <is>
          <t>1996</t>
        </is>
      </c>
      <c r="Q249" t="inlineStr">
        <is>
          <t>eng</t>
        </is>
      </c>
      <c r="R249" t="inlineStr">
        <is>
          <t>ilu</t>
        </is>
      </c>
      <c r="T249" t="inlineStr">
        <is>
          <t xml:space="preserve">QP </t>
        </is>
      </c>
      <c r="U249" t="n">
        <v>5</v>
      </c>
      <c r="V249" t="n">
        <v>5</v>
      </c>
      <c r="W249" t="inlineStr">
        <is>
          <t>2008-02-24</t>
        </is>
      </c>
      <c r="X249" t="inlineStr">
        <is>
          <t>2008-02-24</t>
        </is>
      </c>
      <c r="Y249" t="inlineStr">
        <is>
          <t>1998-03-12</t>
        </is>
      </c>
      <c r="Z249" t="inlineStr">
        <is>
          <t>1998-03-12</t>
        </is>
      </c>
      <c r="AA249" t="n">
        <v>614</v>
      </c>
      <c r="AB249" t="n">
        <v>457</v>
      </c>
      <c r="AC249" t="n">
        <v>464</v>
      </c>
      <c r="AD249" t="n">
        <v>4</v>
      </c>
      <c r="AE249" t="n">
        <v>4</v>
      </c>
      <c r="AF249" t="n">
        <v>17</v>
      </c>
      <c r="AG249" t="n">
        <v>17</v>
      </c>
      <c r="AH249" t="n">
        <v>7</v>
      </c>
      <c r="AI249" t="n">
        <v>7</v>
      </c>
      <c r="AJ249" t="n">
        <v>3</v>
      </c>
      <c r="AK249" t="n">
        <v>3</v>
      </c>
      <c r="AL249" t="n">
        <v>7</v>
      </c>
      <c r="AM249" t="n">
        <v>7</v>
      </c>
      <c r="AN249" t="n">
        <v>3</v>
      </c>
      <c r="AO249" t="n">
        <v>3</v>
      </c>
      <c r="AP249" t="n">
        <v>0</v>
      </c>
      <c r="AQ249" t="n">
        <v>0</v>
      </c>
      <c r="AR249" t="inlineStr">
        <is>
          <t>No</t>
        </is>
      </c>
      <c r="AS249" t="inlineStr">
        <is>
          <t>Yes</t>
        </is>
      </c>
      <c r="AT249">
        <f>HYPERLINK("http://catalog.hathitrust.org/Record/003100607","HathiTrust Record")</f>
        <v/>
      </c>
      <c r="AU249">
        <f>HYPERLINK("https://creighton-primo.hosted.exlibrisgroup.com/primo-explore/search?tab=default_tab&amp;search_scope=EVERYTHING&amp;vid=01CRU&amp;lang=en_US&amp;offset=0&amp;query=any,contains,991002528799702656","Catalog Record")</f>
        <v/>
      </c>
      <c r="AV249">
        <f>HYPERLINK("http://www.worldcat.org/oclc/32859687","WorldCat Record")</f>
        <v/>
      </c>
      <c r="AW249" t="inlineStr">
        <is>
          <t>3373127769:eng</t>
        </is>
      </c>
      <c r="AX249" t="inlineStr">
        <is>
          <t>32859687</t>
        </is>
      </c>
      <c r="AY249" t="inlineStr">
        <is>
          <t>991002528799702656</t>
        </is>
      </c>
      <c r="AZ249" t="inlineStr">
        <is>
          <t>991002528799702656</t>
        </is>
      </c>
      <c r="BA249" t="inlineStr">
        <is>
          <t>2263017670002656</t>
        </is>
      </c>
      <c r="BB249" t="inlineStr">
        <is>
          <t>BOOK</t>
        </is>
      </c>
      <c r="BD249" t="inlineStr">
        <is>
          <t>9780873227803</t>
        </is>
      </c>
      <c r="BE249" t="inlineStr">
        <is>
          <t>32285003357752</t>
        </is>
      </c>
      <c r="BF249" t="inlineStr">
        <is>
          <t>893504498</t>
        </is>
      </c>
    </row>
    <row r="250">
      <c r="B250" t="inlineStr">
        <is>
          <t>CURAL</t>
        </is>
      </c>
      <c r="C250" t="inlineStr">
        <is>
          <t>SHELVES</t>
        </is>
      </c>
      <c r="D250" t="inlineStr">
        <is>
          <t>QP321 .M338 1984</t>
        </is>
      </c>
      <c r="E250" t="inlineStr">
        <is>
          <t>0                      QP 0321000M  338         1984</t>
        </is>
      </c>
      <c r="F250" t="inlineStr">
        <is>
          <t>Muscles, reflexes, and locomotion / Thomas A. McMahon.</t>
        </is>
      </c>
      <c r="H250" t="inlineStr">
        <is>
          <t>No</t>
        </is>
      </c>
      <c r="I250" t="inlineStr">
        <is>
          <t>1</t>
        </is>
      </c>
      <c r="J250" t="inlineStr">
        <is>
          <t>No</t>
        </is>
      </c>
      <c r="K250" t="inlineStr">
        <is>
          <t>No</t>
        </is>
      </c>
      <c r="L250" t="inlineStr">
        <is>
          <t>0</t>
        </is>
      </c>
      <c r="M250" t="inlineStr">
        <is>
          <t>McMahon, Thomas A., 1943-1999.</t>
        </is>
      </c>
      <c r="N250" t="inlineStr">
        <is>
          <t>Princeton, N.J. : Princeton University Press, c1984.</t>
        </is>
      </c>
      <c r="O250" t="inlineStr">
        <is>
          <t>1984</t>
        </is>
      </c>
      <c r="Q250" t="inlineStr">
        <is>
          <t>eng</t>
        </is>
      </c>
      <c r="R250" t="inlineStr">
        <is>
          <t>nju</t>
        </is>
      </c>
      <c r="T250" t="inlineStr">
        <is>
          <t xml:space="preserve">QP </t>
        </is>
      </c>
      <c r="U250" t="n">
        <v>3</v>
      </c>
      <c r="V250" t="n">
        <v>3</v>
      </c>
      <c r="W250" t="inlineStr">
        <is>
          <t>2008-02-18</t>
        </is>
      </c>
      <c r="X250" t="inlineStr">
        <is>
          <t>2008-02-18</t>
        </is>
      </c>
      <c r="Y250" t="inlineStr">
        <is>
          <t>1993-03-02</t>
        </is>
      </c>
      <c r="Z250" t="inlineStr">
        <is>
          <t>1993-03-02</t>
        </is>
      </c>
      <c r="AA250" t="n">
        <v>660</v>
      </c>
      <c r="AB250" t="n">
        <v>501</v>
      </c>
      <c r="AC250" t="n">
        <v>648</v>
      </c>
      <c r="AD250" t="n">
        <v>4</v>
      </c>
      <c r="AE250" t="n">
        <v>4</v>
      </c>
      <c r="AF250" t="n">
        <v>18</v>
      </c>
      <c r="AG250" t="n">
        <v>30</v>
      </c>
      <c r="AH250" t="n">
        <v>5</v>
      </c>
      <c r="AI250" t="n">
        <v>12</v>
      </c>
      <c r="AJ250" t="n">
        <v>3</v>
      </c>
      <c r="AK250" t="n">
        <v>7</v>
      </c>
      <c r="AL250" t="n">
        <v>9</v>
      </c>
      <c r="AM250" t="n">
        <v>15</v>
      </c>
      <c r="AN250" t="n">
        <v>3</v>
      </c>
      <c r="AO250" t="n">
        <v>3</v>
      </c>
      <c r="AP250" t="n">
        <v>0</v>
      </c>
      <c r="AQ250" t="n">
        <v>0</v>
      </c>
      <c r="AR250" t="inlineStr">
        <is>
          <t>No</t>
        </is>
      </c>
      <c r="AS250" t="inlineStr">
        <is>
          <t>No</t>
        </is>
      </c>
      <c r="AU250">
        <f>HYPERLINK("https://creighton-primo.hosted.exlibrisgroup.com/primo-explore/search?tab=default_tab&amp;search_scope=EVERYTHING&amp;vid=01CRU&amp;lang=en_US&amp;offset=0&amp;query=any,contains,991000127429702656","Catalog Record")</f>
        <v/>
      </c>
      <c r="AV250">
        <f>HYPERLINK("http://www.worldcat.org/oclc/9084571","WorldCat Record")</f>
        <v/>
      </c>
      <c r="AW250" t="inlineStr">
        <is>
          <t>312234146:eng</t>
        </is>
      </c>
      <c r="AX250" t="inlineStr">
        <is>
          <t>9084571</t>
        </is>
      </c>
      <c r="AY250" t="inlineStr">
        <is>
          <t>991000127429702656</t>
        </is>
      </c>
      <c r="AZ250" t="inlineStr">
        <is>
          <t>991000127429702656</t>
        </is>
      </c>
      <c r="BA250" t="inlineStr">
        <is>
          <t>2256488540002656</t>
        </is>
      </c>
      <c r="BB250" t="inlineStr">
        <is>
          <t>BOOK</t>
        </is>
      </c>
      <c r="BD250" t="inlineStr">
        <is>
          <t>9780691023762</t>
        </is>
      </c>
      <c r="BE250" t="inlineStr">
        <is>
          <t>32285001560944</t>
        </is>
      </c>
      <c r="BF250" t="inlineStr">
        <is>
          <t>893230891</t>
        </is>
      </c>
    </row>
    <row r="251">
      <c r="B251" t="inlineStr">
        <is>
          <t>CURAL</t>
        </is>
      </c>
      <c r="C251" t="inlineStr">
        <is>
          <t>SHELVES</t>
        </is>
      </c>
      <c r="D251" t="inlineStr">
        <is>
          <t>QP321 .S66 1970b</t>
        </is>
      </c>
      <c r="E251" t="inlineStr">
        <is>
          <t>0                      QP 0321000S  66          1970b</t>
        </is>
      </c>
      <c r="F251" t="inlineStr">
        <is>
          <t>Smooth muscle / edited by Edith Bülbring [and others]</t>
        </is>
      </c>
      <c r="H251" t="inlineStr">
        <is>
          <t>No</t>
        </is>
      </c>
      <c r="I251" t="inlineStr">
        <is>
          <t>1</t>
        </is>
      </c>
      <c r="J251" t="inlineStr">
        <is>
          <t>No</t>
        </is>
      </c>
      <c r="K251" t="inlineStr">
        <is>
          <t>No</t>
        </is>
      </c>
      <c r="L251" t="inlineStr">
        <is>
          <t>0</t>
        </is>
      </c>
      <c r="N251" t="inlineStr">
        <is>
          <t>Baltimore : Williams &amp; Wilkins, 1970.</t>
        </is>
      </c>
      <c r="O251" t="inlineStr">
        <is>
          <t>1970</t>
        </is>
      </c>
      <c r="Q251" t="inlineStr">
        <is>
          <t>eng</t>
        </is>
      </c>
      <c r="R251" t="inlineStr">
        <is>
          <t>mdu</t>
        </is>
      </c>
      <c r="T251" t="inlineStr">
        <is>
          <t xml:space="preserve">QP </t>
        </is>
      </c>
      <c r="U251" t="n">
        <v>1</v>
      </c>
      <c r="V251" t="n">
        <v>1</v>
      </c>
      <c r="W251" t="inlineStr">
        <is>
          <t>2008-02-18</t>
        </is>
      </c>
      <c r="X251" t="inlineStr">
        <is>
          <t>2008-02-18</t>
        </is>
      </c>
      <c r="Y251" t="inlineStr">
        <is>
          <t>1993-04-27</t>
        </is>
      </c>
      <c r="Z251" t="inlineStr">
        <is>
          <t>1993-04-27</t>
        </is>
      </c>
      <c r="AA251" t="n">
        <v>106</v>
      </c>
      <c r="AB251" t="n">
        <v>97</v>
      </c>
      <c r="AC251" t="n">
        <v>155</v>
      </c>
      <c r="AD251" t="n">
        <v>1</v>
      </c>
      <c r="AE251" t="n">
        <v>2</v>
      </c>
      <c r="AF251" t="n">
        <v>2</v>
      </c>
      <c r="AG251" t="n">
        <v>3</v>
      </c>
      <c r="AH251" t="n">
        <v>1</v>
      </c>
      <c r="AI251" t="n">
        <v>1</v>
      </c>
      <c r="AJ251" t="n">
        <v>0</v>
      </c>
      <c r="AK251" t="n">
        <v>0</v>
      </c>
      <c r="AL251" t="n">
        <v>1</v>
      </c>
      <c r="AM251" t="n">
        <v>1</v>
      </c>
      <c r="AN251" t="n">
        <v>0</v>
      </c>
      <c r="AO251" t="n">
        <v>1</v>
      </c>
      <c r="AP251" t="n">
        <v>0</v>
      </c>
      <c r="AQ251" t="n">
        <v>0</v>
      </c>
      <c r="AR251" t="inlineStr">
        <is>
          <t>No</t>
        </is>
      </c>
      <c r="AS251" t="inlineStr">
        <is>
          <t>No</t>
        </is>
      </c>
      <c r="AU251">
        <f>HYPERLINK("https://creighton-primo.hosted.exlibrisgroup.com/primo-explore/search?tab=default_tab&amp;search_scope=EVERYTHING&amp;vid=01CRU&amp;lang=en_US&amp;offset=0&amp;query=any,contains,991005265749702656","Catalog Record")</f>
        <v/>
      </c>
      <c r="AV251">
        <f>HYPERLINK("http://www.worldcat.org/oclc/92541","WorldCat Record")</f>
        <v/>
      </c>
      <c r="AW251" t="inlineStr">
        <is>
          <t>53934094:eng</t>
        </is>
      </c>
      <c r="AX251" t="inlineStr">
        <is>
          <t>92541</t>
        </is>
      </c>
      <c r="AY251" t="inlineStr">
        <is>
          <t>991005265749702656</t>
        </is>
      </c>
      <c r="AZ251" t="inlineStr">
        <is>
          <t>991005265749702656</t>
        </is>
      </c>
      <c r="BA251" t="inlineStr">
        <is>
          <t>2262658480002656</t>
        </is>
      </c>
      <c r="BB251" t="inlineStr">
        <is>
          <t>BOOK</t>
        </is>
      </c>
      <c r="BE251" t="inlineStr">
        <is>
          <t>32285001627388</t>
        </is>
      </c>
      <c r="BF251" t="inlineStr">
        <is>
          <t>893713764</t>
        </is>
      </c>
    </row>
    <row r="252">
      <c r="B252" t="inlineStr">
        <is>
          <t>CURAL</t>
        </is>
      </c>
      <c r="C252" t="inlineStr">
        <is>
          <t>SHELVES</t>
        </is>
      </c>
      <c r="D252" t="inlineStr">
        <is>
          <t>QP321 .S936 1974</t>
        </is>
      </c>
      <c r="E252" t="inlineStr">
        <is>
          <t>0                      QP 0321000S  936         1974</t>
        </is>
      </c>
      <c r="F252" t="inlineStr">
        <is>
          <t>Physiology of smooth muscle / edited by Edith Bülbring, M. F. Shuba.</t>
        </is>
      </c>
      <c r="H252" t="inlineStr">
        <is>
          <t>No</t>
        </is>
      </c>
      <c r="I252" t="inlineStr">
        <is>
          <t>1</t>
        </is>
      </c>
      <c r="J252" t="inlineStr">
        <is>
          <t>No</t>
        </is>
      </c>
      <c r="K252" t="inlineStr">
        <is>
          <t>No</t>
        </is>
      </c>
      <c r="L252" t="inlineStr">
        <is>
          <t>0</t>
        </is>
      </c>
      <c r="M252" t="inlineStr">
        <is>
          <t>Symposium on the Physiology of Smooth Muscles (1974 : Kiev, Ukraine)</t>
        </is>
      </c>
      <c r="N252" t="inlineStr">
        <is>
          <t>New York : Raven Press, c1976.</t>
        </is>
      </c>
      <c r="O252" t="inlineStr">
        <is>
          <t>1976</t>
        </is>
      </c>
      <c r="Q252" t="inlineStr">
        <is>
          <t>eng</t>
        </is>
      </c>
      <c r="R252" t="inlineStr">
        <is>
          <t>nyu</t>
        </is>
      </c>
      <c r="T252" t="inlineStr">
        <is>
          <t xml:space="preserve">QP </t>
        </is>
      </c>
      <c r="U252" t="n">
        <v>1</v>
      </c>
      <c r="V252" t="n">
        <v>1</v>
      </c>
      <c r="W252" t="inlineStr">
        <is>
          <t>2008-02-18</t>
        </is>
      </c>
      <c r="X252" t="inlineStr">
        <is>
          <t>2008-02-18</t>
        </is>
      </c>
      <c r="Y252" t="inlineStr">
        <is>
          <t>1993-05-05</t>
        </is>
      </c>
      <c r="Z252" t="inlineStr">
        <is>
          <t>1993-05-05</t>
        </is>
      </c>
      <c r="AA252" t="n">
        <v>264</v>
      </c>
      <c r="AB252" t="n">
        <v>177</v>
      </c>
      <c r="AC252" t="n">
        <v>180</v>
      </c>
      <c r="AD252" t="n">
        <v>2</v>
      </c>
      <c r="AE252" t="n">
        <v>2</v>
      </c>
      <c r="AF252" t="n">
        <v>4</v>
      </c>
      <c r="AG252" t="n">
        <v>4</v>
      </c>
      <c r="AH252" t="n">
        <v>0</v>
      </c>
      <c r="AI252" t="n">
        <v>0</v>
      </c>
      <c r="AJ252" t="n">
        <v>0</v>
      </c>
      <c r="AK252" t="n">
        <v>0</v>
      </c>
      <c r="AL252" t="n">
        <v>3</v>
      </c>
      <c r="AM252" t="n">
        <v>3</v>
      </c>
      <c r="AN252" t="n">
        <v>1</v>
      </c>
      <c r="AO252" t="n">
        <v>1</v>
      </c>
      <c r="AP252" t="n">
        <v>0</v>
      </c>
      <c r="AQ252" t="n">
        <v>0</v>
      </c>
      <c r="AR252" t="inlineStr">
        <is>
          <t>No</t>
        </is>
      </c>
      <c r="AS252" t="inlineStr">
        <is>
          <t>Yes</t>
        </is>
      </c>
      <c r="AT252">
        <f>HYPERLINK("http://catalog.hathitrust.org/Record/001554468","HathiTrust Record")</f>
        <v/>
      </c>
      <c r="AU252">
        <f>HYPERLINK("https://creighton-primo.hosted.exlibrisgroup.com/primo-explore/search?tab=default_tab&amp;search_scope=EVERYTHING&amp;vid=01CRU&amp;lang=en_US&amp;offset=0&amp;query=any,contains,991004040989702656","Catalog Record")</f>
        <v/>
      </c>
      <c r="AV252">
        <f>HYPERLINK("http://www.worldcat.org/oclc/2188405","WorldCat Record")</f>
        <v/>
      </c>
      <c r="AW252" t="inlineStr">
        <is>
          <t>364437941:eng</t>
        </is>
      </c>
      <c r="AX252" t="inlineStr">
        <is>
          <t>2188405</t>
        </is>
      </c>
      <c r="AY252" t="inlineStr">
        <is>
          <t>991004040989702656</t>
        </is>
      </c>
      <c r="AZ252" t="inlineStr">
        <is>
          <t>991004040989702656</t>
        </is>
      </c>
      <c r="BA252" t="inlineStr">
        <is>
          <t>2266701680002656</t>
        </is>
      </c>
      <c r="BB252" t="inlineStr">
        <is>
          <t>BOOK</t>
        </is>
      </c>
      <c r="BD252" t="inlineStr">
        <is>
          <t>9780890040515</t>
        </is>
      </c>
      <c r="BE252" t="inlineStr">
        <is>
          <t>32285001650117</t>
        </is>
      </c>
      <c r="BF252" t="inlineStr">
        <is>
          <t>893411037</t>
        </is>
      </c>
    </row>
    <row r="253">
      <c r="B253" t="inlineStr">
        <is>
          <t>CURAL</t>
        </is>
      </c>
      <c r="C253" t="inlineStr">
        <is>
          <t>SHELVES</t>
        </is>
      </c>
      <c r="D253" t="inlineStr">
        <is>
          <t>QP321 .W43 1995</t>
        </is>
      </c>
      <c r="E253" t="inlineStr">
        <is>
          <t>0                      QP 0321000W  43          1995</t>
        </is>
      </c>
      <c r="F253" t="inlineStr">
        <is>
          <t>The blood lactate response to exercise / Arthur Weltman.</t>
        </is>
      </c>
      <c r="H253" t="inlineStr">
        <is>
          <t>No</t>
        </is>
      </c>
      <c r="I253" t="inlineStr">
        <is>
          <t>1</t>
        </is>
      </c>
      <c r="J253" t="inlineStr">
        <is>
          <t>No</t>
        </is>
      </c>
      <c r="K253" t="inlineStr">
        <is>
          <t>No</t>
        </is>
      </c>
      <c r="L253" t="inlineStr">
        <is>
          <t>0</t>
        </is>
      </c>
      <c r="M253" t="inlineStr">
        <is>
          <t>Weltman, Arthur.</t>
        </is>
      </c>
      <c r="N253" t="inlineStr">
        <is>
          <t>Champaign, IL Human Kinetics, c1995.</t>
        </is>
      </c>
      <c r="O253" t="inlineStr">
        <is>
          <t>1995</t>
        </is>
      </c>
      <c r="Q253" t="inlineStr">
        <is>
          <t>eng</t>
        </is>
      </c>
      <c r="R253" t="inlineStr">
        <is>
          <t>ilu</t>
        </is>
      </c>
      <c r="S253" t="inlineStr">
        <is>
          <t>Current issues in exercise science, 1055-1352 ; monograph no. 4</t>
        </is>
      </c>
      <c r="T253" t="inlineStr">
        <is>
          <t xml:space="preserve">QP </t>
        </is>
      </c>
      <c r="U253" t="n">
        <v>6</v>
      </c>
      <c r="V253" t="n">
        <v>6</v>
      </c>
      <c r="W253" t="inlineStr">
        <is>
          <t>1999-11-29</t>
        </is>
      </c>
      <c r="X253" t="inlineStr">
        <is>
          <t>1999-11-29</t>
        </is>
      </c>
      <c r="Y253" t="inlineStr">
        <is>
          <t>1995-10-19</t>
        </is>
      </c>
      <c r="Z253" t="inlineStr">
        <is>
          <t>1995-10-19</t>
        </is>
      </c>
      <c r="AA253" t="n">
        <v>305</v>
      </c>
      <c r="AB253" t="n">
        <v>189</v>
      </c>
      <c r="AC253" t="n">
        <v>191</v>
      </c>
      <c r="AD253" t="n">
        <v>1</v>
      </c>
      <c r="AE253" t="n">
        <v>1</v>
      </c>
      <c r="AF253" t="n">
        <v>6</v>
      </c>
      <c r="AG253" t="n">
        <v>6</v>
      </c>
      <c r="AH253" t="n">
        <v>4</v>
      </c>
      <c r="AI253" t="n">
        <v>4</v>
      </c>
      <c r="AJ253" t="n">
        <v>2</v>
      </c>
      <c r="AK253" t="n">
        <v>2</v>
      </c>
      <c r="AL253" t="n">
        <v>3</v>
      </c>
      <c r="AM253" t="n">
        <v>3</v>
      </c>
      <c r="AN253" t="n">
        <v>0</v>
      </c>
      <c r="AO253" t="n">
        <v>0</v>
      </c>
      <c r="AP253" t="n">
        <v>0</v>
      </c>
      <c r="AQ253" t="n">
        <v>0</v>
      </c>
      <c r="AR253" t="inlineStr">
        <is>
          <t>No</t>
        </is>
      </c>
      <c r="AS253" t="inlineStr">
        <is>
          <t>Yes</t>
        </is>
      </c>
      <c r="AT253">
        <f>HYPERLINK("http://catalog.hathitrust.org/Record/002916199","HathiTrust Record")</f>
        <v/>
      </c>
      <c r="AU253">
        <f>HYPERLINK("https://creighton-primo.hosted.exlibrisgroup.com/primo-explore/search?tab=default_tab&amp;search_scope=EVERYTHING&amp;vid=01CRU&amp;lang=en_US&amp;offset=0&amp;query=any,contains,991002347179702656","Catalog Record")</f>
        <v/>
      </c>
      <c r="AV253">
        <f>HYPERLINK("http://www.worldcat.org/oclc/30548074","WorldCat Record")</f>
        <v/>
      </c>
      <c r="AW253" t="inlineStr">
        <is>
          <t>32837498:eng</t>
        </is>
      </c>
      <c r="AX253" t="inlineStr">
        <is>
          <t>30548074</t>
        </is>
      </c>
      <c r="AY253" t="inlineStr">
        <is>
          <t>991002347179702656</t>
        </is>
      </c>
      <c r="AZ253" t="inlineStr">
        <is>
          <t>991002347179702656</t>
        </is>
      </c>
      <c r="BA253" t="inlineStr">
        <is>
          <t>2262027780002656</t>
        </is>
      </c>
      <c r="BB253" t="inlineStr">
        <is>
          <t>BOOK</t>
        </is>
      </c>
      <c r="BD253" t="inlineStr">
        <is>
          <t>9780873227698</t>
        </is>
      </c>
      <c r="BE253" t="inlineStr">
        <is>
          <t>32285002068814</t>
        </is>
      </c>
      <c r="BF253" t="inlineStr">
        <is>
          <t>893341327</t>
        </is>
      </c>
    </row>
    <row r="254">
      <c r="B254" t="inlineStr">
        <is>
          <t>CURAL</t>
        </is>
      </c>
      <c r="C254" t="inlineStr">
        <is>
          <t>SHELVES</t>
        </is>
      </c>
      <c r="D254" t="inlineStr">
        <is>
          <t>QP33 .G65 1982</t>
        </is>
      </c>
      <c r="E254" t="inlineStr">
        <is>
          <t>0                      QP 0033000G  65          1982</t>
        </is>
      </c>
      <c r="F254" t="inlineStr">
        <is>
          <t>Animal physiology : principles and adaptations / Malcolm S. Gordon, in collaboration with George A. Bartholomew ... [et al.].</t>
        </is>
      </c>
      <c r="H254" t="inlineStr">
        <is>
          <t>No</t>
        </is>
      </c>
      <c r="I254" t="inlineStr">
        <is>
          <t>1</t>
        </is>
      </c>
      <c r="J254" t="inlineStr">
        <is>
          <t>No</t>
        </is>
      </c>
      <c r="K254" t="inlineStr">
        <is>
          <t>No</t>
        </is>
      </c>
      <c r="L254" t="inlineStr">
        <is>
          <t>0</t>
        </is>
      </c>
      <c r="M254" t="inlineStr">
        <is>
          <t>Gordon, Malcolm S.</t>
        </is>
      </c>
      <c r="N254" t="inlineStr">
        <is>
          <t>New York : Macmillan ; London : Collier Macmillan, c1982.</t>
        </is>
      </c>
      <c r="O254" t="inlineStr">
        <is>
          <t>1982</t>
        </is>
      </c>
      <c r="P254" t="inlineStr">
        <is>
          <t>4th ed.</t>
        </is>
      </c>
      <c r="Q254" t="inlineStr">
        <is>
          <t>eng</t>
        </is>
      </c>
      <c r="R254" t="inlineStr">
        <is>
          <t>nyu</t>
        </is>
      </c>
      <c r="T254" t="inlineStr">
        <is>
          <t xml:space="preserve">QP </t>
        </is>
      </c>
      <c r="U254" t="n">
        <v>17</v>
      </c>
      <c r="V254" t="n">
        <v>17</v>
      </c>
      <c r="W254" t="inlineStr">
        <is>
          <t>2009-02-28</t>
        </is>
      </c>
      <c r="X254" t="inlineStr">
        <is>
          <t>2009-02-28</t>
        </is>
      </c>
      <c r="Y254" t="inlineStr">
        <is>
          <t>1992-12-22</t>
        </is>
      </c>
      <c r="Z254" t="inlineStr">
        <is>
          <t>1992-12-22</t>
        </is>
      </c>
      <c r="AA254" t="n">
        <v>318</v>
      </c>
      <c r="AB254" t="n">
        <v>170</v>
      </c>
      <c r="AC254" t="n">
        <v>701</v>
      </c>
      <c r="AD254" t="n">
        <v>3</v>
      </c>
      <c r="AE254" t="n">
        <v>7</v>
      </c>
      <c r="AF254" t="n">
        <v>7</v>
      </c>
      <c r="AG254" t="n">
        <v>22</v>
      </c>
      <c r="AH254" t="n">
        <v>3</v>
      </c>
      <c r="AI254" t="n">
        <v>9</v>
      </c>
      <c r="AJ254" t="n">
        <v>2</v>
      </c>
      <c r="AK254" t="n">
        <v>5</v>
      </c>
      <c r="AL254" t="n">
        <v>3</v>
      </c>
      <c r="AM254" t="n">
        <v>9</v>
      </c>
      <c r="AN254" t="n">
        <v>2</v>
      </c>
      <c r="AO254" t="n">
        <v>6</v>
      </c>
      <c r="AP254" t="n">
        <v>0</v>
      </c>
      <c r="AQ254" t="n">
        <v>0</v>
      </c>
      <c r="AR254" t="inlineStr">
        <is>
          <t>No</t>
        </is>
      </c>
      <c r="AS254" t="inlineStr">
        <is>
          <t>Yes</t>
        </is>
      </c>
      <c r="AT254">
        <f>HYPERLINK("http://catalog.hathitrust.org/Record/008331238","HathiTrust Record")</f>
        <v/>
      </c>
      <c r="AU254">
        <f>HYPERLINK("https://creighton-primo.hosted.exlibrisgroup.com/primo-explore/search?tab=default_tab&amp;search_scope=EVERYTHING&amp;vid=01CRU&amp;lang=en_US&amp;offset=0&amp;query=any,contains,991005128939702656","Catalog Record")</f>
        <v/>
      </c>
      <c r="AV254">
        <f>HYPERLINK("http://www.worldcat.org/oclc/7555741","WorldCat Record")</f>
        <v/>
      </c>
      <c r="AW254" t="inlineStr">
        <is>
          <t>364194894:eng</t>
        </is>
      </c>
      <c r="AX254" t="inlineStr">
        <is>
          <t>7555741</t>
        </is>
      </c>
      <c r="AY254" t="inlineStr">
        <is>
          <t>991005128939702656</t>
        </is>
      </c>
      <c r="AZ254" t="inlineStr">
        <is>
          <t>991005128939702656</t>
        </is>
      </c>
      <c r="BA254" t="inlineStr">
        <is>
          <t>2266216720002656</t>
        </is>
      </c>
      <c r="BB254" t="inlineStr">
        <is>
          <t>BOOK</t>
        </is>
      </c>
      <c r="BD254" t="inlineStr">
        <is>
          <t>9780023453205</t>
        </is>
      </c>
      <c r="BE254" t="inlineStr">
        <is>
          <t>32285001471217</t>
        </is>
      </c>
      <c r="BF254" t="inlineStr">
        <is>
          <t>893795654</t>
        </is>
      </c>
    </row>
    <row r="255">
      <c r="B255" t="inlineStr">
        <is>
          <t>CURAL</t>
        </is>
      </c>
      <c r="C255" t="inlineStr">
        <is>
          <t>SHELVES</t>
        </is>
      </c>
      <c r="D255" t="inlineStr">
        <is>
          <t>QP33 .H6 1983</t>
        </is>
      </c>
      <c r="E255" t="inlineStr">
        <is>
          <t>0                      QP 0033000H  6           1983</t>
        </is>
      </c>
      <c r="F255" t="inlineStr">
        <is>
          <t>General and comparative physiology / William S. Hoar.</t>
        </is>
      </c>
      <c r="H255" t="inlineStr">
        <is>
          <t>No</t>
        </is>
      </c>
      <c r="I255" t="inlineStr">
        <is>
          <t>1</t>
        </is>
      </c>
      <c r="J255" t="inlineStr">
        <is>
          <t>No</t>
        </is>
      </c>
      <c r="K255" t="inlineStr">
        <is>
          <t>No</t>
        </is>
      </c>
      <c r="L255" t="inlineStr">
        <is>
          <t>0</t>
        </is>
      </c>
      <c r="M255" t="inlineStr">
        <is>
          <t>Hoar, William Stewart, 1913-2006.</t>
        </is>
      </c>
      <c r="N255" t="inlineStr">
        <is>
          <t>Englewood Cliffs, N.J. : Prentice-Hall, c1983.</t>
        </is>
      </c>
      <c r="O255" t="inlineStr">
        <is>
          <t>1983</t>
        </is>
      </c>
      <c r="P255" t="inlineStr">
        <is>
          <t>3rd ed.</t>
        </is>
      </c>
      <c r="Q255" t="inlineStr">
        <is>
          <t>eng</t>
        </is>
      </c>
      <c r="R255" t="inlineStr">
        <is>
          <t>nju</t>
        </is>
      </c>
      <c r="T255" t="inlineStr">
        <is>
          <t xml:space="preserve">QP </t>
        </is>
      </c>
      <c r="U255" t="n">
        <v>14</v>
      </c>
      <c r="V255" t="n">
        <v>14</v>
      </c>
      <c r="W255" t="inlineStr">
        <is>
          <t>2004-04-15</t>
        </is>
      </c>
      <c r="X255" t="inlineStr">
        <is>
          <t>2004-04-15</t>
        </is>
      </c>
      <c r="Y255" t="inlineStr">
        <is>
          <t>1992-02-11</t>
        </is>
      </c>
      <c r="Z255" t="inlineStr">
        <is>
          <t>1992-02-11</t>
        </is>
      </c>
      <c r="AA255" t="n">
        <v>282</v>
      </c>
      <c r="AB255" t="n">
        <v>188</v>
      </c>
      <c r="AC255" t="n">
        <v>740</v>
      </c>
      <c r="AD255" t="n">
        <v>2</v>
      </c>
      <c r="AE255" t="n">
        <v>5</v>
      </c>
      <c r="AF255" t="n">
        <v>7</v>
      </c>
      <c r="AG255" t="n">
        <v>25</v>
      </c>
      <c r="AH255" t="n">
        <v>3</v>
      </c>
      <c r="AI255" t="n">
        <v>10</v>
      </c>
      <c r="AJ255" t="n">
        <v>3</v>
      </c>
      <c r="AK255" t="n">
        <v>6</v>
      </c>
      <c r="AL255" t="n">
        <v>3</v>
      </c>
      <c r="AM255" t="n">
        <v>12</v>
      </c>
      <c r="AN255" t="n">
        <v>1</v>
      </c>
      <c r="AO255" t="n">
        <v>4</v>
      </c>
      <c r="AP255" t="n">
        <v>0</v>
      </c>
      <c r="AQ255" t="n">
        <v>0</v>
      </c>
      <c r="AR255" t="inlineStr">
        <is>
          <t>No</t>
        </is>
      </c>
      <c r="AS255" t="inlineStr">
        <is>
          <t>Yes</t>
        </is>
      </c>
      <c r="AT255">
        <f>HYPERLINK("http://catalog.hathitrust.org/Record/007471586","HathiTrust Record")</f>
        <v/>
      </c>
      <c r="AU255">
        <f>HYPERLINK("https://creighton-primo.hosted.exlibrisgroup.com/primo-explore/search?tab=default_tab&amp;search_scope=EVERYTHING&amp;vid=01CRU&amp;lang=en_US&amp;offset=0&amp;query=any,contains,991000130599702656","Catalog Record")</f>
        <v/>
      </c>
      <c r="AV255">
        <f>HYPERLINK("http://www.worldcat.org/oclc/9111125","WorldCat Record")</f>
        <v/>
      </c>
      <c r="AW255" t="inlineStr">
        <is>
          <t>1322166:eng</t>
        </is>
      </c>
      <c r="AX255" t="inlineStr">
        <is>
          <t>9111125</t>
        </is>
      </c>
      <c r="AY255" t="inlineStr">
        <is>
          <t>991000130599702656</t>
        </is>
      </c>
      <c r="AZ255" t="inlineStr">
        <is>
          <t>991000130599702656</t>
        </is>
      </c>
      <c r="BA255" t="inlineStr">
        <is>
          <t>2266593470002656</t>
        </is>
      </c>
      <c r="BB255" t="inlineStr">
        <is>
          <t>BOOK</t>
        </is>
      </c>
      <c r="BD255" t="inlineStr">
        <is>
          <t>9780133493085</t>
        </is>
      </c>
      <c r="BE255" t="inlineStr">
        <is>
          <t>32285000955855</t>
        </is>
      </c>
      <c r="BF255" t="inlineStr">
        <is>
          <t>893689457</t>
        </is>
      </c>
    </row>
    <row r="256">
      <c r="B256" t="inlineStr">
        <is>
          <t>CURAL</t>
        </is>
      </c>
      <c r="C256" t="inlineStr">
        <is>
          <t>SHELVES</t>
        </is>
      </c>
      <c r="D256" t="inlineStr">
        <is>
          <t>QP33 .W53 1999</t>
        </is>
      </c>
      <c r="E256" t="inlineStr">
        <is>
          <t>0                      QP 0033000W  53          1999</t>
        </is>
      </c>
      <c r="F256" t="inlineStr">
        <is>
          <t>Why geese don't get obese (and we do) : how evolution's strategies for survival affect our everyday lives.</t>
        </is>
      </c>
      <c r="H256" t="inlineStr">
        <is>
          <t>No</t>
        </is>
      </c>
      <c r="I256" t="inlineStr">
        <is>
          <t>1</t>
        </is>
      </c>
      <c r="J256" t="inlineStr">
        <is>
          <t>No</t>
        </is>
      </c>
      <c r="K256" t="inlineStr">
        <is>
          <t>No</t>
        </is>
      </c>
      <c r="L256" t="inlineStr">
        <is>
          <t>0</t>
        </is>
      </c>
      <c r="M256" t="inlineStr">
        <is>
          <t>Widmaier, Eric P.</t>
        </is>
      </c>
      <c r="N256" t="inlineStr">
        <is>
          <t>New York : W.H. Freeman ; Basingstoke : Macmillan, 1999.</t>
        </is>
      </c>
      <c r="O256" t="inlineStr">
        <is>
          <t>1999</t>
        </is>
      </c>
      <c r="Q256" t="inlineStr">
        <is>
          <t>eng</t>
        </is>
      </c>
      <c r="R256" t="inlineStr">
        <is>
          <t>nyu</t>
        </is>
      </c>
      <c r="T256" t="inlineStr">
        <is>
          <t xml:space="preserve">QP </t>
        </is>
      </c>
      <c r="U256" t="n">
        <v>1</v>
      </c>
      <c r="V256" t="n">
        <v>1</v>
      </c>
      <c r="W256" t="inlineStr">
        <is>
          <t>2001-12-05</t>
        </is>
      </c>
      <c r="X256" t="inlineStr">
        <is>
          <t>2001-12-05</t>
        </is>
      </c>
      <c r="Y256" t="inlineStr">
        <is>
          <t>2001-12-04</t>
        </is>
      </c>
      <c r="Z256" t="inlineStr">
        <is>
          <t>2001-12-04</t>
        </is>
      </c>
      <c r="AA256" t="n">
        <v>68</v>
      </c>
      <c r="AB256" t="n">
        <v>52</v>
      </c>
      <c r="AC256" t="n">
        <v>828</v>
      </c>
      <c r="AD256" t="n">
        <v>1</v>
      </c>
      <c r="AE256" t="n">
        <v>3</v>
      </c>
      <c r="AF256" t="n">
        <v>0</v>
      </c>
      <c r="AG256" t="n">
        <v>25</v>
      </c>
      <c r="AH256" t="n">
        <v>0</v>
      </c>
      <c r="AI256" t="n">
        <v>11</v>
      </c>
      <c r="AJ256" t="n">
        <v>0</v>
      </c>
      <c r="AK256" t="n">
        <v>6</v>
      </c>
      <c r="AL256" t="n">
        <v>0</v>
      </c>
      <c r="AM256" t="n">
        <v>16</v>
      </c>
      <c r="AN256" t="n">
        <v>0</v>
      </c>
      <c r="AO256" t="n">
        <v>2</v>
      </c>
      <c r="AP256" t="n">
        <v>0</v>
      </c>
      <c r="AQ256" t="n">
        <v>0</v>
      </c>
      <c r="AR256" t="inlineStr">
        <is>
          <t>No</t>
        </is>
      </c>
      <c r="AS256" t="inlineStr">
        <is>
          <t>No</t>
        </is>
      </c>
      <c r="AU256">
        <f>HYPERLINK("https://creighton-primo.hosted.exlibrisgroup.com/primo-explore/search?tab=default_tab&amp;search_scope=EVERYTHING&amp;vid=01CRU&amp;lang=en_US&amp;offset=0&amp;query=any,contains,991003667749702656","Catalog Record")</f>
        <v/>
      </c>
      <c r="AV256">
        <f>HYPERLINK("http://www.worldcat.org/oclc/43906425","WorldCat Record")</f>
        <v/>
      </c>
      <c r="AW256" t="inlineStr">
        <is>
          <t>836988389:eng</t>
        </is>
      </c>
      <c r="AX256" t="inlineStr">
        <is>
          <t>43906425</t>
        </is>
      </c>
      <c r="AY256" t="inlineStr">
        <is>
          <t>991003667749702656</t>
        </is>
      </c>
      <c r="AZ256" t="inlineStr">
        <is>
          <t>991003667749702656</t>
        </is>
      </c>
      <c r="BA256" t="inlineStr">
        <is>
          <t>2267561210002656</t>
        </is>
      </c>
      <c r="BB256" t="inlineStr">
        <is>
          <t>BOOK</t>
        </is>
      </c>
      <c r="BD256" t="inlineStr">
        <is>
          <t>9780716736493</t>
        </is>
      </c>
      <c r="BE256" t="inlineStr">
        <is>
          <t>32285004425673</t>
        </is>
      </c>
      <c r="BF256" t="inlineStr">
        <is>
          <t>893592747</t>
        </is>
      </c>
    </row>
    <row r="257">
      <c r="B257" t="inlineStr">
        <is>
          <t>CURAL</t>
        </is>
      </c>
      <c r="C257" t="inlineStr">
        <is>
          <t>SHELVES</t>
        </is>
      </c>
      <c r="D257" t="inlineStr">
        <is>
          <t>QP33 .W58 1992</t>
        </is>
      </c>
      <c r="E257" t="inlineStr">
        <is>
          <t>0                      QP 0033000W  58          1992</t>
        </is>
      </c>
      <c r="F257" t="inlineStr">
        <is>
          <t>Comparative animal physiology / Philip C. Withers.</t>
        </is>
      </c>
      <c r="H257" t="inlineStr">
        <is>
          <t>No</t>
        </is>
      </c>
      <c r="I257" t="inlineStr">
        <is>
          <t>1</t>
        </is>
      </c>
      <c r="J257" t="inlineStr">
        <is>
          <t>No</t>
        </is>
      </c>
      <c r="K257" t="inlineStr">
        <is>
          <t>No</t>
        </is>
      </c>
      <c r="L257" t="inlineStr">
        <is>
          <t>0</t>
        </is>
      </c>
      <c r="M257" t="inlineStr">
        <is>
          <t>Withers, Philip C. (Philip Carew)</t>
        </is>
      </c>
      <c r="N257" t="inlineStr">
        <is>
          <t>Fort Worth : Saunders College Pub., c1992.</t>
        </is>
      </c>
      <c r="O257" t="inlineStr">
        <is>
          <t>1992</t>
        </is>
      </c>
      <c r="Q257" t="inlineStr">
        <is>
          <t>eng</t>
        </is>
      </c>
      <c r="R257" t="inlineStr">
        <is>
          <t>txu</t>
        </is>
      </c>
      <c r="T257" t="inlineStr">
        <is>
          <t xml:space="preserve">QP </t>
        </is>
      </c>
      <c r="U257" t="n">
        <v>39</v>
      </c>
      <c r="V257" t="n">
        <v>39</v>
      </c>
      <c r="W257" t="inlineStr">
        <is>
          <t>2001-02-16</t>
        </is>
      </c>
      <c r="X257" t="inlineStr">
        <is>
          <t>2001-02-16</t>
        </is>
      </c>
      <c r="Y257" t="inlineStr">
        <is>
          <t>1994-03-11</t>
        </is>
      </c>
      <c r="Z257" t="inlineStr">
        <is>
          <t>1994-03-11</t>
        </is>
      </c>
      <c r="AA257" t="n">
        <v>284</v>
      </c>
      <c r="AB257" t="n">
        <v>145</v>
      </c>
      <c r="AC257" t="n">
        <v>148</v>
      </c>
      <c r="AD257" t="n">
        <v>1</v>
      </c>
      <c r="AE257" t="n">
        <v>1</v>
      </c>
      <c r="AF257" t="n">
        <v>3</v>
      </c>
      <c r="AG257" t="n">
        <v>3</v>
      </c>
      <c r="AH257" t="n">
        <v>1</v>
      </c>
      <c r="AI257" t="n">
        <v>1</v>
      </c>
      <c r="AJ257" t="n">
        <v>2</v>
      </c>
      <c r="AK257" t="n">
        <v>2</v>
      </c>
      <c r="AL257" t="n">
        <v>3</v>
      </c>
      <c r="AM257" t="n">
        <v>3</v>
      </c>
      <c r="AN257" t="n">
        <v>0</v>
      </c>
      <c r="AO257" t="n">
        <v>0</v>
      </c>
      <c r="AP257" t="n">
        <v>0</v>
      </c>
      <c r="AQ257" t="n">
        <v>0</v>
      </c>
      <c r="AR257" t="inlineStr">
        <is>
          <t>No</t>
        </is>
      </c>
      <c r="AS257" t="inlineStr">
        <is>
          <t>Yes</t>
        </is>
      </c>
      <c r="AT257">
        <f>HYPERLINK("http://catalog.hathitrust.org/Record/003131123","HathiTrust Record")</f>
        <v/>
      </c>
      <c r="AU257">
        <f>HYPERLINK("https://creighton-primo.hosted.exlibrisgroup.com/primo-explore/search?tab=default_tab&amp;search_scope=EVERYTHING&amp;vid=01CRU&amp;lang=en_US&amp;offset=0&amp;query=any,contains,991002028389702656","Catalog Record")</f>
        <v/>
      </c>
      <c r="AV257">
        <f>HYPERLINK("http://www.worldcat.org/oclc/25820894","WorldCat Record")</f>
        <v/>
      </c>
      <c r="AW257" t="inlineStr">
        <is>
          <t>3901388235:eng</t>
        </is>
      </c>
      <c r="AX257" t="inlineStr">
        <is>
          <t>25820894</t>
        </is>
      </c>
      <c r="AY257" t="inlineStr">
        <is>
          <t>991002028389702656</t>
        </is>
      </c>
      <c r="AZ257" t="inlineStr">
        <is>
          <t>991002028389702656</t>
        </is>
      </c>
      <c r="BA257" t="inlineStr">
        <is>
          <t>2255871480002656</t>
        </is>
      </c>
      <c r="BB257" t="inlineStr">
        <is>
          <t>BOOK</t>
        </is>
      </c>
      <c r="BD257" t="inlineStr">
        <is>
          <t>9780030128479</t>
        </is>
      </c>
      <c r="BE257" t="inlineStr">
        <is>
          <t>32285001844686</t>
        </is>
      </c>
      <c r="BF257" t="inlineStr">
        <is>
          <t>893596951</t>
        </is>
      </c>
    </row>
    <row r="258">
      <c r="B258" t="inlineStr">
        <is>
          <t>CURAL</t>
        </is>
      </c>
      <c r="C258" t="inlineStr">
        <is>
          <t>SHELVES</t>
        </is>
      </c>
      <c r="D258" t="inlineStr">
        <is>
          <t>QP33.5 .C36</t>
        </is>
      </c>
      <c r="E258" t="inlineStr">
        <is>
          <t>0                      QP 0033500C  36</t>
        </is>
      </c>
      <c r="F258" t="inlineStr">
        <is>
          <t>Brain and behaviour : psychobiology of everyday life / Frank Campbell and George Singer.</t>
        </is>
      </c>
      <c r="H258" t="inlineStr">
        <is>
          <t>No</t>
        </is>
      </c>
      <c r="I258" t="inlineStr">
        <is>
          <t>1</t>
        </is>
      </c>
      <c r="J258" t="inlineStr">
        <is>
          <t>No</t>
        </is>
      </c>
      <c r="K258" t="inlineStr">
        <is>
          <t>No</t>
        </is>
      </c>
      <c r="L258" t="inlineStr">
        <is>
          <t>0</t>
        </is>
      </c>
      <c r="M258" t="inlineStr">
        <is>
          <t>Campbell, Frank.</t>
        </is>
      </c>
      <c r="N258" t="inlineStr">
        <is>
          <t>Rushcutter Bay, Australia : Pergamon Press, 1979.</t>
        </is>
      </c>
      <c r="O258" t="inlineStr">
        <is>
          <t>1979</t>
        </is>
      </c>
      <c r="Q258" t="inlineStr">
        <is>
          <t>eng</t>
        </is>
      </c>
      <c r="R258" t="inlineStr">
        <is>
          <t xml:space="preserve">at </t>
        </is>
      </c>
      <c r="T258" t="inlineStr">
        <is>
          <t xml:space="preserve">QP </t>
        </is>
      </c>
      <c r="U258" t="n">
        <v>4</v>
      </c>
      <c r="V258" t="n">
        <v>4</v>
      </c>
      <c r="W258" t="inlineStr">
        <is>
          <t>1999-10-23</t>
        </is>
      </c>
      <c r="X258" t="inlineStr">
        <is>
          <t>1999-10-23</t>
        </is>
      </c>
      <c r="Y258" t="inlineStr">
        <is>
          <t>1993-02-24</t>
        </is>
      </c>
      <c r="Z258" t="inlineStr">
        <is>
          <t>1993-02-24</t>
        </is>
      </c>
      <c r="AA258" t="n">
        <v>180</v>
      </c>
      <c r="AB258" t="n">
        <v>113</v>
      </c>
      <c r="AC258" t="n">
        <v>114</v>
      </c>
      <c r="AD258" t="n">
        <v>2</v>
      </c>
      <c r="AE258" t="n">
        <v>2</v>
      </c>
      <c r="AF258" t="n">
        <v>3</v>
      </c>
      <c r="AG258" t="n">
        <v>3</v>
      </c>
      <c r="AH258" t="n">
        <v>0</v>
      </c>
      <c r="AI258" t="n">
        <v>0</v>
      </c>
      <c r="AJ258" t="n">
        <v>1</v>
      </c>
      <c r="AK258" t="n">
        <v>1</v>
      </c>
      <c r="AL258" t="n">
        <v>2</v>
      </c>
      <c r="AM258" t="n">
        <v>2</v>
      </c>
      <c r="AN258" t="n">
        <v>1</v>
      </c>
      <c r="AO258" t="n">
        <v>1</v>
      </c>
      <c r="AP258" t="n">
        <v>0</v>
      </c>
      <c r="AQ258" t="n">
        <v>0</v>
      </c>
      <c r="AR258" t="inlineStr">
        <is>
          <t>No</t>
        </is>
      </c>
      <c r="AS258" t="inlineStr">
        <is>
          <t>Yes</t>
        </is>
      </c>
      <c r="AT258">
        <f>HYPERLINK("http://catalog.hathitrust.org/Record/009083785","HathiTrust Record")</f>
        <v/>
      </c>
      <c r="AU258">
        <f>HYPERLINK("https://creighton-primo.hosted.exlibrisgroup.com/primo-explore/search?tab=default_tab&amp;search_scope=EVERYTHING&amp;vid=01CRU&amp;lang=en_US&amp;offset=0&amp;query=any,contains,991005014989702656","Catalog Record")</f>
        <v/>
      </c>
      <c r="AV258">
        <f>HYPERLINK("http://www.worldcat.org/oclc/28999374","WorldCat Record")</f>
        <v/>
      </c>
      <c r="AW258" t="inlineStr">
        <is>
          <t>865278757:eng</t>
        </is>
      </c>
      <c r="AX258" t="inlineStr">
        <is>
          <t>28999374</t>
        </is>
      </c>
      <c r="AY258" t="inlineStr">
        <is>
          <t>991005014989702656</t>
        </is>
      </c>
      <c r="AZ258" t="inlineStr">
        <is>
          <t>991005014989702656</t>
        </is>
      </c>
      <c r="BA258" t="inlineStr">
        <is>
          <t>2255520780002656</t>
        </is>
      </c>
      <c r="BB258" t="inlineStr">
        <is>
          <t>BOOK</t>
        </is>
      </c>
      <c r="BD258" t="inlineStr">
        <is>
          <t>9780080247885</t>
        </is>
      </c>
      <c r="BE258" t="inlineStr">
        <is>
          <t>32285001548915</t>
        </is>
      </c>
      <c r="BF258" t="inlineStr">
        <is>
          <t>893594349</t>
        </is>
      </c>
    </row>
    <row r="259">
      <c r="B259" t="inlineStr">
        <is>
          <t>CURAL</t>
        </is>
      </c>
      <c r="C259" t="inlineStr">
        <is>
          <t>SHELVES</t>
        </is>
      </c>
      <c r="D259" t="inlineStr">
        <is>
          <t>QP33.5 .C66 1987</t>
        </is>
      </c>
      <c r="E259" t="inlineStr">
        <is>
          <t>0                      QP 0033500C  66          1987</t>
        </is>
      </c>
      <c r="F259" t="inlineStr">
        <is>
          <t>Comparative physiology : life in water and on land / edited by Pierre Dejours ... [et al.].</t>
        </is>
      </c>
      <c r="H259" t="inlineStr">
        <is>
          <t>No</t>
        </is>
      </c>
      <c r="I259" t="inlineStr">
        <is>
          <t>1</t>
        </is>
      </c>
      <c r="J259" t="inlineStr">
        <is>
          <t>No</t>
        </is>
      </c>
      <c r="K259" t="inlineStr">
        <is>
          <t>No</t>
        </is>
      </c>
      <c r="L259" t="inlineStr">
        <is>
          <t>0</t>
        </is>
      </c>
      <c r="N259" t="inlineStr">
        <is>
          <t>Padova : Liviana Press ; Berlin ; New York : Springer-Verlag, c1987.</t>
        </is>
      </c>
      <c r="O259" t="inlineStr">
        <is>
          <t>1987</t>
        </is>
      </c>
      <c r="Q259" t="inlineStr">
        <is>
          <t>eng</t>
        </is>
      </c>
      <c r="R259" t="inlineStr">
        <is>
          <t xml:space="preserve">it </t>
        </is>
      </c>
      <c r="S259" t="inlineStr">
        <is>
          <t>FIDIA research series ; v. 9</t>
        </is>
      </c>
      <c r="T259" t="inlineStr">
        <is>
          <t xml:space="preserve">QP </t>
        </is>
      </c>
      <c r="U259" t="n">
        <v>4</v>
      </c>
      <c r="V259" t="n">
        <v>4</v>
      </c>
      <c r="W259" t="inlineStr">
        <is>
          <t>1998-02-09</t>
        </is>
      </c>
      <c r="X259" t="inlineStr">
        <is>
          <t>1998-02-09</t>
        </is>
      </c>
      <c r="Y259" t="inlineStr">
        <is>
          <t>1993-02-24</t>
        </is>
      </c>
      <c r="Z259" t="inlineStr">
        <is>
          <t>1993-02-24</t>
        </is>
      </c>
      <c r="AA259" t="n">
        <v>223</v>
      </c>
      <c r="AB259" t="n">
        <v>147</v>
      </c>
      <c r="AC259" t="n">
        <v>147</v>
      </c>
      <c r="AD259" t="n">
        <v>1</v>
      </c>
      <c r="AE259" t="n">
        <v>1</v>
      </c>
      <c r="AF259" t="n">
        <v>6</v>
      </c>
      <c r="AG259" t="n">
        <v>6</v>
      </c>
      <c r="AH259" t="n">
        <v>2</v>
      </c>
      <c r="AI259" t="n">
        <v>2</v>
      </c>
      <c r="AJ259" t="n">
        <v>1</v>
      </c>
      <c r="AK259" t="n">
        <v>1</v>
      </c>
      <c r="AL259" t="n">
        <v>4</v>
      </c>
      <c r="AM259" t="n">
        <v>4</v>
      </c>
      <c r="AN259" t="n">
        <v>0</v>
      </c>
      <c r="AO259" t="n">
        <v>0</v>
      </c>
      <c r="AP259" t="n">
        <v>0</v>
      </c>
      <c r="AQ259" t="n">
        <v>0</v>
      </c>
      <c r="AR259" t="inlineStr">
        <is>
          <t>No</t>
        </is>
      </c>
      <c r="AS259" t="inlineStr">
        <is>
          <t>No</t>
        </is>
      </c>
      <c r="AU259">
        <f>HYPERLINK("https://creighton-primo.hosted.exlibrisgroup.com/primo-explore/search?tab=default_tab&amp;search_scope=EVERYTHING&amp;vid=01CRU&amp;lang=en_US&amp;offset=0&amp;query=any,contains,991001182639702656","Catalog Record")</f>
        <v/>
      </c>
      <c r="AV259">
        <f>HYPERLINK("http://www.worldcat.org/oclc/18781452","WorldCat Record")</f>
        <v/>
      </c>
      <c r="AW259" t="inlineStr">
        <is>
          <t>365119564:eng</t>
        </is>
      </c>
      <c r="AX259" t="inlineStr">
        <is>
          <t>18781452</t>
        </is>
      </c>
      <c r="AY259" t="inlineStr">
        <is>
          <t>991001182639702656</t>
        </is>
      </c>
      <c r="AZ259" t="inlineStr">
        <is>
          <t>991001182639702656</t>
        </is>
      </c>
      <c r="BA259" t="inlineStr">
        <is>
          <t>2260893230002656</t>
        </is>
      </c>
      <c r="BB259" t="inlineStr">
        <is>
          <t>BOOK</t>
        </is>
      </c>
      <c r="BD259" t="inlineStr">
        <is>
          <t>9788876754289</t>
        </is>
      </c>
      <c r="BE259" t="inlineStr">
        <is>
          <t>32285001548923</t>
        </is>
      </c>
      <c r="BF259" t="inlineStr">
        <is>
          <t>893778621</t>
        </is>
      </c>
    </row>
    <row r="260">
      <c r="B260" t="inlineStr">
        <is>
          <t>CURAL</t>
        </is>
      </c>
      <c r="C260" t="inlineStr">
        <is>
          <t>SHELVES</t>
        </is>
      </c>
      <c r="D260" t="inlineStr">
        <is>
          <t>QP33.5 .H49 1996</t>
        </is>
      </c>
      <c r="E260" t="inlineStr">
        <is>
          <t>0                      QP 0033500H  49          1996</t>
        </is>
      </c>
      <c r="F260" t="inlineStr">
        <is>
          <t>Applied body composition assessment / Vivian H. Heyward, Lisa M. Stolarczyk.</t>
        </is>
      </c>
      <c r="H260" t="inlineStr">
        <is>
          <t>No</t>
        </is>
      </c>
      <c r="I260" t="inlineStr">
        <is>
          <t>1</t>
        </is>
      </c>
      <c r="J260" t="inlineStr">
        <is>
          <t>No</t>
        </is>
      </c>
      <c r="K260" t="inlineStr">
        <is>
          <t>Yes</t>
        </is>
      </c>
      <c r="L260" t="inlineStr">
        <is>
          <t>0</t>
        </is>
      </c>
      <c r="M260" t="inlineStr">
        <is>
          <t>Heyward, Vivian H.</t>
        </is>
      </c>
      <c r="N260" t="inlineStr">
        <is>
          <t>Champaign, IL : Human Kinetics, c1996.</t>
        </is>
      </c>
      <c r="O260" t="inlineStr">
        <is>
          <t>1996</t>
        </is>
      </c>
      <c r="Q260" t="inlineStr">
        <is>
          <t>eng</t>
        </is>
      </c>
      <c r="R260" t="inlineStr">
        <is>
          <t>ilu</t>
        </is>
      </c>
      <c r="T260" t="inlineStr">
        <is>
          <t xml:space="preserve">QP </t>
        </is>
      </c>
      <c r="U260" t="n">
        <v>5</v>
      </c>
      <c r="V260" t="n">
        <v>5</v>
      </c>
      <c r="W260" t="inlineStr">
        <is>
          <t>2004-03-18</t>
        </is>
      </c>
      <c r="X260" t="inlineStr">
        <is>
          <t>2004-03-18</t>
        </is>
      </c>
      <c r="Y260" t="inlineStr">
        <is>
          <t>1996-09-26</t>
        </is>
      </c>
      <c r="Z260" t="inlineStr">
        <is>
          <t>1996-09-26</t>
        </is>
      </c>
      <c r="AA260" t="n">
        <v>446</v>
      </c>
      <c r="AB260" t="n">
        <v>316</v>
      </c>
      <c r="AC260" t="n">
        <v>513</v>
      </c>
      <c r="AD260" t="n">
        <v>1</v>
      </c>
      <c r="AE260" t="n">
        <v>6</v>
      </c>
      <c r="AF260" t="n">
        <v>8</v>
      </c>
      <c r="AG260" t="n">
        <v>20</v>
      </c>
      <c r="AH260" t="n">
        <v>5</v>
      </c>
      <c r="AI260" t="n">
        <v>10</v>
      </c>
      <c r="AJ260" t="n">
        <v>0</v>
      </c>
      <c r="AK260" t="n">
        <v>2</v>
      </c>
      <c r="AL260" t="n">
        <v>6</v>
      </c>
      <c r="AM260" t="n">
        <v>9</v>
      </c>
      <c r="AN260" t="n">
        <v>0</v>
      </c>
      <c r="AO260" t="n">
        <v>5</v>
      </c>
      <c r="AP260" t="n">
        <v>0</v>
      </c>
      <c r="AQ260" t="n">
        <v>0</v>
      </c>
      <c r="AR260" t="inlineStr">
        <is>
          <t>No</t>
        </is>
      </c>
      <c r="AS260" t="inlineStr">
        <is>
          <t>Yes</t>
        </is>
      </c>
      <c r="AT260">
        <f>HYPERLINK("http://catalog.hathitrust.org/Record/003036349","HathiTrust Record")</f>
        <v/>
      </c>
      <c r="AU260">
        <f>HYPERLINK("https://creighton-primo.hosted.exlibrisgroup.com/primo-explore/search?tab=default_tab&amp;search_scope=EVERYTHING&amp;vid=01CRU&amp;lang=en_US&amp;offset=0&amp;query=any,contains,991002527019702656","Catalog Record")</f>
        <v/>
      </c>
      <c r="AV260">
        <f>HYPERLINK("http://www.worldcat.org/oclc/32855043","WorldCat Record")</f>
        <v/>
      </c>
      <c r="AW260" t="inlineStr">
        <is>
          <t>17691:eng</t>
        </is>
      </c>
      <c r="AX260" t="inlineStr">
        <is>
          <t>32855043</t>
        </is>
      </c>
      <c r="AY260" t="inlineStr">
        <is>
          <t>991002527019702656</t>
        </is>
      </c>
      <c r="AZ260" t="inlineStr">
        <is>
          <t>991002527019702656</t>
        </is>
      </c>
      <c r="BA260" t="inlineStr">
        <is>
          <t>2269793710002656</t>
        </is>
      </c>
      <c r="BB260" t="inlineStr">
        <is>
          <t>BOOK</t>
        </is>
      </c>
      <c r="BD260" t="inlineStr">
        <is>
          <t>9780873226530</t>
        </is>
      </c>
      <c r="BE260" t="inlineStr">
        <is>
          <t>32285002320165</t>
        </is>
      </c>
      <c r="BF260" t="inlineStr">
        <is>
          <t>893892668</t>
        </is>
      </c>
    </row>
    <row r="261">
      <c r="B261" t="inlineStr">
        <is>
          <t>CURAL</t>
        </is>
      </c>
      <c r="C261" t="inlineStr">
        <is>
          <t>SHELVES</t>
        </is>
      </c>
      <c r="D261" t="inlineStr">
        <is>
          <t>QP331 .H9</t>
        </is>
      </c>
      <c r="E261" t="inlineStr">
        <is>
          <t>0                      QP 0331000H  9</t>
        </is>
      </c>
      <c r="F261" t="inlineStr">
        <is>
          <t>The neuron. Edited by Holger Hydén.</t>
        </is>
      </c>
      <c r="H261" t="inlineStr">
        <is>
          <t>No</t>
        </is>
      </c>
      <c r="I261" t="inlineStr">
        <is>
          <t>1</t>
        </is>
      </c>
      <c r="J261" t="inlineStr">
        <is>
          <t>No</t>
        </is>
      </c>
      <c r="K261" t="inlineStr">
        <is>
          <t>No</t>
        </is>
      </c>
      <c r="L261" t="inlineStr">
        <is>
          <t>0</t>
        </is>
      </c>
      <c r="M261" t="inlineStr">
        <is>
          <t>Hydén, Holger, 1917-</t>
        </is>
      </c>
      <c r="N261" t="inlineStr">
        <is>
          <t>Amsterdam, New York [etc.] Elsevier Pub. Co., 1967.</t>
        </is>
      </c>
      <c r="O261" t="inlineStr">
        <is>
          <t>1967</t>
        </is>
      </c>
      <c r="Q261" t="inlineStr">
        <is>
          <t>eng</t>
        </is>
      </c>
      <c r="R261" t="inlineStr">
        <is>
          <t xml:space="preserve">ne </t>
        </is>
      </c>
      <c r="T261" t="inlineStr">
        <is>
          <t xml:space="preserve">QP </t>
        </is>
      </c>
      <c r="U261" t="n">
        <v>2</v>
      </c>
      <c r="V261" t="n">
        <v>2</v>
      </c>
      <c r="W261" t="inlineStr">
        <is>
          <t>2007-03-20</t>
        </is>
      </c>
      <c r="X261" t="inlineStr">
        <is>
          <t>2007-03-20</t>
        </is>
      </c>
      <c r="Y261" t="inlineStr">
        <is>
          <t>1997-08-06</t>
        </is>
      </c>
      <c r="Z261" t="inlineStr">
        <is>
          <t>1997-08-06</t>
        </is>
      </c>
      <c r="AA261" t="n">
        <v>334</v>
      </c>
      <c r="AB261" t="n">
        <v>243</v>
      </c>
      <c r="AC261" t="n">
        <v>247</v>
      </c>
      <c r="AD261" t="n">
        <v>3</v>
      </c>
      <c r="AE261" t="n">
        <v>3</v>
      </c>
      <c r="AF261" t="n">
        <v>6</v>
      </c>
      <c r="AG261" t="n">
        <v>6</v>
      </c>
      <c r="AH261" t="n">
        <v>2</v>
      </c>
      <c r="AI261" t="n">
        <v>2</v>
      </c>
      <c r="AJ261" t="n">
        <v>1</v>
      </c>
      <c r="AK261" t="n">
        <v>1</v>
      </c>
      <c r="AL261" t="n">
        <v>2</v>
      </c>
      <c r="AM261" t="n">
        <v>2</v>
      </c>
      <c r="AN261" t="n">
        <v>2</v>
      </c>
      <c r="AO261" t="n">
        <v>2</v>
      </c>
      <c r="AP261" t="n">
        <v>0</v>
      </c>
      <c r="AQ261" t="n">
        <v>0</v>
      </c>
      <c r="AR261" t="inlineStr">
        <is>
          <t>No</t>
        </is>
      </c>
      <c r="AS261" t="inlineStr">
        <is>
          <t>Yes</t>
        </is>
      </c>
      <c r="AT261">
        <f>HYPERLINK("http://catalog.hathitrust.org/Record/001554482","HathiTrust Record")</f>
        <v/>
      </c>
      <c r="AU261">
        <f>HYPERLINK("https://creighton-primo.hosted.exlibrisgroup.com/primo-explore/search?tab=default_tab&amp;search_scope=EVERYTHING&amp;vid=01CRU&amp;lang=en_US&amp;offset=0&amp;query=any,contains,991003377539702656","Catalog Record")</f>
        <v/>
      </c>
      <c r="AV261">
        <f>HYPERLINK("http://www.worldcat.org/oclc/914289","WorldCat Record")</f>
        <v/>
      </c>
      <c r="AW261" t="inlineStr">
        <is>
          <t>1854286:eng</t>
        </is>
      </c>
      <c r="AX261" t="inlineStr">
        <is>
          <t>914289</t>
        </is>
      </c>
      <c r="AY261" t="inlineStr">
        <is>
          <t>991003377539702656</t>
        </is>
      </c>
      <c r="AZ261" t="inlineStr">
        <is>
          <t>991003377539702656</t>
        </is>
      </c>
      <c r="BA261" t="inlineStr">
        <is>
          <t>2262795520002656</t>
        </is>
      </c>
      <c r="BB261" t="inlineStr">
        <is>
          <t>BOOK</t>
        </is>
      </c>
      <c r="BE261" t="inlineStr">
        <is>
          <t>32285003013702</t>
        </is>
      </c>
      <c r="BF261" t="inlineStr">
        <is>
          <t>893246300</t>
        </is>
      </c>
    </row>
    <row r="262">
      <c r="B262" t="inlineStr">
        <is>
          <t>CURAL</t>
        </is>
      </c>
      <c r="C262" t="inlineStr">
        <is>
          <t>SHELVES</t>
        </is>
      </c>
      <c r="D262" t="inlineStr">
        <is>
          <t>QP334 .W53 1998</t>
        </is>
      </c>
      <c r="E262" t="inlineStr">
        <is>
          <t>0                      QP 0334000W  53          1998</t>
        </is>
      </c>
      <c r="F262" t="inlineStr">
        <is>
          <t>The hand : how its use shapes the brain, language, and human culture / Frank R. Wilson.</t>
        </is>
      </c>
      <c r="H262" t="inlineStr">
        <is>
          <t>No</t>
        </is>
      </c>
      <c r="I262" t="inlineStr">
        <is>
          <t>1</t>
        </is>
      </c>
      <c r="J262" t="inlineStr">
        <is>
          <t>Yes</t>
        </is>
      </c>
      <c r="K262" t="inlineStr">
        <is>
          <t>No</t>
        </is>
      </c>
      <c r="L262" t="inlineStr">
        <is>
          <t>0</t>
        </is>
      </c>
      <c r="M262" t="inlineStr">
        <is>
          <t>Wilson, Frank R.</t>
        </is>
      </c>
      <c r="N262" t="inlineStr">
        <is>
          <t>New York : Pantheon Books, c1998.</t>
        </is>
      </c>
      <c r="O262" t="inlineStr">
        <is>
          <t>1998</t>
        </is>
      </c>
      <c r="P262" t="inlineStr">
        <is>
          <t>1st ed.</t>
        </is>
      </c>
      <c r="Q262" t="inlineStr">
        <is>
          <t>eng</t>
        </is>
      </c>
      <c r="R262" t="inlineStr">
        <is>
          <t>nyu</t>
        </is>
      </c>
      <c r="T262" t="inlineStr">
        <is>
          <t xml:space="preserve">QP </t>
        </is>
      </c>
      <c r="U262" t="n">
        <v>0</v>
      </c>
      <c r="V262" t="n">
        <v>6</v>
      </c>
      <c r="X262" t="inlineStr">
        <is>
          <t>2002-02-26</t>
        </is>
      </c>
      <c r="Y262" t="inlineStr">
        <is>
          <t>1999-03-29</t>
        </is>
      </c>
      <c r="Z262" t="inlineStr">
        <is>
          <t>2002-01-10</t>
        </is>
      </c>
      <c r="AA262" t="n">
        <v>1082</v>
      </c>
      <c r="AB262" t="n">
        <v>983</v>
      </c>
      <c r="AC262" t="n">
        <v>1092</v>
      </c>
      <c r="AD262" t="n">
        <v>10</v>
      </c>
      <c r="AE262" t="n">
        <v>11</v>
      </c>
      <c r="AF262" t="n">
        <v>31</v>
      </c>
      <c r="AG262" t="n">
        <v>33</v>
      </c>
      <c r="AH262" t="n">
        <v>13</v>
      </c>
      <c r="AI262" t="n">
        <v>13</v>
      </c>
      <c r="AJ262" t="n">
        <v>10</v>
      </c>
      <c r="AK262" t="n">
        <v>10</v>
      </c>
      <c r="AL262" t="n">
        <v>13</v>
      </c>
      <c r="AM262" t="n">
        <v>15</v>
      </c>
      <c r="AN262" t="n">
        <v>3</v>
      </c>
      <c r="AO262" t="n">
        <v>3</v>
      </c>
      <c r="AP262" t="n">
        <v>0</v>
      </c>
      <c r="AQ262" t="n">
        <v>0</v>
      </c>
      <c r="AR262" t="inlineStr">
        <is>
          <t>No</t>
        </is>
      </c>
      <c r="AS262" t="inlineStr">
        <is>
          <t>Yes</t>
        </is>
      </c>
      <c r="AT262">
        <f>HYPERLINK("http://catalog.hathitrust.org/Record/003980471","HathiTrust Record")</f>
        <v/>
      </c>
      <c r="AU262">
        <f>HYPERLINK("https://creighton-primo.hosted.exlibrisgroup.com/primo-explore/search?tab=default_tab&amp;search_scope=EVERYTHING&amp;vid=01CRU&amp;lang=en_US&amp;offset=0&amp;query=any,contains,991001692959702656","Catalog Record")</f>
        <v/>
      </c>
      <c r="AV262">
        <f>HYPERLINK("http://www.worldcat.org/oclc/38016564","WorldCat Record")</f>
        <v/>
      </c>
      <c r="AW262" t="inlineStr">
        <is>
          <t>569940:eng</t>
        </is>
      </c>
      <c r="AX262" t="inlineStr">
        <is>
          <t>38016564</t>
        </is>
      </c>
      <c r="AY262" t="inlineStr">
        <is>
          <t>991001692959702656</t>
        </is>
      </c>
      <c r="AZ262" t="inlineStr">
        <is>
          <t>991001692959702656</t>
        </is>
      </c>
      <c r="BA262" t="inlineStr">
        <is>
          <t>2268280920002656</t>
        </is>
      </c>
      <c r="BB262" t="inlineStr">
        <is>
          <t>BOOK</t>
        </is>
      </c>
      <c r="BD262" t="inlineStr">
        <is>
          <t>9780679412496</t>
        </is>
      </c>
      <c r="BE262" t="inlineStr">
        <is>
          <t>32285003547196</t>
        </is>
      </c>
      <c r="BF262" t="inlineStr">
        <is>
          <t>893891752</t>
        </is>
      </c>
    </row>
    <row r="263">
      <c r="B263" t="inlineStr">
        <is>
          <t>CURAL</t>
        </is>
      </c>
      <c r="C263" t="inlineStr">
        <is>
          <t>SHELVES</t>
        </is>
      </c>
      <c r="D263" t="inlineStr">
        <is>
          <t>QP34 .C25 1961</t>
        </is>
      </c>
      <c r="E263" t="inlineStr">
        <is>
          <t>0                      QP 0034000C  25          1961</t>
        </is>
      </c>
      <c r="F263" t="inlineStr">
        <is>
          <t>The machinery of the body, by Anton J. Carlson, Victor Johnson [and] H. Mead Cavert.</t>
        </is>
      </c>
      <c r="H263" t="inlineStr">
        <is>
          <t>No</t>
        </is>
      </c>
      <c r="I263" t="inlineStr">
        <is>
          <t>1</t>
        </is>
      </c>
      <c r="J263" t="inlineStr">
        <is>
          <t>No</t>
        </is>
      </c>
      <c r="K263" t="inlineStr">
        <is>
          <t>No</t>
        </is>
      </c>
      <c r="L263" t="inlineStr">
        <is>
          <t>0</t>
        </is>
      </c>
      <c r="M263" t="inlineStr">
        <is>
          <t>Carlson, Anton J. (Anton Julius), 1875-1956.</t>
        </is>
      </c>
      <c r="N263" t="inlineStr">
        <is>
          <t>[Chicago] University of Chicago Press [1961]</t>
        </is>
      </c>
      <c r="O263" t="inlineStr">
        <is>
          <t>1961</t>
        </is>
      </c>
      <c r="P263" t="inlineStr">
        <is>
          <t>5th ed., rev. and enl.</t>
        </is>
      </c>
      <c r="Q263" t="inlineStr">
        <is>
          <t>eng</t>
        </is>
      </c>
      <c r="R263" t="inlineStr">
        <is>
          <t>ilu</t>
        </is>
      </c>
      <c r="T263" t="inlineStr">
        <is>
          <t xml:space="preserve">QP </t>
        </is>
      </c>
      <c r="U263" t="n">
        <v>1</v>
      </c>
      <c r="V263" t="n">
        <v>1</v>
      </c>
      <c r="W263" t="inlineStr">
        <is>
          <t>2002-10-07</t>
        </is>
      </c>
      <c r="X263" t="inlineStr">
        <is>
          <t>2002-10-07</t>
        </is>
      </c>
      <c r="Y263" t="inlineStr">
        <is>
          <t>1997-08-04</t>
        </is>
      </c>
      <c r="Z263" t="inlineStr">
        <is>
          <t>1997-08-04</t>
        </is>
      </c>
      <c r="AA263" t="n">
        <v>616</v>
      </c>
      <c r="AB263" t="n">
        <v>566</v>
      </c>
      <c r="AC263" t="n">
        <v>973</v>
      </c>
      <c r="AD263" t="n">
        <v>4</v>
      </c>
      <c r="AE263" t="n">
        <v>6</v>
      </c>
      <c r="AF263" t="n">
        <v>24</v>
      </c>
      <c r="AG263" t="n">
        <v>35</v>
      </c>
      <c r="AH263" t="n">
        <v>8</v>
      </c>
      <c r="AI263" t="n">
        <v>12</v>
      </c>
      <c r="AJ263" t="n">
        <v>5</v>
      </c>
      <c r="AK263" t="n">
        <v>7</v>
      </c>
      <c r="AL263" t="n">
        <v>11</v>
      </c>
      <c r="AM263" t="n">
        <v>12</v>
      </c>
      <c r="AN263" t="n">
        <v>3</v>
      </c>
      <c r="AO263" t="n">
        <v>3</v>
      </c>
      <c r="AP263" t="n">
        <v>1</v>
      </c>
      <c r="AQ263" t="n">
        <v>6</v>
      </c>
      <c r="AR263" t="inlineStr">
        <is>
          <t>No</t>
        </is>
      </c>
      <c r="AS263" t="inlineStr">
        <is>
          <t>Yes</t>
        </is>
      </c>
      <c r="AT263">
        <f>HYPERLINK("http://catalog.hathitrust.org/Record/001553239","HathiTrust Record")</f>
        <v/>
      </c>
      <c r="AU263">
        <f>HYPERLINK("https://creighton-primo.hosted.exlibrisgroup.com/primo-explore/search?tab=default_tab&amp;search_scope=EVERYTHING&amp;vid=01CRU&amp;lang=en_US&amp;offset=0&amp;query=any,contains,991002986509702656","Catalog Record")</f>
        <v/>
      </c>
      <c r="AV263">
        <f>HYPERLINK("http://www.worldcat.org/oclc/557848","WorldCat Record")</f>
        <v/>
      </c>
      <c r="AW263" t="inlineStr">
        <is>
          <t>417995:eng</t>
        </is>
      </c>
      <c r="AX263" t="inlineStr">
        <is>
          <t>557848</t>
        </is>
      </c>
      <c r="AY263" t="inlineStr">
        <is>
          <t>991002986509702656</t>
        </is>
      </c>
      <c r="AZ263" t="inlineStr">
        <is>
          <t>991002986509702656</t>
        </is>
      </c>
      <c r="BA263" t="inlineStr">
        <is>
          <t>2261416790002656</t>
        </is>
      </c>
      <c r="BB263" t="inlineStr">
        <is>
          <t>BOOK</t>
        </is>
      </c>
      <c r="BE263" t="inlineStr">
        <is>
          <t>32285003011771</t>
        </is>
      </c>
      <c r="BF263" t="inlineStr">
        <is>
          <t>893774264</t>
        </is>
      </c>
    </row>
    <row r="264">
      <c r="B264" t="inlineStr">
        <is>
          <t>CURAL</t>
        </is>
      </c>
      <c r="C264" t="inlineStr">
        <is>
          <t>SHELVES</t>
        </is>
      </c>
      <c r="D264" t="inlineStr">
        <is>
          <t>QP34 .G52 1970</t>
        </is>
      </c>
      <c r="E264" t="inlineStr">
        <is>
          <t>0                      QP 0034000G  52          1970</t>
        </is>
      </c>
      <c r="F264" t="inlineStr">
        <is>
          <t>Illustrated physiology / by Ann B. McNaught and Robin Callander.</t>
        </is>
      </c>
      <c r="H264" t="inlineStr">
        <is>
          <t>No</t>
        </is>
      </c>
      <c r="I264" t="inlineStr">
        <is>
          <t>1</t>
        </is>
      </c>
      <c r="J264" t="inlineStr">
        <is>
          <t>No</t>
        </is>
      </c>
      <c r="K264" t="inlineStr">
        <is>
          <t>No</t>
        </is>
      </c>
      <c r="L264" t="inlineStr">
        <is>
          <t>0</t>
        </is>
      </c>
      <c r="M264" t="inlineStr">
        <is>
          <t>McNaught, Ann B.</t>
        </is>
      </c>
      <c r="N264" t="inlineStr">
        <is>
          <t>Baltimore : Williams and Wilkins, 1970.</t>
        </is>
      </c>
      <c r="O264" t="inlineStr">
        <is>
          <t>1970</t>
        </is>
      </c>
      <c r="P264" t="inlineStr">
        <is>
          <t>2d ed.</t>
        </is>
      </c>
      <c r="Q264" t="inlineStr">
        <is>
          <t>eng</t>
        </is>
      </c>
      <c r="R264" t="inlineStr">
        <is>
          <t>mdu</t>
        </is>
      </c>
      <c r="T264" t="inlineStr">
        <is>
          <t xml:space="preserve">QP </t>
        </is>
      </c>
      <c r="U264" t="n">
        <v>4</v>
      </c>
      <c r="V264" t="n">
        <v>4</v>
      </c>
      <c r="W264" t="inlineStr">
        <is>
          <t>1994-12-06</t>
        </is>
      </c>
      <c r="X264" t="inlineStr">
        <is>
          <t>1994-12-06</t>
        </is>
      </c>
      <c r="Y264" t="inlineStr">
        <is>
          <t>1990-02-21</t>
        </is>
      </c>
      <c r="Z264" t="inlineStr">
        <is>
          <t>1990-02-21</t>
        </is>
      </c>
      <c r="AA264" t="n">
        <v>132</v>
      </c>
      <c r="AB264" t="n">
        <v>108</v>
      </c>
      <c r="AC264" t="n">
        <v>485</v>
      </c>
      <c r="AD264" t="n">
        <v>1</v>
      </c>
      <c r="AE264" t="n">
        <v>3</v>
      </c>
      <c r="AF264" t="n">
        <v>4</v>
      </c>
      <c r="AG264" t="n">
        <v>14</v>
      </c>
      <c r="AH264" t="n">
        <v>2</v>
      </c>
      <c r="AI264" t="n">
        <v>5</v>
      </c>
      <c r="AJ264" t="n">
        <v>2</v>
      </c>
      <c r="AK264" t="n">
        <v>5</v>
      </c>
      <c r="AL264" t="n">
        <v>1</v>
      </c>
      <c r="AM264" t="n">
        <v>6</v>
      </c>
      <c r="AN264" t="n">
        <v>0</v>
      </c>
      <c r="AO264" t="n">
        <v>2</v>
      </c>
      <c r="AP264" t="n">
        <v>0</v>
      </c>
      <c r="AQ264" t="n">
        <v>0</v>
      </c>
      <c r="AR264" t="inlineStr">
        <is>
          <t>No</t>
        </is>
      </c>
      <c r="AS264" t="inlineStr">
        <is>
          <t>No</t>
        </is>
      </c>
      <c r="AU264">
        <f>HYPERLINK("https://creighton-primo.hosted.exlibrisgroup.com/primo-explore/search?tab=default_tab&amp;search_scope=EVERYTHING&amp;vid=01CRU&amp;lang=en_US&amp;offset=0&amp;query=any,contains,991000775209702656","Catalog Record")</f>
        <v/>
      </c>
      <c r="AV264">
        <f>HYPERLINK("http://www.worldcat.org/oclc/132361","WorldCat Record")</f>
        <v/>
      </c>
      <c r="AW264" t="inlineStr">
        <is>
          <t>1271984:eng</t>
        </is>
      </c>
      <c r="AX264" t="inlineStr">
        <is>
          <t>132361</t>
        </is>
      </c>
      <c r="AY264" t="inlineStr">
        <is>
          <t>991000775209702656</t>
        </is>
      </c>
      <c r="AZ264" t="inlineStr">
        <is>
          <t>991000775209702656</t>
        </is>
      </c>
      <c r="BA264" t="inlineStr">
        <is>
          <t>2256758590002656</t>
        </is>
      </c>
      <c r="BB264" t="inlineStr">
        <is>
          <t>BOOK</t>
        </is>
      </c>
      <c r="BD264" t="inlineStr">
        <is>
          <t>9780443007057</t>
        </is>
      </c>
      <c r="BE264" t="inlineStr">
        <is>
          <t>32285000057801</t>
        </is>
      </c>
      <c r="BF264" t="inlineStr">
        <is>
          <t>893620780</t>
        </is>
      </c>
    </row>
    <row r="265">
      <c r="B265" t="inlineStr">
        <is>
          <t>CURAL</t>
        </is>
      </c>
      <c r="C265" t="inlineStr">
        <is>
          <t>SHELVES</t>
        </is>
      </c>
      <c r="D265" t="inlineStr">
        <is>
          <t>QP34.5 .A58 1984</t>
        </is>
      </c>
      <c r="E265" t="inlineStr">
        <is>
          <t>0                      QP 0034500A  58          1984</t>
        </is>
      </c>
      <c r="F265" t="inlineStr">
        <is>
          <t>Structure &amp; function of the body / Catherine Parker Anthony, Gary A. Thibodeau ; with 327 illustrations, Ernest W. Beck, illustrator.</t>
        </is>
      </c>
      <c r="H265" t="inlineStr">
        <is>
          <t>No</t>
        </is>
      </c>
      <c r="I265" t="inlineStr">
        <is>
          <t>1</t>
        </is>
      </c>
      <c r="J265" t="inlineStr">
        <is>
          <t>No</t>
        </is>
      </c>
      <c r="K265" t="inlineStr">
        <is>
          <t>Yes</t>
        </is>
      </c>
      <c r="L265" t="inlineStr">
        <is>
          <t>0</t>
        </is>
      </c>
      <c r="M265" t="inlineStr">
        <is>
          <t>Anthony, Catherine Parker, 1907-</t>
        </is>
      </c>
      <c r="N265" t="inlineStr">
        <is>
          <t>St. Louis : Times-Mirror/Mosby College Pub., 1984.</t>
        </is>
      </c>
      <c r="O265" t="inlineStr">
        <is>
          <t>1984</t>
        </is>
      </c>
      <c r="P265" t="inlineStr">
        <is>
          <t>7th ed.</t>
        </is>
      </c>
      <c r="Q265" t="inlineStr">
        <is>
          <t>eng</t>
        </is>
      </c>
      <c r="R265" t="inlineStr">
        <is>
          <t>mou</t>
        </is>
      </c>
      <c r="T265" t="inlineStr">
        <is>
          <t xml:space="preserve">QP </t>
        </is>
      </c>
      <c r="U265" t="n">
        <v>13</v>
      </c>
      <c r="V265" t="n">
        <v>13</v>
      </c>
      <c r="W265" t="inlineStr">
        <is>
          <t>2008-02-24</t>
        </is>
      </c>
      <c r="X265" t="inlineStr">
        <is>
          <t>2008-02-24</t>
        </is>
      </c>
      <c r="Y265" t="inlineStr">
        <is>
          <t>1992-06-17</t>
        </is>
      </c>
      <c r="Z265" t="inlineStr">
        <is>
          <t>1992-06-17</t>
        </is>
      </c>
      <c r="AA265" t="n">
        <v>233</v>
      </c>
      <c r="AB265" t="n">
        <v>185</v>
      </c>
      <c r="AC265" t="n">
        <v>1337</v>
      </c>
      <c r="AD265" t="n">
        <v>2</v>
      </c>
      <c r="AE265" t="n">
        <v>11</v>
      </c>
      <c r="AF265" t="n">
        <v>4</v>
      </c>
      <c r="AG265" t="n">
        <v>22</v>
      </c>
      <c r="AH265" t="n">
        <v>0</v>
      </c>
      <c r="AI265" t="n">
        <v>5</v>
      </c>
      <c r="AJ265" t="n">
        <v>1</v>
      </c>
      <c r="AK265" t="n">
        <v>3</v>
      </c>
      <c r="AL265" t="n">
        <v>2</v>
      </c>
      <c r="AM265" t="n">
        <v>8</v>
      </c>
      <c r="AN265" t="n">
        <v>1</v>
      </c>
      <c r="AO265" t="n">
        <v>7</v>
      </c>
      <c r="AP265" t="n">
        <v>1</v>
      </c>
      <c r="AQ265" t="n">
        <v>1</v>
      </c>
      <c r="AR265" t="inlineStr">
        <is>
          <t>No</t>
        </is>
      </c>
      <c r="AS265" t="inlineStr">
        <is>
          <t>No</t>
        </is>
      </c>
      <c r="AU265">
        <f>HYPERLINK("https://creighton-primo.hosted.exlibrisgroup.com/primo-explore/search?tab=default_tab&amp;search_scope=EVERYTHING&amp;vid=01CRU&amp;lang=en_US&amp;offset=0&amp;query=any,contains,991000192939702656","Catalog Record")</f>
        <v/>
      </c>
      <c r="AV265">
        <f>HYPERLINK("http://www.worldcat.org/oclc/9413613","WorldCat Record")</f>
        <v/>
      </c>
      <c r="AW265" t="inlineStr">
        <is>
          <t>843944:eng</t>
        </is>
      </c>
      <c r="AX265" t="inlineStr">
        <is>
          <t>9413613</t>
        </is>
      </c>
      <c r="AY265" t="inlineStr">
        <is>
          <t>991000192939702656</t>
        </is>
      </c>
      <c r="AZ265" t="inlineStr">
        <is>
          <t>991000192939702656</t>
        </is>
      </c>
      <c r="BA265" t="inlineStr">
        <is>
          <t>2264101960002656</t>
        </is>
      </c>
      <c r="BB265" t="inlineStr">
        <is>
          <t>BOOK</t>
        </is>
      </c>
      <c r="BD265" t="inlineStr">
        <is>
          <t>9780801602962</t>
        </is>
      </c>
      <c r="BE265" t="inlineStr">
        <is>
          <t>32285001132223</t>
        </is>
      </c>
      <c r="BF265" t="inlineStr">
        <is>
          <t>893695657</t>
        </is>
      </c>
    </row>
    <row r="266">
      <c r="B266" t="inlineStr">
        <is>
          <t>CURAL</t>
        </is>
      </c>
      <c r="C266" t="inlineStr">
        <is>
          <t>SHELVES</t>
        </is>
      </c>
      <c r="D266" t="inlineStr">
        <is>
          <t>QP34.5 .B37 1982</t>
        </is>
      </c>
      <c r="E266" t="inlineStr">
        <is>
          <t>0                      QP 0034500B  37          1982</t>
        </is>
      </c>
      <c r="F266" t="inlineStr">
        <is>
          <t>Basic physiology for the health sciences / edited by Ewald E. Selkurt.</t>
        </is>
      </c>
      <c r="H266" t="inlineStr">
        <is>
          <t>No</t>
        </is>
      </c>
      <c r="I266" t="inlineStr">
        <is>
          <t>1</t>
        </is>
      </c>
      <c r="J266" t="inlineStr">
        <is>
          <t>Yes</t>
        </is>
      </c>
      <c r="K266" t="inlineStr">
        <is>
          <t>No</t>
        </is>
      </c>
      <c r="L266" t="inlineStr">
        <is>
          <t>0</t>
        </is>
      </c>
      <c r="N266" t="inlineStr">
        <is>
          <t>Boston : Little, Brown, c1982.</t>
        </is>
      </c>
      <c r="O266" t="inlineStr">
        <is>
          <t>1982</t>
        </is>
      </c>
      <c r="P266" t="inlineStr">
        <is>
          <t>2nd ed.</t>
        </is>
      </c>
      <c r="Q266" t="inlineStr">
        <is>
          <t>eng</t>
        </is>
      </c>
      <c r="R266" t="inlineStr">
        <is>
          <t>mau</t>
        </is>
      </c>
      <c r="T266" t="inlineStr">
        <is>
          <t xml:space="preserve">QP </t>
        </is>
      </c>
      <c r="U266" t="n">
        <v>9</v>
      </c>
      <c r="V266" t="n">
        <v>66</v>
      </c>
      <c r="W266" t="inlineStr">
        <is>
          <t>1993-07-11</t>
        </is>
      </c>
      <c r="X266" t="inlineStr">
        <is>
          <t>2006-01-30</t>
        </is>
      </c>
      <c r="Y266" t="inlineStr">
        <is>
          <t>1992-01-14</t>
        </is>
      </c>
      <c r="Z266" t="inlineStr">
        <is>
          <t>1992-01-14</t>
        </is>
      </c>
      <c r="AA266" t="n">
        <v>223</v>
      </c>
      <c r="AB266" t="n">
        <v>173</v>
      </c>
      <c r="AC266" t="n">
        <v>306</v>
      </c>
      <c r="AD266" t="n">
        <v>3</v>
      </c>
      <c r="AE266" t="n">
        <v>5</v>
      </c>
      <c r="AF266" t="n">
        <v>4</v>
      </c>
      <c r="AG266" t="n">
        <v>13</v>
      </c>
      <c r="AH266" t="n">
        <v>1</v>
      </c>
      <c r="AI266" t="n">
        <v>2</v>
      </c>
      <c r="AJ266" t="n">
        <v>1</v>
      </c>
      <c r="AK266" t="n">
        <v>2</v>
      </c>
      <c r="AL266" t="n">
        <v>3</v>
      </c>
      <c r="AM266" t="n">
        <v>8</v>
      </c>
      <c r="AN266" t="n">
        <v>1</v>
      </c>
      <c r="AO266" t="n">
        <v>3</v>
      </c>
      <c r="AP266" t="n">
        <v>0</v>
      </c>
      <c r="AQ266" t="n">
        <v>0</v>
      </c>
      <c r="AR266" t="inlineStr">
        <is>
          <t>No</t>
        </is>
      </c>
      <c r="AS266" t="inlineStr">
        <is>
          <t>Yes</t>
        </is>
      </c>
      <c r="AT266">
        <f>HYPERLINK("http://catalog.hathitrust.org/Record/000225730","HathiTrust Record")</f>
        <v/>
      </c>
      <c r="AU266">
        <f>HYPERLINK("https://creighton-primo.hosted.exlibrisgroup.com/primo-explore/search?tab=default_tab&amp;search_scope=EVERYTHING&amp;vid=01CRU&amp;lang=en_US&amp;offset=0&amp;query=any,contains,991001760619702656","Catalog Record")</f>
        <v/>
      </c>
      <c r="AV266">
        <f>HYPERLINK("http://www.worldcat.org/oclc/8030748","WorldCat Record")</f>
        <v/>
      </c>
      <c r="AW266" t="inlineStr">
        <is>
          <t>1184203292:eng</t>
        </is>
      </c>
      <c r="AX266" t="inlineStr">
        <is>
          <t>8030748</t>
        </is>
      </c>
      <c r="AY266" t="inlineStr">
        <is>
          <t>991001760619702656</t>
        </is>
      </c>
      <c r="AZ266" t="inlineStr">
        <is>
          <t>991001760619702656</t>
        </is>
      </c>
      <c r="BA266" t="inlineStr">
        <is>
          <t>2257773710002656</t>
        </is>
      </c>
      <c r="BB266" t="inlineStr">
        <is>
          <t>BOOK</t>
        </is>
      </c>
      <c r="BD266" t="inlineStr">
        <is>
          <t>9780316780483</t>
        </is>
      </c>
      <c r="BE266" t="inlineStr">
        <is>
          <t>32285000913045</t>
        </is>
      </c>
      <c r="BF266" t="inlineStr">
        <is>
          <t>893322225</t>
        </is>
      </c>
    </row>
    <row r="267">
      <c r="B267" t="inlineStr">
        <is>
          <t>CURAL</t>
        </is>
      </c>
      <c r="C267" t="inlineStr">
        <is>
          <t>SHELVES</t>
        </is>
      </c>
      <c r="D267" t="inlineStr">
        <is>
          <t>QP34.5 .B55 1984</t>
        </is>
      </c>
      <c r="E267" t="inlineStr">
        <is>
          <t>0                      QP 0034500B  55          1984</t>
        </is>
      </c>
      <c r="F267" t="inlineStr">
        <is>
          <t>Science and gender : a critique of biology and its theories on women / Ruth Bleier.</t>
        </is>
      </c>
      <c r="H267" t="inlineStr">
        <is>
          <t>No</t>
        </is>
      </c>
      <c r="I267" t="inlineStr">
        <is>
          <t>1</t>
        </is>
      </c>
      <c r="J267" t="inlineStr">
        <is>
          <t>No</t>
        </is>
      </c>
      <c r="K267" t="inlineStr">
        <is>
          <t>No</t>
        </is>
      </c>
      <c r="L267" t="inlineStr">
        <is>
          <t>0</t>
        </is>
      </c>
      <c r="M267" t="inlineStr">
        <is>
          <t>Bleier, Ruth, 1923-</t>
        </is>
      </c>
      <c r="N267" t="inlineStr">
        <is>
          <t>New York : Pergamon Press, c1984.</t>
        </is>
      </c>
      <c r="O267" t="inlineStr">
        <is>
          <t>1984</t>
        </is>
      </c>
      <c r="Q267" t="inlineStr">
        <is>
          <t>eng</t>
        </is>
      </c>
      <c r="R267" t="inlineStr">
        <is>
          <t>nyu</t>
        </is>
      </c>
      <c r="S267" t="inlineStr">
        <is>
          <t>Athene series</t>
        </is>
      </c>
      <c r="T267" t="inlineStr">
        <is>
          <t xml:space="preserve">QP </t>
        </is>
      </c>
      <c r="U267" t="n">
        <v>17</v>
      </c>
      <c r="V267" t="n">
        <v>17</v>
      </c>
      <c r="W267" t="inlineStr">
        <is>
          <t>2006-04-01</t>
        </is>
      </c>
      <c r="X267" t="inlineStr">
        <is>
          <t>2006-04-01</t>
        </is>
      </c>
      <c r="Y267" t="inlineStr">
        <is>
          <t>1993-02-24</t>
        </is>
      </c>
      <c r="Z267" t="inlineStr">
        <is>
          <t>1993-02-24</t>
        </is>
      </c>
      <c r="AA267" t="n">
        <v>1210</v>
      </c>
      <c r="AB267" t="n">
        <v>1027</v>
      </c>
      <c r="AC267" t="n">
        <v>1050</v>
      </c>
      <c r="AD267" t="n">
        <v>6</v>
      </c>
      <c r="AE267" t="n">
        <v>6</v>
      </c>
      <c r="AF267" t="n">
        <v>43</v>
      </c>
      <c r="AG267" t="n">
        <v>43</v>
      </c>
      <c r="AH267" t="n">
        <v>18</v>
      </c>
      <c r="AI267" t="n">
        <v>18</v>
      </c>
      <c r="AJ267" t="n">
        <v>9</v>
      </c>
      <c r="AK267" t="n">
        <v>9</v>
      </c>
      <c r="AL267" t="n">
        <v>22</v>
      </c>
      <c r="AM267" t="n">
        <v>22</v>
      </c>
      <c r="AN267" t="n">
        <v>5</v>
      </c>
      <c r="AO267" t="n">
        <v>5</v>
      </c>
      <c r="AP267" t="n">
        <v>0</v>
      </c>
      <c r="AQ267" t="n">
        <v>0</v>
      </c>
      <c r="AR267" t="inlineStr">
        <is>
          <t>No</t>
        </is>
      </c>
      <c r="AS267" t="inlineStr">
        <is>
          <t>Yes</t>
        </is>
      </c>
      <c r="AT267">
        <f>HYPERLINK("http://catalog.hathitrust.org/Record/000320404","HathiTrust Record")</f>
        <v/>
      </c>
      <c r="AU267">
        <f>HYPERLINK("https://creighton-primo.hosted.exlibrisgroup.com/primo-explore/search?tab=default_tab&amp;search_scope=EVERYTHING&amp;vid=01CRU&amp;lang=en_US&amp;offset=0&amp;query=any,contains,991000307989702656","Catalog Record")</f>
        <v/>
      </c>
      <c r="AV267">
        <f>HYPERLINK("http://www.worldcat.org/oclc/10072698","WorldCat Record")</f>
        <v/>
      </c>
      <c r="AW267" t="inlineStr">
        <is>
          <t>806413175:eng</t>
        </is>
      </c>
      <c r="AX267" t="inlineStr">
        <is>
          <t>10072698</t>
        </is>
      </c>
      <c r="AY267" t="inlineStr">
        <is>
          <t>991000307989702656</t>
        </is>
      </c>
      <c r="AZ267" t="inlineStr">
        <is>
          <t>991000307989702656</t>
        </is>
      </c>
      <c r="BA267" t="inlineStr">
        <is>
          <t>2263517970002656</t>
        </is>
      </c>
      <c r="BB267" t="inlineStr">
        <is>
          <t>BOOK</t>
        </is>
      </c>
      <c r="BD267" t="inlineStr">
        <is>
          <t>9780080309712</t>
        </is>
      </c>
      <c r="BE267" t="inlineStr">
        <is>
          <t>32285001548956</t>
        </is>
      </c>
      <c r="BF267" t="inlineStr">
        <is>
          <t>893224892</t>
        </is>
      </c>
    </row>
    <row r="268">
      <c r="B268" t="inlineStr">
        <is>
          <t>CURAL</t>
        </is>
      </c>
      <c r="C268" t="inlineStr">
        <is>
          <t>SHELVES</t>
        </is>
      </c>
      <c r="D268" t="inlineStr">
        <is>
          <t>QP34.5 .C4855 2003</t>
        </is>
      </c>
      <c r="E268" t="inlineStr">
        <is>
          <t>0                      QP 0034500C  4855        2003</t>
        </is>
      </c>
      <c r="F268" t="inlineStr">
        <is>
          <t>Human body systems : structure, function and environment / Daniel D. Chiras.</t>
        </is>
      </c>
      <c r="H268" t="inlineStr">
        <is>
          <t>No</t>
        </is>
      </c>
      <c r="I268" t="inlineStr">
        <is>
          <t>1</t>
        </is>
      </c>
      <c r="J268" t="inlineStr">
        <is>
          <t>No</t>
        </is>
      </c>
      <c r="K268" t="inlineStr">
        <is>
          <t>No</t>
        </is>
      </c>
      <c r="L268" t="inlineStr">
        <is>
          <t>0</t>
        </is>
      </c>
      <c r="M268" t="inlineStr">
        <is>
          <t>Chiras, Daniel D.</t>
        </is>
      </c>
      <c r="N268" t="inlineStr">
        <is>
          <t>Sudbury, Mass. : Jones and Bartlett, c2003.</t>
        </is>
      </c>
      <c r="O268" t="inlineStr">
        <is>
          <t>2003</t>
        </is>
      </c>
      <c r="Q268" t="inlineStr">
        <is>
          <t>eng</t>
        </is>
      </c>
      <c r="R268" t="inlineStr">
        <is>
          <t>mau</t>
        </is>
      </c>
      <c r="T268" t="inlineStr">
        <is>
          <t xml:space="preserve">QP </t>
        </is>
      </c>
      <c r="U268" t="n">
        <v>4</v>
      </c>
      <c r="V268" t="n">
        <v>4</v>
      </c>
      <c r="W268" t="inlineStr">
        <is>
          <t>2006-03-22</t>
        </is>
      </c>
      <c r="X268" t="inlineStr">
        <is>
          <t>2006-03-22</t>
        </is>
      </c>
      <c r="Y268" t="inlineStr">
        <is>
          <t>2003-08-12</t>
        </is>
      </c>
      <c r="Z268" t="inlineStr">
        <is>
          <t>2003-08-12</t>
        </is>
      </c>
      <c r="AA268" t="n">
        <v>116</v>
      </c>
      <c r="AB268" t="n">
        <v>94</v>
      </c>
      <c r="AC268" t="n">
        <v>156</v>
      </c>
      <c r="AD268" t="n">
        <v>1</v>
      </c>
      <c r="AE268" t="n">
        <v>1</v>
      </c>
      <c r="AF268" t="n">
        <v>2</v>
      </c>
      <c r="AG268" t="n">
        <v>3</v>
      </c>
      <c r="AH268" t="n">
        <v>1</v>
      </c>
      <c r="AI268" t="n">
        <v>2</v>
      </c>
      <c r="AJ268" t="n">
        <v>1</v>
      </c>
      <c r="AK268" t="n">
        <v>1</v>
      </c>
      <c r="AL268" t="n">
        <v>1</v>
      </c>
      <c r="AM268" t="n">
        <v>2</v>
      </c>
      <c r="AN268" t="n">
        <v>0</v>
      </c>
      <c r="AO268" t="n">
        <v>0</v>
      </c>
      <c r="AP268" t="n">
        <v>0</v>
      </c>
      <c r="AQ268" t="n">
        <v>0</v>
      </c>
      <c r="AR268" t="inlineStr">
        <is>
          <t>No</t>
        </is>
      </c>
      <c r="AS268" t="inlineStr">
        <is>
          <t>Yes</t>
        </is>
      </c>
      <c r="AT268">
        <f>HYPERLINK("http://catalog.hathitrust.org/Record/004305718","HathiTrust Record")</f>
        <v/>
      </c>
      <c r="AU268">
        <f>HYPERLINK("https://creighton-primo.hosted.exlibrisgroup.com/primo-explore/search?tab=default_tab&amp;search_scope=EVERYTHING&amp;vid=01CRU&amp;lang=en_US&amp;offset=0&amp;query=any,contains,991004089269702656","Catalog Record")</f>
        <v/>
      </c>
      <c r="AV268">
        <f>HYPERLINK("http://www.worldcat.org/oclc/51009593","WorldCat Record")</f>
        <v/>
      </c>
      <c r="AW268" t="inlineStr">
        <is>
          <t>758308:eng</t>
        </is>
      </c>
      <c r="AX268" t="inlineStr">
        <is>
          <t>51009593</t>
        </is>
      </c>
      <c r="AY268" t="inlineStr">
        <is>
          <t>991004089269702656</t>
        </is>
      </c>
      <c r="AZ268" t="inlineStr">
        <is>
          <t>991004089269702656</t>
        </is>
      </c>
      <c r="BA268" t="inlineStr">
        <is>
          <t>2262506080002656</t>
        </is>
      </c>
      <c r="BB268" t="inlineStr">
        <is>
          <t>BOOK</t>
        </is>
      </c>
      <c r="BD268" t="inlineStr">
        <is>
          <t>9780763723569</t>
        </is>
      </c>
      <c r="BE268" t="inlineStr">
        <is>
          <t>32285004759386</t>
        </is>
      </c>
      <c r="BF268" t="inlineStr">
        <is>
          <t>893712146</t>
        </is>
      </c>
    </row>
    <row r="269">
      <c r="B269" t="inlineStr">
        <is>
          <t>CURAL</t>
        </is>
      </c>
      <c r="C269" t="inlineStr">
        <is>
          <t>SHELVES</t>
        </is>
      </c>
      <c r="D269" t="inlineStr">
        <is>
          <t>QP34.5 .G567 2004</t>
        </is>
      </c>
      <c r="E269" t="inlineStr">
        <is>
          <t>0                      QP 0034500G  567         2004</t>
        </is>
      </c>
      <c r="F269" t="inlineStr">
        <is>
          <t>Human biology for social workers : development, ecology, genetics, and health / Leon Ginsberg, Larry Nackerud, Christopher R. Larrison.</t>
        </is>
      </c>
      <c r="H269" t="inlineStr">
        <is>
          <t>No</t>
        </is>
      </c>
      <c r="I269" t="inlineStr">
        <is>
          <t>1</t>
        </is>
      </c>
      <c r="J269" t="inlineStr">
        <is>
          <t>No</t>
        </is>
      </c>
      <c r="K269" t="inlineStr">
        <is>
          <t>No</t>
        </is>
      </c>
      <c r="L269" t="inlineStr">
        <is>
          <t>0</t>
        </is>
      </c>
      <c r="M269" t="inlineStr">
        <is>
          <t>Ginsberg, Leon H.</t>
        </is>
      </c>
      <c r="N269" t="inlineStr">
        <is>
          <t>Boston : Pearson/Allyn and Bacon, c2004.</t>
        </is>
      </c>
      <c r="O269" t="inlineStr">
        <is>
          <t>2004</t>
        </is>
      </c>
      <c r="Q269" t="inlineStr">
        <is>
          <t>eng</t>
        </is>
      </c>
      <c r="R269" t="inlineStr">
        <is>
          <t>mau</t>
        </is>
      </c>
      <c r="T269" t="inlineStr">
        <is>
          <t xml:space="preserve">QP </t>
        </is>
      </c>
      <c r="U269" t="n">
        <v>2</v>
      </c>
      <c r="V269" t="n">
        <v>2</v>
      </c>
      <c r="W269" t="inlineStr">
        <is>
          <t>2006-04-04</t>
        </is>
      </c>
      <c r="X269" t="inlineStr">
        <is>
          <t>2006-04-04</t>
        </is>
      </c>
      <c r="Y269" t="inlineStr">
        <is>
          <t>2004-01-21</t>
        </is>
      </c>
      <c r="Z269" t="inlineStr">
        <is>
          <t>2004-01-21</t>
        </is>
      </c>
      <c r="AA269" t="n">
        <v>159</v>
      </c>
      <c r="AB269" t="n">
        <v>117</v>
      </c>
      <c r="AC269" t="n">
        <v>117</v>
      </c>
      <c r="AD269" t="n">
        <v>3</v>
      </c>
      <c r="AE269" t="n">
        <v>3</v>
      </c>
      <c r="AF269" t="n">
        <v>5</v>
      </c>
      <c r="AG269" t="n">
        <v>5</v>
      </c>
      <c r="AH269" t="n">
        <v>1</v>
      </c>
      <c r="AI269" t="n">
        <v>1</v>
      </c>
      <c r="AJ269" t="n">
        <v>1</v>
      </c>
      <c r="AK269" t="n">
        <v>1</v>
      </c>
      <c r="AL269" t="n">
        <v>2</v>
      </c>
      <c r="AM269" t="n">
        <v>2</v>
      </c>
      <c r="AN269" t="n">
        <v>2</v>
      </c>
      <c r="AO269" t="n">
        <v>2</v>
      </c>
      <c r="AP269" t="n">
        <v>0</v>
      </c>
      <c r="AQ269" t="n">
        <v>0</v>
      </c>
      <c r="AR269" t="inlineStr">
        <is>
          <t>No</t>
        </is>
      </c>
      <c r="AS269" t="inlineStr">
        <is>
          <t>No</t>
        </is>
      </c>
      <c r="AU269">
        <f>HYPERLINK("https://creighton-primo.hosted.exlibrisgroup.com/primo-explore/search?tab=default_tab&amp;search_scope=EVERYTHING&amp;vid=01CRU&amp;lang=en_US&amp;offset=0&amp;query=any,contains,991004190509702656","Catalog Record")</f>
        <v/>
      </c>
      <c r="AV269">
        <f>HYPERLINK("http://www.worldcat.org/oclc/51266018","WorldCat Record")</f>
        <v/>
      </c>
      <c r="AW269" t="inlineStr">
        <is>
          <t>2916151573:eng</t>
        </is>
      </c>
      <c r="AX269" t="inlineStr">
        <is>
          <t>51266018</t>
        </is>
      </c>
      <c r="AY269" t="inlineStr">
        <is>
          <t>991004190509702656</t>
        </is>
      </c>
      <c r="AZ269" t="inlineStr">
        <is>
          <t>991004190509702656</t>
        </is>
      </c>
      <c r="BA269" t="inlineStr">
        <is>
          <t>2271346460002656</t>
        </is>
      </c>
      <c r="BB269" t="inlineStr">
        <is>
          <t>BOOK</t>
        </is>
      </c>
      <c r="BD269" t="inlineStr">
        <is>
          <t>9780205344055</t>
        </is>
      </c>
      <c r="BE269" t="inlineStr">
        <is>
          <t>32285004635610</t>
        </is>
      </c>
      <c r="BF269" t="inlineStr">
        <is>
          <t>893882163</t>
        </is>
      </c>
    </row>
    <row r="270">
      <c r="B270" t="inlineStr">
        <is>
          <t>CURAL</t>
        </is>
      </c>
      <c r="C270" t="inlineStr">
        <is>
          <t>SHELVES</t>
        </is>
      </c>
      <c r="D270" t="inlineStr">
        <is>
          <t>QP34.5 .G867 1985</t>
        </is>
      </c>
      <c r="E270" t="inlineStr">
        <is>
          <t>0                      QP 0034500G  867         1985</t>
        </is>
      </c>
      <c r="F270" t="inlineStr">
        <is>
          <t>Anatomy and physiology / Arthur C. Guyton.</t>
        </is>
      </c>
      <c r="H270" t="inlineStr">
        <is>
          <t>No</t>
        </is>
      </c>
      <c r="I270" t="inlineStr">
        <is>
          <t>1</t>
        </is>
      </c>
      <c r="J270" t="inlineStr">
        <is>
          <t>No</t>
        </is>
      </c>
      <c r="K270" t="inlineStr">
        <is>
          <t>No</t>
        </is>
      </c>
      <c r="L270" t="inlineStr">
        <is>
          <t>0</t>
        </is>
      </c>
      <c r="M270" t="inlineStr">
        <is>
          <t>Guyton, Arthur C.</t>
        </is>
      </c>
      <c r="N270" t="inlineStr">
        <is>
          <t>Philadelphia : Saunders College Pub., c1985.</t>
        </is>
      </c>
      <c r="O270" t="inlineStr">
        <is>
          <t>1985</t>
        </is>
      </c>
      <c r="Q270" t="inlineStr">
        <is>
          <t>eng</t>
        </is>
      </c>
      <c r="R270" t="inlineStr">
        <is>
          <t>pau</t>
        </is>
      </c>
      <c r="T270" t="inlineStr">
        <is>
          <t xml:space="preserve">QP </t>
        </is>
      </c>
      <c r="U270" t="n">
        <v>6</v>
      </c>
      <c r="V270" t="n">
        <v>6</v>
      </c>
      <c r="W270" t="inlineStr">
        <is>
          <t>2000-08-16</t>
        </is>
      </c>
      <c r="X270" t="inlineStr">
        <is>
          <t>2000-08-16</t>
        </is>
      </c>
      <c r="Y270" t="inlineStr">
        <is>
          <t>1993-03-24</t>
        </is>
      </c>
      <c r="Z270" t="inlineStr">
        <is>
          <t>1993-03-24</t>
        </is>
      </c>
      <c r="AA270" t="n">
        <v>159</v>
      </c>
      <c r="AB270" t="n">
        <v>101</v>
      </c>
      <c r="AC270" t="n">
        <v>102</v>
      </c>
      <c r="AD270" t="n">
        <v>1</v>
      </c>
      <c r="AE270" t="n">
        <v>1</v>
      </c>
      <c r="AF270" t="n">
        <v>4</v>
      </c>
      <c r="AG270" t="n">
        <v>4</v>
      </c>
      <c r="AH270" t="n">
        <v>0</v>
      </c>
      <c r="AI270" t="n">
        <v>0</v>
      </c>
      <c r="AJ270" t="n">
        <v>3</v>
      </c>
      <c r="AK270" t="n">
        <v>3</v>
      </c>
      <c r="AL270" t="n">
        <v>2</v>
      </c>
      <c r="AM270" t="n">
        <v>2</v>
      </c>
      <c r="AN270" t="n">
        <v>0</v>
      </c>
      <c r="AO270" t="n">
        <v>0</v>
      </c>
      <c r="AP270" t="n">
        <v>0</v>
      </c>
      <c r="AQ270" t="n">
        <v>0</v>
      </c>
      <c r="AR270" t="inlineStr">
        <is>
          <t>No</t>
        </is>
      </c>
      <c r="AS270" t="inlineStr">
        <is>
          <t>No</t>
        </is>
      </c>
      <c r="AU270">
        <f>HYPERLINK("https://creighton-primo.hosted.exlibrisgroup.com/primo-explore/search?tab=default_tab&amp;search_scope=EVERYTHING&amp;vid=01CRU&amp;lang=en_US&amp;offset=0&amp;query=any,contains,991000436129702656","Catalog Record")</f>
        <v/>
      </c>
      <c r="AV270">
        <f>HYPERLINK("http://www.worldcat.org/oclc/10799011","WorldCat Record")</f>
        <v/>
      </c>
      <c r="AW270" t="inlineStr">
        <is>
          <t>3791051:eng</t>
        </is>
      </c>
      <c r="AX270" t="inlineStr">
        <is>
          <t>10799011</t>
        </is>
      </c>
      <c r="AY270" t="inlineStr">
        <is>
          <t>991000436129702656</t>
        </is>
      </c>
      <c r="AZ270" t="inlineStr">
        <is>
          <t>991000436129702656</t>
        </is>
      </c>
      <c r="BA270" t="inlineStr">
        <is>
          <t>2269960530002656</t>
        </is>
      </c>
      <c r="BB270" t="inlineStr">
        <is>
          <t>BOOK</t>
        </is>
      </c>
      <c r="BD270" t="inlineStr">
        <is>
          <t>9780030631573</t>
        </is>
      </c>
      <c r="BE270" t="inlineStr">
        <is>
          <t>32285001579837</t>
        </is>
      </c>
      <c r="BF270" t="inlineStr">
        <is>
          <t>893784208</t>
        </is>
      </c>
    </row>
    <row r="271">
      <c r="B271" t="inlineStr">
        <is>
          <t>CURAL</t>
        </is>
      </c>
      <c r="C271" t="inlineStr">
        <is>
          <t>SHELVES</t>
        </is>
      </c>
      <c r="D271" t="inlineStr">
        <is>
          <t>QP34.5 .G87 1987</t>
        </is>
      </c>
      <c r="E271" t="inlineStr">
        <is>
          <t>0                      QP 0034500G  87          1987</t>
        </is>
      </c>
      <c r="F271" t="inlineStr">
        <is>
          <t>Human physiology and mechanisms of disease / Arthur C. Guyton.</t>
        </is>
      </c>
      <c r="H271" t="inlineStr">
        <is>
          <t>No</t>
        </is>
      </c>
      <c r="I271" t="inlineStr">
        <is>
          <t>1</t>
        </is>
      </c>
      <c r="J271" t="inlineStr">
        <is>
          <t>No</t>
        </is>
      </c>
      <c r="K271" t="inlineStr">
        <is>
          <t>Yes</t>
        </is>
      </c>
      <c r="L271" t="inlineStr">
        <is>
          <t>0</t>
        </is>
      </c>
      <c r="M271" t="inlineStr">
        <is>
          <t>Guyton, Arthur C.</t>
        </is>
      </c>
      <c r="N271" t="inlineStr">
        <is>
          <t>Philadelphia : Saunders, 1987.</t>
        </is>
      </c>
      <c r="O271" t="inlineStr">
        <is>
          <t>1987</t>
        </is>
      </c>
      <c r="P271" t="inlineStr">
        <is>
          <t>4th ed.</t>
        </is>
      </c>
      <c r="Q271" t="inlineStr">
        <is>
          <t>eng</t>
        </is>
      </c>
      <c r="R271" t="inlineStr">
        <is>
          <t>pau</t>
        </is>
      </c>
      <c r="T271" t="inlineStr">
        <is>
          <t xml:space="preserve">QP </t>
        </is>
      </c>
      <c r="U271" t="n">
        <v>41</v>
      </c>
      <c r="V271" t="n">
        <v>41</v>
      </c>
      <c r="W271" t="inlineStr">
        <is>
          <t>2004-03-28</t>
        </is>
      </c>
      <c r="X271" t="inlineStr">
        <is>
          <t>2004-03-28</t>
        </is>
      </c>
      <c r="Y271" t="inlineStr">
        <is>
          <t>1990-07-12</t>
        </is>
      </c>
      <c r="Z271" t="inlineStr">
        <is>
          <t>1990-07-12</t>
        </is>
      </c>
      <c r="AA271" t="n">
        <v>365</v>
      </c>
      <c r="AB271" t="n">
        <v>257</v>
      </c>
      <c r="AC271" t="n">
        <v>929</v>
      </c>
      <c r="AD271" t="n">
        <v>2</v>
      </c>
      <c r="AE271" t="n">
        <v>6</v>
      </c>
      <c r="AF271" t="n">
        <v>7</v>
      </c>
      <c r="AG271" t="n">
        <v>30</v>
      </c>
      <c r="AH271" t="n">
        <v>1</v>
      </c>
      <c r="AI271" t="n">
        <v>12</v>
      </c>
      <c r="AJ271" t="n">
        <v>3</v>
      </c>
      <c r="AK271" t="n">
        <v>10</v>
      </c>
      <c r="AL271" t="n">
        <v>4</v>
      </c>
      <c r="AM271" t="n">
        <v>18</v>
      </c>
      <c r="AN271" t="n">
        <v>1</v>
      </c>
      <c r="AO271" t="n">
        <v>3</v>
      </c>
      <c r="AP271" t="n">
        <v>0</v>
      </c>
      <c r="AQ271" t="n">
        <v>0</v>
      </c>
      <c r="AR271" t="inlineStr">
        <is>
          <t>No</t>
        </is>
      </c>
      <c r="AS271" t="inlineStr">
        <is>
          <t>No</t>
        </is>
      </c>
      <c r="AU271">
        <f>HYPERLINK("https://creighton-primo.hosted.exlibrisgroup.com/primo-explore/search?tab=default_tab&amp;search_scope=EVERYTHING&amp;vid=01CRU&amp;lang=en_US&amp;offset=0&amp;query=any,contains,991005253119702656","Catalog Record")</f>
        <v/>
      </c>
      <c r="AV271">
        <f>HYPERLINK("http://www.worldcat.org/oclc/13822038","WorldCat Record")</f>
        <v/>
      </c>
      <c r="AW271" t="inlineStr">
        <is>
          <t>894431:eng</t>
        </is>
      </c>
      <c r="AX271" t="inlineStr">
        <is>
          <t>13822038</t>
        </is>
      </c>
      <c r="AY271" t="inlineStr">
        <is>
          <t>991005253119702656</t>
        </is>
      </c>
      <c r="AZ271" t="inlineStr">
        <is>
          <t>991005253119702656</t>
        </is>
      </c>
      <c r="BA271" t="inlineStr">
        <is>
          <t>2266829850002656</t>
        </is>
      </c>
      <c r="BB271" t="inlineStr">
        <is>
          <t>BOOK</t>
        </is>
      </c>
      <c r="BD271" t="inlineStr">
        <is>
          <t>9780721621142</t>
        </is>
      </c>
      <c r="BE271" t="inlineStr">
        <is>
          <t>32285000236355</t>
        </is>
      </c>
      <c r="BF271" t="inlineStr">
        <is>
          <t>893527176</t>
        </is>
      </c>
    </row>
    <row r="272">
      <c r="B272" t="inlineStr">
        <is>
          <t>CURAL</t>
        </is>
      </c>
      <c r="C272" t="inlineStr">
        <is>
          <t>SHELVES</t>
        </is>
      </c>
      <c r="D272" t="inlineStr">
        <is>
          <t>QP34.5 .G89 1979</t>
        </is>
      </c>
      <c r="E272" t="inlineStr">
        <is>
          <t>0                      QP 0034500G  89          1979</t>
        </is>
      </c>
      <c r="F272" t="inlineStr">
        <is>
          <t>Physiology of the human body / Arthur C. Guyton.</t>
        </is>
      </c>
      <c r="H272" t="inlineStr">
        <is>
          <t>No</t>
        </is>
      </c>
      <c r="I272" t="inlineStr">
        <is>
          <t>1</t>
        </is>
      </c>
      <c r="J272" t="inlineStr">
        <is>
          <t>No</t>
        </is>
      </c>
      <c r="K272" t="inlineStr">
        <is>
          <t>Yes</t>
        </is>
      </c>
      <c r="L272" t="inlineStr">
        <is>
          <t>0</t>
        </is>
      </c>
      <c r="M272" t="inlineStr">
        <is>
          <t>Guyton, Arthur C.</t>
        </is>
      </c>
      <c r="N272" t="inlineStr">
        <is>
          <t>Philadelphia : Saunders, 1979.</t>
        </is>
      </c>
      <c r="O272" t="inlineStr">
        <is>
          <t>1979</t>
        </is>
      </c>
      <c r="P272" t="inlineStr">
        <is>
          <t>5th ed.</t>
        </is>
      </c>
      <c r="Q272" t="inlineStr">
        <is>
          <t>eng</t>
        </is>
      </c>
      <c r="R272" t="inlineStr">
        <is>
          <t>pau</t>
        </is>
      </c>
      <c r="T272" t="inlineStr">
        <is>
          <t xml:space="preserve">QP </t>
        </is>
      </c>
      <c r="U272" t="n">
        <v>16</v>
      </c>
      <c r="V272" t="n">
        <v>16</v>
      </c>
      <c r="W272" t="inlineStr">
        <is>
          <t>1996-12-05</t>
        </is>
      </c>
      <c r="X272" t="inlineStr">
        <is>
          <t>1996-12-05</t>
        </is>
      </c>
      <c r="Y272" t="inlineStr">
        <is>
          <t>1992-01-21</t>
        </is>
      </c>
      <c r="Z272" t="inlineStr">
        <is>
          <t>1992-01-21</t>
        </is>
      </c>
      <c r="AA272" t="n">
        <v>336</v>
      </c>
      <c r="AB272" t="n">
        <v>222</v>
      </c>
      <c r="AC272" t="n">
        <v>352</v>
      </c>
      <c r="AD272" t="n">
        <v>2</v>
      </c>
      <c r="AE272" t="n">
        <v>2</v>
      </c>
      <c r="AF272" t="n">
        <v>8</v>
      </c>
      <c r="AG272" t="n">
        <v>14</v>
      </c>
      <c r="AH272" t="n">
        <v>2</v>
      </c>
      <c r="AI272" t="n">
        <v>4</v>
      </c>
      <c r="AJ272" t="n">
        <v>1</v>
      </c>
      <c r="AK272" t="n">
        <v>4</v>
      </c>
      <c r="AL272" t="n">
        <v>4</v>
      </c>
      <c r="AM272" t="n">
        <v>6</v>
      </c>
      <c r="AN272" t="n">
        <v>1</v>
      </c>
      <c r="AO272" t="n">
        <v>1</v>
      </c>
      <c r="AP272" t="n">
        <v>0</v>
      </c>
      <c r="AQ272" t="n">
        <v>0</v>
      </c>
      <c r="AR272" t="inlineStr">
        <is>
          <t>No</t>
        </is>
      </c>
      <c r="AS272" t="inlineStr">
        <is>
          <t>Yes</t>
        </is>
      </c>
      <c r="AT272">
        <f>HYPERLINK("http://catalog.hathitrust.org/Record/000256960","HathiTrust Record")</f>
        <v/>
      </c>
      <c r="AU272">
        <f>HYPERLINK("https://creighton-primo.hosted.exlibrisgroup.com/primo-explore/search?tab=default_tab&amp;search_scope=EVERYTHING&amp;vid=01CRU&amp;lang=en_US&amp;offset=0&amp;query=any,contains,991005253099702656","Catalog Record")</f>
        <v/>
      </c>
      <c r="AV272">
        <f>HYPERLINK("http://www.worldcat.org/oclc/4500027","WorldCat Record")</f>
        <v/>
      </c>
      <c r="AW272" t="inlineStr">
        <is>
          <t>1908963248:eng</t>
        </is>
      </c>
      <c r="AX272" t="inlineStr">
        <is>
          <t>4500027</t>
        </is>
      </c>
      <c r="AY272" t="inlineStr">
        <is>
          <t>991005253099702656</t>
        </is>
      </c>
      <c r="AZ272" t="inlineStr">
        <is>
          <t>991005253099702656</t>
        </is>
      </c>
      <c r="BA272" t="inlineStr">
        <is>
          <t>2266658360002656</t>
        </is>
      </c>
      <c r="BB272" t="inlineStr">
        <is>
          <t>BOOK</t>
        </is>
      </c>
      <c r="BD272" t="inlineStr">
        <is>
          <t>9780721643786</t>
        </is>
      </c>
      <c r="BE272" t="inlineStr">
        <is>
          <t>32285000916626</t>
        </is>
      </c>
      <c r="BF272" t="inlineStr">
        <is>
          <t>893625701</t>
        </is>
      </c>
    </row>
    <row r="273">
      <c r="B273" t="inlineStr">
        <is>
          <t>CURAL</t>
        </is>
      </c>
      <c r="C273" t="inlineStr">
        <is>
          <t>SHELVES</t>
        </is>
      </c>
      <c r="D273" t="inlineStr">
        <is>
          <t>QP34.5 .G9 1976</t>
        </is>
      </c>
      <c r="E273" t="inlineStr">
        <is>
          <t>0                      QP 0034500G  9           1976</t>
        </is>
      </c>
      <c r="F273" t="inlineStr">
        <is>
          <t>Textbook of medical physiology / Arthur Guyton.</t>
        </is>
      </c>
      <c r="H273" t="inlineStr">
        <is>
          <t>No</t>
        </is>
      </c>
      <c r="I273" t="inlineStr">
        <is>
          <t>1</t>
        </is>
      </c>
      <c r="J273" t="inlineStr">
        <is>
          <t>No</t>
        </is>
      </c>
      <c r="K273" t="inlineStr">
        <is>
          <t>Yes</t>
        </is>
      </c>
      <c r="L273" t="inlineStr">
        <is>
          <t>0</t>
        </is>
      </c>
      <c r="M273" t="inlineStr">
        <is>
          <t>Guyton, Arthur C.</t>
        </is>
      </c>
      <c r="N273" t="inlineStr">
        <is>
          <t>Philadelphia : Saunders, 1976.</t>
        </is>
      </c>
      <c r="O273" t="inlineStr">
        <is>
          <t>1976</t>
        </is>
      </c>
      <c r="P273" t="inlineStr">
        <is>
          <t>5th ed.</t>
        </is>
      </c>
      <c r="Q273" t="inlineStr">
        <is>
          <t>eng</t>
        </is>
      </c>
      <c r="R273" t="inlineStr">
        <is>
          <t>pau</t>
        </is>
      </c>
      <c r="T273" t="inlineStr">
        <is>
          <t xml:space="preserve">QP </t>
        </is>
      </c>
      <c r="U273" t="n">
        <v>5</v>
      </c>
      <c r="V273" t="n">
        <v>5</v>
      </c>
      <c r="W273" t="inlineStr">
        <is>
          <t>1995-02-14</t>
        </is>
      </c>
      <c r="X273" t="inlineStr">
        <is>
          <t>1995-02-14</t>
        </is>
      </c>
      <c r="Y273" t="inlineStr">
        <is>
          <t>1992-03-17</t>
        </is>
      </c>
      <c r="Z273" t="inlineStr">
        <is>
          <t>1992-03-17</t>
        </is>
      </c>
      <c r="AA273" t="n">
        <v>428</v>
      </c>
      <c r="AB273" t="n">
        <v>326</v>
      </c>
      <c r="AC273" t="n">
        <v>2217</v>
      </c>
      <c r="AD273" t="n">
        <v>2</v>
      </c>
      <c r="AE273" t="n">
        <v>17</v>
      </c>
      <c r="AF273" t="n">
        <v>6</v>
      </c>
      <c r="AG273" t="n">
        <v>56</v>
      </c>
      <c r="AH273" t="n">
        <v>1</v>
      </c>
      <c r="AI273" t="n">
        <v>22</v>
      </c>
      <c r="AJ273" t="n">
        <v>2</v>
      </c>
      <c r="AK273" t="n">
        <v>11</v>
      </c>
      <c r="AL273" t="n">
        <v>5</v>
      </c>
      <c r="AM273" t="n">
        <v>22</v>
      </c>
      <c r="AN273" t="n">
        <v>0</v>
      </c>
      <c r="AO273" t="n">
        <v>10</v>
      </c>
      <c r="AP273" t="n">
        <v>0</v>
      </c>
      <c r="AQ273" t="n">
        <v>1</v>
      </c>
      <c r="AR273" t="inlineStr">
        <is>
          <t>No</t>
        </is>
      </c>
      <c r="AS273" t="inlineStr">
        <is>
          <t>Yes</t>
        </is>
      </c>
      <c r="AT273">
        <f>HYPERLINK("http://catalog.hathitrust.org/Record/000712239","HathiTrust Record")</f>
        <v/>
      </c>
      <c r="AU273">
        <f>HYPERLINK("https://creighton-primo.hosted.exlibrisgroup.com/primo-explore/search?tab=default_tab&amp;search_scope=EVERYTHING&amp;vid=01CRU&amp;lang=en_US&amp;offset=0&amp;query=any,contains,991003954529702656","Catalog Record")</f>
        <v/>
      </c>
      <c r="AV273">
        <f>HYPERLINK("http://www.worldcat.org/oclc/1961652","WorldCat Record")</f>
        <v/>
      </c>
      <c r="AW273" t="inlineStr">
        <is>
          <t>3901005111:eng</t>
        </is>
      </c>
      <c r="AX273" t="inlineStr">
        <is>
          <t>1961652</t>
        </is>
      </c>
      <c r="AY273" t="inlineStr">
        <is>
          <t>991003954529702656</t>
        </is>
      </c>
      <c r="AZ273" t="inlineStr">
        <is>
          <t>991003954529702656</t>
        </is>
      </c>
      <c r="BA273" t="inlineStr">
        <is>
          <t>2268149390002656</t>
        </is>
      </c>
      <c r="BB273" t="inlineStr">
        <is>
          <t>BOOK</t>
        </is>
      </c>
      <c r="BD273" t="inlineStr">
        <is>
          <t>9780721643939</t>
        </is>
      </c>
      <c r="BE273" t="inlineStr">
        <is>
          <t>32285000529072</t>
        </is>
      </c>
      <c r="BF273" t="inlineStr">
        <is>
          <t>893781685</t>
        </is>
      </c>
    </row>
    <row r="274">
      <c r="B274" t="inlineStr">
        <is>
          <t>CURAL</t>
        </is>
      </c>
      <c r="C274" t="inlineStr">
        <is>
          <t>SHELVES</t>
        </is>
      </c>
      <c r="D274" t="inlineStr">
        <is>
          <t>QP34.5 .L363 1980</t>
        </is>
      </c>
      <c r="E274" t="inlineStr">
        <is>
          <t>0                      QP 0034500L  363         1980</t>
        </is>
      </c>
      <c r="F274" t="inlineStr">
        <is>
          <t>Dynamic anatomy and physiology / L. L. Langley, Ira R. Telford, John B. Christensen.</t>
        </is>
      </c>
      <c r="H274" t="inlineStr">
        <is>
          <t>No</t>
        </is>
      </c>
      <c r="I274" t="inlineStr">
        <is>
          <t>1</t>
        </is>
      </c>
      <c r="J274" t="inlineStr">
        <is>
          <t>No</t>
        </is>
      </c>
      <c r="K274" t="inlineStr">
        <is>
          <t>No</t>
        </is>
      </c>
      <c r="L274" t="inlineStr">
        <is>
          <t>0</t>
        </is>
      </c>
      <c r="M274" t="inlineStr">
        <is>
          <t>Langley, L. L. (Leroy Lester), 1916-</t>
        </is>
      </c>
      <c r="N274" t="inlineStr">
        <is>
          <t>New York : McGraw-Hill, c1980.</t>
        </is>
      </c>
      <c r="O274" t="inlineStr">
        <is>
          <t>1980</t>
        </is>
      </c>
      <c r="P274" t="inlineStr">
        <is>
          <t>5th ed.</t>
        </is>
      </c>
      <c r="Q274" t="inlineStr">
        <is>
          <t>eng</t>
        </is>
      </c>
      <c r="R274" t="inlineStr">
        <is>
          <t>nyu</t>
        </is>
      </c>
      <c r="T274" t="inlineStr">
        <is>
          <t xml:space="preserve">QP </t>
        </is>
      </c>
      <c r="U274" t="n">
        <v>1</v>
      </c>
      <c r="V274" t="n">
        <v>1</v>
      </c>
      <c r="W274" t="inlineStr">
        <is>
          <t>2000-10-25</t>
        </is>
      </c>
      <c r="X274" t="inlineStr">
        <is>
          <t>2000-10-25</t>
        </is>
      </c>
      <c r="Y274" t="inlineStr">
        <is>
          <t>1990-07-12</t>
        </is>
      </c>
      <c r="Z274" t="inlineStr">
        <is>
          <t>1990-07-12</t>
        </is>
      </c>
      <c r="AA274" t="n">
        <v>222</v>
      </c>
      <c r="AB274" t="n">
        <v>166</v>
      </c>
      <c r="AC274" t="n">
        <v>506</v>
      </c>
      <c r="AD274" t="n">
        <v>2</v>
      </c>
      <c r="AE274" t="n">
        <v>2</v>
      </c>
      <c r="AF274" t="n">
        <v>1</v>
      </c>
      <c r="AG274" t="n">
        <v>13</v>
      </c>
      <c r="AH274" t="n">
        <v>0</v>
      </c>
      <c r="AI274" t="n">
        <v>5</v>
      </c>
      <c r="AJ274" t="n">
        <v>0</v>
      </c>
      <c r="AK274" t="n">
        <v>4</v>
      </c>
      <c r="AL274" t="n">
        <v>0</v>
      </c>
      <c r="AM274" t="n">
        <v>7</v>
      </c>
      <c r="AN274" t="n">
        <v>1</v>
      </c>
      <c r="AO274" t="n">
        <v>1</v>
      </c>
      <c r="AP274" t="n">
        <v>0</v>
      </c>
      <c r="AQ274" t="n">
        <v>0</v>
      </c>
      <c r="AR274" t="inlineStr">
        <is>
          <t>No</t>
        </is>
      </c>
      <c r="AS274" t="inlineStr">
        <is>
          <t>Yes</t>
        </is>
      </c>
      <c r="AT274">
        <f>HYPERLINK("http://catalog.hathitrust.org/Record/000687473","HathiTrust Record")</f>
        <v/>
      </c>
      <c r="AU274">
        <f>HYPERLINK("https://creighton-primo.hosted.exlibrisgroup.com/primo-explore/search?tab=default_tab&amp;search_scope=EVERYTHING&amp;vid=01CRU&amp;lang=en_US&amp;offset=0&amp;query=any,contains,991004817209702656","Catalog Record")</f>
        <v/>
      </c>
      <c r="AV274">
        <f>HYPERLINK("http://www.worldcat.org/oclc/5310851","WorldCat Record")</f>
        <v/>
      </c>
      <c r="AW274" t="inlineStr">
        <is>
          <t>405739:eng</t>
        </is>
      </c>
      <c r="AX274" t="inlineStr">
        <is>
          <t>5310851</t>
        </is>
      </c>
      <c r="AY274" t="inlineStr">
        <is>
          <t>991004817209702656</t>
        </is>
      </c>
      <c r="AZ274" t="inlineStr">
        <is>
          <t>991004817209702656</t>
        </is>
      </c>
      <c r="BA274" t="inlineStr">
        <is>
          <t>2264414850002656</t>
        </is>
      </c>
      <c r="BB274" t="inlineStr">
        <is>
          <t>BOOK</t>
        </is>
      </c>
      <c r="BD274" t="inlineStr">
        <is>
          <t>9780070362758</t>
        </is>
      </c>
      <c r="BE274" t="inlineStr">
        <is>
          <t>32285000236363</t>
        </is>
      </c>
      <c r="BF274" t="inlineStr">
        <is>
          <t>893532839</t>
        </is>
      </c>
    </row>
    <row r="275">
      <c r="B275" t="inlineStr">
        <is>
          <t>CURAL</t>
        </is>
      </c>
      <c r="C275" t="inlineStr">
        <is>
          <t>SHELVES</t>
        </is>
      </c>
      <c r="D275" t="inlineStr">
        <is>
          <t>QP34.5 .L83 1983</t>
        </is>
      </c>
      <c r="E275" t="inlineStr">
        <is>
          <t>0                      QP 0034500L  83          1983</t>
        </is>
      </c>
      <c r="F275" t="inlineStr">
        <is>
          <t>Human anatomy and physiology : structure and function / Dorothy S. Luciano, Arthur J. Vander, James H. Sherman.</t>
        </is>
      </c>
      <c r="H275" t="inlineStr">
        <is>
          <t>No</t>
        </is>
      </c>
      <c r="I275" t="inlineStr">
        <is>
          <t>1</t>
        </is>
      </c>
      <c r="J275" t="inlineStr">
        <is>
          <t>No</t>
        </is>
      </c>
      <c r="K275" t="inlineStr">
        <is>
          <t>No</t>
        </is>
      </c>
      <c r="L275" t="inlineStr">
        <is>
          <t>0</t>
        </is>
      </c>
      <c r="M275" t="inlineStr">
        <is>
          <t>Luciano, Dorothy S.</t>
        </is>
      </c>
      <c r="N275" t="inlineStr">
        <is>
          <t>New York : McGraw-Hill, c1983.</t>
        </is>
      </c>
      <c r="O275" t="inlineStr">
        <is>
          <t>1983</t>
        </is>
      </c>
      <c r="P275" t="inlineStr">
        <is>
          <t>2nd ed.</t>
        </is>
      </c>
      <c r="Q275" t="inlineStr">
        <is>
          <t>eng</t>
        </is>
      </c>
      <c r="R275" t="inlineStr">
        <is>
          <t>nyu</t>
        </is>
      </c>
      <c r="T275" t="inlineStr">
        <is>
          <t xml:space="preserve">QP </t>
        </is>
      </c>
      <c r="U275" t="n">
        <v>19</v>
      </c>
      <c r="V275" t="n">
        <v>19</v>
      </c>
      <c r="W275" t="inlineStr">
        <is>
          <t>2006-04-04</t>
        </is>
      </c>
      <c r="X275" t="inlineStr">
        <is>
          <t>2006-04-04</t>
        </is>
      </c>
      <c r="Y275" t="inlineStr">
        <is>
          <t>1992-03-31</t>
        </is>
      </c>
      <c r="Z275" t="inlineStr">
        <is>
          <t>1992-03-31</t>
        </is>
      </c>
      <c r="AA275" t="n">
        <v>137</v>
      </c>
      <c r="AB275" t="n">
        <v>96</v>
      </c>
      <c r="AC275" t="n">
        <v>98</v>
      </c>
      <c r="AD275" t="n">
        <v>1</v>
      </c>
      <c r="AE275" t="n">
        <v>1</v>
      </c>
      <c r="AF275" t="n">
        <v>2</v>
      </c>
      <c r="AG275" t="n">
        <v>2</v>
      </c>
      <c r="AH275" t="n">
        <v>0</v>
      </c>
      <c r="AI275" t="n">
        <v>0</v>
      </c>
      <c r="AJ275" t="n">
        <v>2</v>
      </c>
      <c r="AK275" t="n">
        <v>2</v>
      </c>
      <c r="AL275" t="n">
        <v>1</v>
      </c>
      <c r="AM275" t="n">
        <v>1</v>
      </c>
      <c r="AN275" t="n">
        <v>0</v>
      </c>
      <c r="AO275" t="n">
        <v>0</v>
      </c>
      <c r="AP275" t="n">
        <v>0</v>
      </c>
      <c r="AQ275" t="n">
        <v>0</v>
      </c>
      <c r="AR275" t="inlineStr">
        <is>
          <t>No</t>
        </is>
      </c>
      <c r="AS275" t="inlineStr">
        <is>
          <t>Yes</t>
        </is>
      </c>
      <c r="AT275">
        <f>HYPERLINK("http://catalog.hathitrust.org/Record/000284094","HathiTrust Record")</f>
        <v/>
      </c>
      <c r="AU275">
        <f>HYPERLINK("https://creighton-primo.hosted.exlibrisgroup.com/primo-explore/search?tab=default_tab&amp;search_scope=EVERYTHING&amp;vid=01CRU&amp;lang=en_US&amp;offset=0&amp;query=any,contains,991000051459702656","Catalog Record")</f>
        <v/>
      </c>
      <c r="AV275">
        <f>HYPERLINK("http://www.worldcat.org/oclc/8688694","WorldCat Record")</f>
        <v/>
      </c>
      <c r="AW275" t="inlineStr">
        <is>
          <t>405854:eng</t>
        </is>
      </c>
      <c r="AX275" t="inlineStr">
        <is>
          <t>8688694</t>
        </is>
      </c>
      <c r="AY275" t="inlineStr">
        <is>
          <t>991000051459702656</t>
        </is>
      </c>
      <c r="AZ275" t="inlineStr">
        <is>
          <t>991000051459702656</t>
        </is>
      </c>
      <c r="BA275" t="inlineStr">
        <is>
          <t>2272560130002656</t>
        </is>
      </c>
      <c r="BB275" t="inlineStr">
        <is>
          <t>BOOK</t>
        </is>
      </c>
      <c r="BD275" t="inlineStr">
        <is>
          <t>9780070389625</t>
        </is>
      </c>
      <c r="BE275" t="inlineStr">
        <is>
          <t>32285001031672</t>
        </is>
      </c>
      <c r="BF275" t="inlineStr">
        <is>
          <t>893708053</t>
        </is>
      </c>
    </row>
    <row r="276">
      <c r="B276" t="inlineStr">
        <is>
          <t>CURAL</t>
        </is>
      </c>
      <c r="C276" t="inlineStr">
        <is>
          <t>SHELVES</t>
        </is>
      </c>
      <c r="D276" t="inlineStr">
        <is>
          <t>QP34.5 .P48513 1989</t>
        </is>
      </c>
      <c r="E276" t="inlineStr">
        <is>
          <t>0                      QP 0034500P  48513       1989</t>
        </is>
      </c>
      <c r="F276" t="inlineStr">
        <is>
          <t>Human physiology / R.F. Schmidt, G. Thews (eds.) ; translated by Marguerite A. Biederman-Thorson.</t>
        </is>
      </c>
      <c r="H276" t="inlineStr">
        <is>
          <t>No</t>
        </is>
      </c>
      <c r="I276" t="inlineStr">
        <is>
          <t>1</t>
        </is>
      </c>
      <c r="J276" t="inlineStr">
        <is>
          <t>No</t>
        </is>
      </c>
      <c r="K276" t="inlineStr">
        <is>
          <t>No</t>
        </is>
      </c>
      <c r="L276" t="inlineStr">
        <is>
          <t>0</t>
        </is>
      </c>
      <c r="M276" t="inlineStr">
        <is>
          <t>Physiologie des Menschen. English.</t>
        </is>
      </c>
      <c r="N276" t="inlineStr">
        <is>
          <t>Berlin ; New York : Springer-Verlag, c1989.</t>
        </is>
      </c>
      <c r="O276" t="inlineStr">
        <is>
          <t>1989</t>
        </is>
      </c>
      <c r="P276" t="inlineStr">
        <is>
          <t>2nd completely rev. ed.</t>
        </is>
      </c>
      <c r="Q276" t="inlineStr">
        <is>
          <t>eng</t>
        </is>
      </c>
      <c r="R276" t="inlineStr">
        <is>
          <t xml:space="preserve">gw </t>
        </is>
      </c>
      <c r="T276" t="inlineStr">
        <is>
          <t xml:space="preserve">QP </t>
        </is>
      </c>
      <c r="U276" t="n">
        <v>29</v>
      </c>
      <c r="V276" t="n">
        <v>29</v>
      </c>
      <c r="W276" t="inlineStr">
        <is>
          <t>2005-02-18</t>
        </is>
      </c>
      <c r="X276" t="inlineStr">
        <is>
          <t>2005-02-18</t>
        </is>
      </c>
      <c r="Y276" t="inlineStr">
        <is>
          <t>1990-04-24</t>
        </is>
      </c>
      <c r="Z276" t="inlineStr">
        <is>
          <t>1990-04-24</t>
        </is>
      </c>
      <c r="AA276" t="n">
        <v>231</v>
      </c>
      <c r="AB276" t="n">
        <v>124</v>
      </c>
      <c r="AC276" t="n">
        <v>237</v>
      </c>
      <c r="AD276" t="n">
        <v>3</v>
      </c>
      <c r="AE276" t="n">
        <v>3</v>
      </c>
      <c r="AF276" t="n">
        <v>5</v>
      </c>
      <c r="AG276" t="n">
        <v>7</v>
      </c>
      <c r="AH276" t="n">
        <v>3</v>
      </c>
      <c r="AI276" t="n">
        <v>4</v>
      </c>
      <c r="AJ276" t="n">
        <v>1</v>
      </c>
      <c r="AK276" t="n">
        <v>2</v>
      </c>
      <c r="AL276" t="n">
        <v>1</v>
      </c>
      <c r="AM276" t="n">
        <v>3</v>
      </c>
      <c r="AN276" t="n">
        <v>2</v>
      </c>
      <c r="AO276" t="n">
        <v>2</v>
      </c>
      <c r="AP276" t="n">
        <v>0</v>
      </c>
      <c r="AQ276" t="n">
        <v>0</v>
      </c>
      <c r="AR276" t="inlineStr">
        <is>
          <t>No</t>
        </is>
      </c>
      <c r="AS276" t="inlineStr">
        <is>
          <t>Yes</t>
        </is>
      </c>
      <c r="AT276">
        <f>HYPERLINK("http://catalog.hathitrust.org/Record/001814512","HathiTrust Record")</f>
        <v/>
      </c>
      <c r="AU276">
        <f>HYPERLINK("https://creighton-primo.hosted.exlibrisgroup.com/primo-explore/search?tab=default_tab&amp;search_scope=EVERYTHING&amp;vid=01CRU&amp;lang=en_US&amp;offset=0&amp;query=any,contains,991001527779702656","Catalog Record")</f>
        <v/>
      </c>
      <c r="AV276">
        <f>HYPERLINK("http://www.worldcat.org/oclc/20013919","WorldCat Record")</f>
        <v/>
      </c>
      <c r="AW276" t="inlineStr">
        <is>
          <t>10532223039:eng</t>
        </is>
      </c>
      <c r="AX276" t="inlineStr">
        <is>
          <t>20013919</t>
        </is>
      </c>
      <c r="AY276" t="inlineStr">
        <is>
          <t>991001527779702656</t>
        </is>
      </c>
      <c r="AZ276" t="inlineStr">
        <is>
          <t>991001527779702656</t>
        </is>
      </c>
      <c r="BA276" t="inlineStr">
        <is>
          <t>2262000910002656</t>
        </is>
      </c>
      <c r="BB276" t="inlineStr">
        <is>
          <t>BOOK</t>
        </is>
      </c>
      <c r="BD276" t="inlineStr">
        <is>
          <t>9780387194325</t>
        </is>
      </c>
      <c r="BE276" t="inlineStr">
        <is>
          <t>32285000115849</t>
        </is>
      </c>
      <c r="BF276" t="inlineStr">
        <is>
          <t>893432903</t>
        </is>
      </c>
    </row>
    <row r="277">
      <c r="B277" t="inlineStr">
        <is>
          <t>CURAL</t>
        </is>
      </c>
      <c r="C277" t="inlineStr">
        <is>
          <t>SHELVES</t>
        </is>
      </c>
      <c r="D277" t="inlineStr">
        <is>
          <t>QP34.5 .S56</t>
        </is>
      </c>
      <c r="E277" t="inlineStr">
        <is>
          <t>0                      QP 0034500S  56</t>
        </is>
      </c>
      <c r="F277" t="inlineStr">
        <is>
          <t>The biology of people / Sam Singer, Henry R. Hilgard.</t>
        </is>
      </c>
      <c r="H277" t="inlineStr">
        <is>
          <t>No</t>
        </is>
      </c>
      <c r="I277" t="inlineStr">
        <is>
          <t>1</t>
        </is>
      </c>
      <c r="J277" t="inlineStr">
        <is>
          <t>No</t>
        </is>
      </c>
      <c r="K277" t="inlineStr">
        <is>
          <t>No</t>
        </is>
      </c>
      <c r="L277" t="inlineStr">
        <is>
          <t>0</t>
        </is>
      </c>
      <c r="M277" t="inlineStr">
        <is>
          <t>Singer, Sam, 1944-</t>
        </is>
      </c>
      <c r="N277" t="inlineStr">
        <is>
          <t>San Francisco : W. H. Freeman, c1978.</t>
        </is>
      </c>
      <c r="O277" t="inlineStr">
        <is>
          <t>1978</t>
        </is>
      </c>
      <c r="Q277" t="inlineStr">
        <is>
          <t>eng</t>
        </is>
      </c>
      <c r="R277" t="inlineStr">
        <is>
          <t>cau</t>
        </is>
      </c>
      <c r="S277" t="inlineStr">
        <is>
          <t>A Series of books in biology</t>
        </is>
      </c>
      <c r="T277" t="inlineStr">
        <is>
          <t xml:space="preserve">QP </t>
        </is>
      </c>
      <c r="U277" t="n">
        <v>5</v>
      </c>
      <c r="V277" t="n">
        <v>5</v>
      </c>
      <c r="W277" t="inlineStr">
        <is>
          <t>2001-11-19</t>
        </is>
      </c>
      <c r="X277" t="inlineStr">
        <is>
          <t>2001-11-19</t>
        </is>
      </c>
      <c r="Y277" t="inlineStr">
        <is>
          <t>1993-02-24</t>
        </is>
      </c>
      <c r="Z277" t="inlineStr">
        <is>
          <t>1993-02-24</t>
        </is>
      </c>
      <c r="AA277" t="n">
        <v>518</v>
      </c>
      <c r="AB277" t="n">
        <v>408</v>
      </c>
      <c r="AC277" t="n">
        <v>414</v>
      </c>
      <c r="AD277" t="n">
        <v>3</v>
      </c>
      <c r="AE277" t="n">
        <v>3</v>
      </c>
      <c r="AF277" t="n">
        <v>8</v>
      </c>
      <c r="AG277" t="n">
        <v>8</v>
      </c>
      <c r="AH277" t="n">
        <v>2</v>
      </c>
      <c r="AI277" t="n">
        <v>2</v>
      </c>
      <c r="AJ277" t="n">
        <v>2</v>
      </c>
      <c r="AK277" t="n">
        <v>2</v>
      </c>
      <c r="AL277" t="n">
        <v>5</v>
      </c>
      <c r="AM277" t="n">
        <v>5</v>
      </c>
      <c r="AN277" t="n">
        <v>1</v>
      </c>
      <c r="AO277" t="n">
        <v>1</v>
      </c>
      <c r="AP277" t="n">
        <v>0</v>
      </c>
      <c r="AQ277" t="n">
        <v>0</v>
      </c>
      <c r="AR277" t="inlineStr">
        <is>
          <t>No</t>
        </is>
      </c>
      <c r="AS277" t="inlineStr">
        <is>
          <t>No</t>
        </is>
      </c>
      <c r="AU277">
        <f>HYPERLINK("https://creighton-primo.hosted.exlibrisgroup.com/primo-explore/search?tab=default_tab&amp;search_scope=EVERYTHING&amp;vid=01CRU&amp;lang=en_US&amp;offset=0&amp;query=any,contains,991004438189702656","Catalog Record")</f>
        <v/>
      </c>
      <c r="AV277">
        <f>HYPERLINK("http://www.worldcat.org/oclc/3447372","WorldCat Record")</f>
        <v/>
      </c>
      <c r="AW277" t="inlineStr">
        <is>
          <t>446953:eng</t>
        </is>
      </c>
      <c r="AX277" t="inlineStr">
        <is>
          <t>3447372</t>
        </is>
      </c>
      <c r="AY277" t="inlineStr">
        <is>
          <t>991004438189702656</t>
        </is>
      </c>
      <c r="AZ277" t="inlineStr">
        <is>
          <t>991004438189702656</t>
        </is>
      </c>
      <c r="BA277" t="inlineStr">
        <is>
          <t>2268777870002656</t>
        </is>
      </c>
      <c r="BB277" t="inlineStr">
        <is>
          <t>BOOK</t>
        </is>
      </c>
      <c r="BD277" t="inlineStr">
        <is>
          <t>9780716700265</t>
        </is>
      </c>
      <c r="BE277" t="inlineStr">
        <is>
          <t>32285001548998</t>
        </is>
      </c>
      <c r="BF277" t="inlineStr">
        <is>
          <t>893325388</t>
        </is>
      </c>
    </row>
    <row r="278">
      <c r="B278" t="inlineStr">
        <is>
          <t>CURAL</t>
        </is>
      </c>
      <c r="C278" t="inlineStr">
        <is>
          <t>SHELVES</t>
        </is>
      </c>
      <c r="D278" t="inlineStr">
        <is>
          <t>QP34.5 .S68 1983</t>
        </is>
      </c>
      <c r="E278" t="inlineStr">
        <is>
          <t>0                      QP 0034500S  68          1983</t>
        </is>
      </c>
      <c r="F278" t="inlineStr">
        <is>
          <t>Human anatomy &amp; physiology / Eldra Pearl Solomon, P. William Davis.</t>
        </is>
      </c>
      <c r="H278" t="inlineStr">
        <is>
          <t>No</t>
        </is>
      </c>
      <c r="I278" t="inlineStr">
        <is>
          <t>2</t>
        </is>
      </c>
      <c r="J278" t="inlineStr">
        <is>
          <t>No</t>
        </is>
      </c>
      <c r="K278" t="inlineStr">
        <is>
          <t>No</t>
        </is>
      </c>
      <c r="L278" t="inlineStr">
        <is>
          <t>0</t>
        </is>
      </c>
      <c r="M278" t="inlineStr">
        <is>
          <t>Solomon, Eldra Pearl.</t>
        </is>
      </c>
      <c r="N278" t="inlineStr">
        <is>
          <t>Philadelphia : Saunders College Pub., c1983.</t>
        </is>
      </c>
      <c r="O278" t="inlineStr">
        <is>
          <t>1983</t>
        </is>
      </c>
      <c r="Q278" t="inlineStr">
        <is>
          <t>eng</t>
        </is>
      </c>
      <c r="R278" t="inlineStr">
        <is>
          <t>pau</t>
        </is>
      </c>
      <c r="T278" t="inlineStr">
        <is>
          <t xml:space="preserve">QP </t>
        </is>
      </c>
      <c r="U278" t="n">
        <v>15</v>
      </c>
      <c r="V278" t="n">
        <v>15</v>
      </c>
      <c r="W278" t="inlineStr">
        <is>
          <t>2006-02-21</t>
        </is>
      </c>
      <c r="X278" t="inlineStr">
        <is>
          <t>2006-02-21</t>
        </is>
      </c>
      <c r="Y278" t="inlineStr">
        <is>
          <t>1992-03-17</t>
        </is>
      </c>
      <c r="Z278" t="inlineStr">
        <is>
          <t>1992-03-17</t>
        </is>
      </c>
      <c r="AA278" t="n">
        <v>162</v>
      </c>
      <c r="AB278" t="n">
        <v>81</v>
      </c>
      <c r="AC278" t="n">
        <v>340</v>
      </c>
      <c r="AD278" t="n">
        <v>1</v>
      </c>
      <c r="AE278" t="n">
        <v>3</v>
      </c>
      <c r="AF278" t="n">
        <v>3</v>
      </c>
      <c r="AG278" t="n">
        <v>10</v>
      </c>
      <c r="AH278" t="n">
        <v>2</v>
      </c>
      <c r="AI278" t="n">
        <v>2</v>
      </c>
      <c r="AJ278" t="n">
        <v>0</v>
      </c>
      <c r="AK278" t="n">
        <v>2</v>
      </c>
      <c r="AL278" t="n">
        <v>1</v>
      </c>
      <c r="AM278" t="n">
        <v>7</v>
      </c>
      <c r="AN278" t="n">
        <v>0</v>
      </c>
      <c r="AO278" t="n">
        <v>1</v>
      </c>
      <c r="AP278" t="n">
        <v>0</v>
      </c>
      <c r="AQ278" t="n">
        <v>0</v>
      </c>
      <c r="AR278" t="inlineStr">
        <is>
          <t>No</t>
        </is>
      </c>
      <c r="AS278" t="inlineStr">
        <is>
          <t>Yes</t>
        </is>
      </c>
      <c r="AT278">
        <f>HYPERLINK("http://catalog.hathitrust.org/Record/000403672","HathiTrust Record")</f>
        <v/>
      </c>
      <c r="AU278">
        <f>HYPERLINK("https://creighton-primo.hosted.exlibrisgroup.com/primo-explore/search?tab=default_tab&amp;search_scope=EVERYTHING&amp;vid=01CRU&amp;lang=en_US&amp;offset=0&amp;query=any,contains,991000083429702656","Catalog Record")</f>
        <v/>
      </c>
      <c r="AV278">
        <f>HYPERLINK("http://www.worldcat.org/oclc/8846316","WorldCat Record")</f>
        <v/>
      </c>
      <c r="AW278" t="inlineStr">
        <is>
          <t>23175096:eng</t>
        </is>
      </c>
      <c r="AX278" t="inlineStr">
        <is>
          <t>8846316</t>
        </is>
      </c>
      <c r="AY278" t="inlineStr">
        <is>
          <t>991000083429702656</t>
        </is>
      </c>
      <c r="AZ278" t="inlineStr">
        <is>
          <t>991000083429702656</t>
        </is>
      </c>
      <c r="BA278" t="inlineStr">
        <is>
          <t>2254891670002656</t>
        </is>
      </c>
      <c r="BB278" t="inlineStr">
        <is>
          <t>BOOK</t>
        </is>
      </c>
      <c r="BD278" t="inlineStr">
        <is>
          <t>9780030599927</t>
        </is>
      </c>
      <c r="BE278" t="inlineStr">
        <is>
          <t>32285001022515</t>
        </is>
      </c>
      <c r="BF278" t="inlineStr">
        <is>
          <t>893230858</t>
        </is>
      </c>
    </row>
    <row r="279">
      <c r="B279" t="inlineStr">
        <is>
          <t>CURAL</t>
        </is>
      </c>
      <c r="C279" t="inlineStr">
        <is>
          <t>SHELVES</t>
        </is>
      </c>
      <c r="D279" t="inlineStr">
        <is>
          <t>QP34.5 .W65 1979</t>
        </is>
      </c>
      <c r="E279" t="inlineStr">
        <is>
          <t>0                      QP 0034500W  65          1979</t>
        </is>
      </c>
      <c r="F279" t="inlineStr">
        <is>
          <t>Women look at biology looking at women : a collection of feminist critiques / edited by Ruth Hubbard, Mary Sue Henifin, and Barbara Fried, with the collaboration of Vicki Druss and Susan Leigh Star.</t>
        </is>
      </c>
      <c r="H279" t="inlineStr">
        <is>
          <t>No</t>
        </is>
      </c>
      <c r="I279" t="inlineStr">
        <is>
          <t>1</t>
        </is>
      </c>
      <c r="J279" t="inlineStr">
        <is>
          <t>No</t>
        </is>
      </c>
      <c r="K279" t="inlineStr">
        <is>
          <t>No</t>
        </is>
      </c>
      <c r="L279" t="inlineStr">
        <is>
          <t>0</t>
        </is>
      </c>
      <c r="N279" t="inlineStr">
        <is>
          <t>Cambridge, Mass. : Schenkman Pub. Co., c1979.</t>
        </is>
      </c>
      <c r="O279" t="inlineStr">
        <is>
          <t>1979</t>
        </is>
      </c>
      <c r="Q279" t="inlineStr">
        <is>
          <t>eng</t>
        </is>
      </c>
      <c r="R279" t="inlineStr">
        <is>
          <t>mau</t>
        </is>
      </c>
      <c r="T279" t="inlineStr">
        <is>
          <t xml:space="preserve">QP </t>
        </is>
      </c>
      <c r="U279" t="n">
        <v>7</v>
      </c>
      <c r="V279" t="n">
        <v>7</v>
      </c>
      <c r="W279" t="inlineStr">
        <is>
          <t>2006-04-01</t>
        </is>
      </c>
      <c r="X279" t="inlineStr">
        <is>
          <t>2006-04-01</t>
        </is>
      </c>
      <c r="Y279" t="inlineStr">
        <is>
          <t>1993-02-24</t>
        </is>
      </c>
      <c r="Z279" t="inlineStr">
        <is>
          <t>1993-02-24</t>
        </is>
      </c>
      <c r="AA279" t="n">
        <v>553</v>
      </c>
      <c r="AB279" t="n">
        <v>486</v>
      </c>
      <c r="AC279" t="n">
        <v>508</v>
      </c>
      <c r="AD279" t="n">
        <v>4</v>
      </c>
      <c r="AE279" t="n">
        <v>4</v>
      </c>
      <c r="AF279" t="n">
        <v>23</v>
      </c>
      <c r="AG279" t="n">
        <v>24</v>
      </c>
      <c r="AH279" t="n">
        <v>8</v>
      </c>
      <c r="AI279" t="n">
        <v>9</v>
      </c>
      <c r="AJ279" t="n">
        <v>5</v>
      </c>
      <c r="AK279" t="n">
        <v>6</v>
      </c>
      <c r="AL279" t="n">
        <v>9</v>
      </c>
      <c r="AM279" t="n">
        <v>9</v>
      </c>
      <c r="AN279" t="n">
        <v>3</v>
      </c>
      <c r="AO279" t="n">
        <v>3</v>
      </c>
      <c r="AP279" t="n">
        <v>0</v>
      </c>
      <c r="AQ279" t="n">
        <v>0</v>
      </c>
      <c r="AR279" t="inlineStr">
        <is>
          <t>No</t>
        </is>
      </c>
      <c r="AS279" t="inlineStr">
        <is>
          <t>No</t>
        </is>
      </c>
      <c r="AU279">
        <f>HYPERLINK("https://creighton-primo.hosted.exlibrisgroup.com/primo-explore/search?tab=default_tab&amp;search_scope=EVERYTHING&amp;vid=01CRU&amp;lang=en_US&amp;offset=0&amp;query=any,contains,991004867849702656","Catalog Record")</f>
        <v/>
      </c>
      <c r="AV279">
        <f>HYPERLINK("http://www.worldcat.org/oclc/4665102","WorldCat Record")</f>
        <v/>
      </c>
      <c r="AW279" t="inlineStr">
        <is>
          <t>909696842:eng</t>
        </is>
      </c>
      <c r="AX279" t="inlineStr">
        <is>
          <t>4665102</t>
        </is>
      </c>
      <c r="AY279" t="inlineStr">
        <is>
          <t>991004867849702656</t>
        </is>
      </c>
      <c r="AZ279" t="inlineStr">
        <is>
          <t>991004867849702656</t>
        </is>
      </c>
      <c r="BA279" t="inlineStr">
        <is>
          <t>2263563800002656</t>
        </is>
      </c>
      <c r="BB279" t="inlineStr">
        <is>
          <t>BOOK</t>
        </is>
      </c>
      <c r="BD279" t="inlineStr">
        <is>
          <t>9780816190034</t>
        </is>
      </c>
      <c r="BE279" t="inlineStr">
        <is>
          <t>32285001549012</t>
        </is>
      </c>
      <c r="BF279" t="inlineStr">
        <is>
          <t>893688295</t>
        </is>
      </c>
    </row>
    <row r="280">
      <c r="B280" t="inlineStr">
        <is>
          <t>CURAL</t>
        </is>
      </c>
      <c r="C280" t="inlineStr">
        <is>
          <t>SHELVES</t>
        </is>
      </c>
      <c r="D280" t="inlineStr">
        <is>
          <t>QP341 .C38 v...</t>
        </is>
      </c>
      <c r="E280" t="inlineStr">
        <is>
          <t>0                      QP 0341000C  38                                                      v...</t>
        </is>
      </c>
      <c r="F280" t="inlineStr">
        <is>
          <t>Cellular pacemakers / edited by David O. Carpenter.</t>
        </is>
      </c>
      <c r="G280" t="inlineStr">
        <is>
          <t>V.2</t>
        </is>
      </c>
      <c r="H280" t="inlineStr">
        <is>
          <t>No</t>
        </is>
      </c>
      <c r="I280" t="inlineStr">
        <is>
          <t>1</t>
        </is>
      </c>
      <c r="J280" t="inlineStr">
        <is>
          <t>No</t>
        </is>
      </c>
      <c r="K280" t="inlineStr">
        <is>
          <t>No</t>
        </is>
      </c>
      <c r="L280" t="inlineStr">
        <is>
          <t>0</t>
        </is>
      </c>
      <c r="N280" t="inlineStr">
        <is>
          <t>New York : Wiley, 1982-</t>
        </is>
      </c>
      <c r="O280" t="inlineStr">
        <is>
          <t>1982</t>
        </is>
      </c>
      <c r="Q280" t="inlineStr">
        <is>
          <t>eng</t>
        </is>
      </c>
      <c r="R280" t="inlineStr">
        <is>
          <t>nyu</t>
        </is>
      </c>
      <c r="T280" t="inlineStr">
        <is>
          <t xml:space="preserve">QP </t>
        </is>
      </c>
      <c r="U280" t="n">
        <v>2</v>
      </c>
      <c r="V280" t="n">
        <v>2</v>
      </c>
      <c r="W280" t="inlineStr">
        <is>
          <t>1994-01-31</t>
        </is>
      </c>
      <c r="X280" t="inlineStr">
        <is>
          <t>1994-01-31</t>
        </is>
      </c>
      <c r="Y280" t="inlineStr">
        <is>
          <t>1993-03-02</t>
        </is>
      </c>
      <c r="Z280" t="inlineStr">
        <is>
          <t>1993-03-02</t>
        </is>
      </c>
      <c r="AA280" t="n">
        <v>165</v>
      </c>
      <c r="AB280" t="n">
        <v>133</v>
      </c>
      <c r="AC280" t="n">
        <v>133</v>
      </c>
      <c r="AD280" t="n">
        <v>2</v>
      </c>
      <c r="AE280" t="n">
        <v>2</v>
      </c>
      <c r="AF280" t="n">
        <v>3</v>
      </c>
      <c r="AG280" t="n">
        <v>3</v>
      </c>
      <c r="AH280" t="n">
        <v>0</v>
      </c>
      <c r="AI280" t="n">
        <v>0</v>
      </c>
      <c r="AJ280" t="n">
        <v>2</v>
      </c>
      <c r="AK280" t="n">
        <v>2</v>
      </c>
      <c r="AL280" t="n">
        <v>1</v>
      </c>
      <c r="AM280" t="n">
        <v>1</v>
      </c>
      <c r="AN280" t="n">
        <v>1</v>
      </c>
      <c r="AO280" t="n">
        <v>1</v>
      </c>
      <c r="AP280" t="n">
        <v>0</v>
      </c>
      <c r="AQ280" t="n">
        <v>0</v>
      </c>
      <c r="AR280" t="inlineStr">
        <is>
          <t>No</t>
        </is>
      </c>
      <c r="AS280" t="inlineStr">
        <is>
          <t>Yes</t>
        </is>
      </c>
      <c r="AT280">
        <f>HYPERLINK("http://catalog.hathitrust.org/Record/010092821","HathiTrust Record")</f>
        <v/>
      </c>
      <c r="AU280">
        <f>HYPERLINK("https://creighton-primo.hosted.exlibrisgroup.com/primo-explore/search?tab=default_tab&amp;search_scope=EVERYTHING&amp;vid=01CRU&amp;lang=en_US&amp;offset=0&amp;query=any,contains,991005133579702656","Catalog Record")</f>
        <v/>
      </c>
      <c r="AV280">
        <f>HYPERLINK("http://www.worldcat.org/oclc/7574547","WorldCat Record")</f>
        <v/>
      </c>
      <c r="AW280" t="inlineStr">
        <is>
          <t>5218936444:eng</t>
        </is>
      </c>
      <c r="AX280" t="inlineStr">
        <is>
          <t>7574547</t>
        </is>
      </c>
      <c r="AY280" t="inlineStr">
        <is>
          <t>991005133579702656</t>
        </is>
      </c>
      <c r="AZ280" t="inlineStr">
        <is>
          <t>991005133579702656</t>
        </is>
      </c>
      <c r="BA280" t="inlineStr">
        <is>
          <t>2270954460002656</t>
        </is>
      </c>
      <c r="BB280" t="inlineStr">
        <is>
          <t>BOOK</t>
        </is>
      </c>
      <c r="BD280" t="inlineStr">
        <is>
          <t>9780471065098</t>
        </is>
      </c>
      <c r="BE280" t="inlineStr">
        <is>
          <t>32285001560993</t>
        </is>
      </c>
      <c r="BF280" t="inlineStr">
        <is>
          <t>893783070</t>
        </is>
      </c>
    </row>
    <row r="281">
      <c r="B281" t="inlineStr">
        <is>
          <t>CURAL</t>
        </is>
      </c>
      <c r="C281" t="inlineStr">
        <is>
          <t>SHELVES</t>
        </is>
      </c>
      <c r="D281" t="inlineStr">
        <is>
          <t>QP341 .S78</t>
        </is>
      </c>
      <c r="E281" t="inlineStr">
        <is>
          <t>0                      QP 0341000S  78</t>
        </is>
      </c>
      <c r="F281" t="inlineStr">
        <is>
          <t>Nerve and muscle : membranes, cells and systems / R.B. Stein.</t>
        </is>
      </c>
      <c r="H281" t="inlineStr">
        <is>
          <t>No</t>
        </is>
      </c>
      <c r="I281" t="inlineStr">
        <is>
          <t>1</t>
        </is>
      </c>
      <c r="J281" t="inlineStr">
        <is>
          <t>No</t>
        </is>
      </c>
      <c r="K281" t="inlineStr">
        <is>
          <t>No</t>
        </is>
      </c>
      <c r="L281" t="inlineStr">
        <is>
          <t>0</t>
        </is>
      </c>
      <c r="M281" t="inlineStr">
        <is>
          <t>Stein, Richard B., 1940-</t>
        </is>
      </c>
      <c r="N281" t="inlineStr">
        <is>
          <t>New York : Plenum Press, c1980, 1981 printing.</t>
        </is>
      </c>
      <c r="O281" t="inlineStr">
        <is>
          <t>1980</t>
        </is>
      </c>
      <c r="Q281" t="inlineStr">
        <is>
          <t>eng</t>
        </is>
      </c>
      <c r="R281" t="inlineStr">
        <is>
          <t>nyu</t>
        </is>
      </c>
      <c r="T281" t="inlineStr">
        <is>
          <t xml:space="preserve">QP </t>
        </is>
      </c>
      <c r="U281" t="n">
        <v>6</v>
      </c>
      <c r="V281" t="n">
        <v>6</v>
      </c>
      <c r="W281" t="inlineStr">
        <is>
          <t>2007-02-17</t>
        </is>
      </c>
      <c r="X281" t="inlineStr">
        <is>
          <t>2007-02-17</t>
        </is>
      </c>
      <c r="Y281" t="inlineStr">
        <is>
          <t>1993-03-02</t>
        </is>
      </c>
      <c r="Z281" t="inlineStr">
        <is>
          <t>1993-03-02</t>
        </is>
      </c>
      <c r="AA281" t="n">
        <v>492</v>
      </c>
      <c r="AB281" t="n">
        <v>383</v>
      </c>
      <c r="AC281" t="n">
        <v>401</v>
      </c>
      <c r="AD281" t="n">
        <v>4</v>
      </c>
      <c r="AE281" t="n">
        <v>4</v>
      </c>
      <c r="AF281" t="n">
        <v>19</v>
      </c>
      <c r="AG281" t="n">
        <v>19</v>
      </c>
      <c r="AH281" t="n">
        <v>7</v>
      </c>
      <c r="AI281" t="n">
        <v>7</v>
      </c>
      <c r="AJ281" t="n">
        <v>3</v>
      </c>
      <c r="AK281" t="n">
        <v>3</v>
      </c>
      <c r="AL281" t="n">
        <v>11</v>
      </c>
      <c r="AM281" t="n">
        <v>11</v>
      </c>
      <c r="AN281" t="n">
        <v>3</v>
      </c>
      <c r="AO281" t="n">
        <v>3</v>
      </c>
      <c r="AP281" t="n">
        <v>0</v>
      </c>
      <c r="AQ281" t="n">
        <v>0</v>
      </c>
      <c r="AR281" t="inlineStr">
        <is>
          <t>No</t>
        </is>
      </c>
      <c r="AS281" t="inlineStr">
        <is>
          <t>Yes</t>
        </is>
      </c>
      <c r="AT281">
        <f>HYPERLINK("http://catalog.hathitrust.org/Record/000761482","HathiTrust Record")</f>
        <v/>
      </c>
      <c r="AU281">
        <f>HYPERLINK("https://creighton-primo.hosted.exlibrisgroup.com/primo-explore/search?tab=default_tab&amp;search_scope=EVERYTHING&amp;vid=01CRU&amp;lang=en_US&amp;offset=0&amp;query=any,contains,991004955449702656","Catalog Record")</f>
        <v/>
      </c>
      <c r="AV281">
        <f>HYPERLINK("http://www.worldcat.org/oclc/6278132","WorldCat Record")</f>
        <v/>
      </c>
      <c r="AW281" t="inlineStr">
        <is>
          <t>197211752:eng</t>
        </is>
      </c>
      <c r="AX281" t="inlineStr">
        <is>
          <t>6278132</t>
        </is>
      </c>
      <c r="AY281" t="inlineStr">
        <is>
          <t>991004955449702656</t>
        </is>
      </c>
      <c r="AZ281" t="inlineStr">
        <is>
          <t>991004955449702656</t>
        </is>
      </c>
      <c r="BA281" t="inlineStr">
        <is>
          <t>2266762410002656</t>
        </is>
      </c>
      <c r="BB281" t="inlineStr">
        <is>
          <t>BOOK</t>
        </is>
      </c>
      <c r="BD281" t="inlineStr">
        <is>
          <t>9780306405129</t>
        </is>
      </c>
      <c r="BE281" t="inlineStr">
        <is>
          <t>32285001561017</t>
        </is>
      </c>
      <c r="BF281" t="inlineStr">
        <is>
          <t>893594288</t>
        </is>
      </c>
    </row>
    <row r="282">
      <c r="B282" t="inlineStr">
        <is>
          <t>CURAL</t>
        </is>
      </c>
      <c r="C282" t="inlineStr">
        <is>
          <t>SHELVES</t>
        </is>
      </c>
      <c r="D282" t="inlineStr">
        <is>
          <t>QP351 .H34 v.7, no.5</t>
        </is>
      </c>
      <c r="E282" t="inlineStr">
        <is>
          <t>0                      QP 0351000H  34                                                      v.7, no.5</t>
        </is>
      </c>
      <c r="F282" t="inlineStr">
        <is>
          <t>The Visual system in vertebrates / by F. Crescitelli ... [et al.] ; edited by Frederick Crescitelli. --</t>
        </is>
      </c>
      <c r="G282" t="inlineStr">
        <is>
          <t>V.7 NO.5</t>
        </is>
      </c>
      <c r="H282" t="inlineStr">
        <is>
          <t>No</t>
        </is>
      </c>
      <c r="I282" t="inlineStr">
        <is>
          <t>1</t>
        </is>
      </c>
      <c r="J282" t="inlineStr">
        <is>
          <t>No</t>
        </is>
      </c>
      <c r="K282" t="inlineStr">
        <is>
          <t>No</t>
        </is>
      </c>
      <c r="L282" t="inlineStr">
        <is>
          <t>0</t>
        </is>
      </c>
      <c r="N282" t="inlineStr">
        <is>
          <t>Berlin ; New York : Springer-Verlag, 1977.</t>
        </is>
      </c>
      <c r="O282" t="inlineStr">
        <is>
          <t>1977</t>
        </is>
      </c>
      <c r="Q282" t="inlineStr">
        <is>
          <t>eng</t>
        </is>
      </c>
      <c r="R282" t="inlineStr">
        <is>
          <t xml:space="preserve">gw </t>
        </is>
      </c>
      <c r="S282" t="inlineStr">
        <is>
          <t>Handbook of sensory physiology ; v. 7, no. 5</t>
        </is>
      </c>
      <c r="T282" t="inlineStr">
        <is>
          <t xml:space="preserve">QP </t>
        </is>
      </c>
      <c r="U282" t="n">
        <v>5</v>
      </c>
      <c r="V282" t="n">
        <v>5</v>
      </c>
      <c r="W282" t="inlineStr">
        <is>
          <t>2009-02-28</t>
        </is>
      </c>
      <c r="X282" t="inlineStr">
        <is>
          <t>2009-02-28</t>
        </is>
      </c>
      <c r="Y282" t="inlineStr">
        <is>
          <t>1993-03-02</t>
        </is>
      </c>
      <c r="Z282" t="inlineStr">
        <is>
          <t>1993-03-02</t>
        </is>
      </c>
      <c r="AA282" t="n">
        <v>321</v>
      </c>
      <c r="AB282" t="n">
        <v>216</v>
      </c>
      <c r="AC282" t="n">
        <v>248</v>
      </c>
      <c r="AD282" t="n">
        <v>2</v>
      </c>
      <c r="AE282" t="n">
        <v>2</v>
      </c>
      <c r="AF282" t="n">
        <v>10</v>
      </c>
      <c r="AG282" t="n">
        <v>10</v>
      </c>
      <c r="AH282" t="n">
        <v>1</v>
      </c>
      <c r="AI282" t="n">
        <v>1</v>
      </c>
      <c r="AJ282" t="n">
        <v>5</v>
      </c>
      <c r="AK282" t="n">
        <v>5</v>
      </c>
      <c r="AL282" t="n">
        <v>6</v>
      </c>
      <c r="AM282" t="n">
        <v>6</v>
      </c>
      <c r="AN282" t="n">
        <v>1</v>
      </c>
      <c r="AO282" t="n">
        <v>1</v>
      </c>
      <c r="AP282" t="n">
        <v>0</v>
      </c>
      <c r="AQ282" t="n">
        <v>0</v>
      </c>
      <c r="AR282" t="inlineStr">
        <is>
          <t>No</t>
        </is>
      </c>
      <c r="AS282" t="inlineStr">
        <is>
          <t>Yes</t>
        </is>
      </c>
      <c r="AT282">
        <f>HYPERLINK("http://catalog.hathitrust.org/Record/008990440","HathiTrust Record")</f>
        <v/>
      </c>
      <c r="AU282">
        <f>HYPERLINK("https://creighton-primo.hosted.exlibrisgroup.com/primo-explore/search?tab=default_tab&amp;search_scope=EVERYTHING&amp;vid=01CRU&amp;lang=en_US&amp;offset=0&amp;query=any,contains,991004269459702656","Catalog Record")</f>
        <v/>
      </c>
      <c r="AV282">
        <f>HYPERLINK("http://www.worldcat.org/oclc/2874758","WorldCat Record")</f>
        <v/>
      </c>
      <c r="AW282" t="inlineStr">
        <is>
          <t>6401910:eng</t>
        </is>
      </c>
      <c r="AX282" t="inlineStr">
        <is>
          <t>2874758</t>
        </is>
      </c>
      <c r="AY282" t="inlineStr">
        <is>
          <t>991004269459702656</t>
        </is>
      </c>
      <c r="AZ282" t="inlineStr">
        <is>
          <t>991004269459702656</t>
        </is>
      </c>
      <c r="BA282" t="inlineStr">
        <is>
          <t>2257480500002656</t>
        </is>
      </c>
      <c r="BB282" t="inlineStr">
        <is>
          <t>BOOK</t>
        </is>
      </c>
      <c r="BD282" t="inlineStr">
        <is>
          <t>9780387079080</t>
        </is>
      </c>
      <c r="BE282" t="inlineStr">
        <is>
          <t>32285001561041</t>
        </is>
      </c>
      <c r="BF282" t="inlineStr">
        <is>
          <t>893593482</t>
        </is>
      </c>
    </row>
    <row r="283">
      <c r="B283" t="inlineStr">
        <is>
          <t>CURAL</t>
        </is>
      </c>
      <c r="C283" t="inlineStr">
        <is>
          <t>SHELVES</t>
        </is>
      </c>
      <c r="D283" t="inlineStr">
        <is>
          <t>QP351 .H34 v.9</t>
        </is>
      </c>
      <c r="E283" t="inlineStr">
        <is>
          <t>0                      QP 0351000H  34                                                      v.9</t>
        </is>
      </c>
      <c r="F283" t="inlineStr">
        <is>
          <t>Development of sensory systems / by C. M. Bate ... [et al.] ; edited by Marcus Jacobson.</t>
        </is>
      </c>
      <c r="G283" t="inlineStr">
        <is>
          <t>V.9</t>
        </is>
      </c>
      <c r="H283" t="inlineStr">
        <is>
          <t>No</t>
        </is>
      </c>
      <c r="I283" t="inlineStr">
        <is>
          <t>1</t>
        </is>
      </c>
      <c r="J283" t="inlineStr">
        <is>
          <t>No</t>
        </is>
      </c>
      <c r="K283" t="inlineStr">
        <is>
          <t>No</t>
        </is>
      </c>
      <c r="L283" t="inlineStr">
        <is>
          <t>0</t>
        </is>
      </c>
      <c r="N283" t="inlineStr">
        <is>
          <t>Berlin ; New York : Springer-Verlag, 1978.</t>
        </is>
      </c>
      <c r="O283" t="inlineStr">
        <is>
          <t>1978</t>
        </is>
      </c>
      <c r="Q283" t="inlineStr">
        <is>
          <t>eng</t>
        </is>
      </c>
      <c r="R283" t="inlineStr">
        <is>
          <t xml:space="preserve">gw </t>
        </is>
      </c>
      <c r="S283" t="inlineStr">
        <is>
          <t>Handbook of sensory physiology ; v. 9</t>
        </is>
      </c>
      <c r="T283" t="inlineStr">
        <is>
          <t xml:space="preserve">QP </t>
        </is>
      </c>
      <c r="U283" t="n">
        <v>9</v>
      </c>
      <c r="V283" t="n">
        <v>9</v>
      </c>
      <c r="W283" t="inlineStr">
        <is>
          <t>1994-09-18</t>
        </is>
      </c>
      <c r="X283" t="inlineStr">
        <is>
          <t>1994-09-18</t>
        </is>
      </c>
      <c r="Y283" t="inlineStr">
        <is>
          <t>1993-03-02</t>
        </is>
      </c>
      <c r="Z283" t="inlineStr">
        <is>
          <t>1993-03-02</t>
        </is>
      </c>
      <c r="AA283" t="n">
        <v>342</v>
      </c>
      <c r="AB283" t="n">
        <v>233</v>
      </c>
      <c r="AC283" t="n">
        <v>257</v>
      </c>
      <c r="AD283" t="n">
        <v>1</v>
      </c>
      <c r="AE283" t="n">
        <v>1</v>
      </c>
      <c r="AF283" t="n">
        <v>9</v>
      </c>
      <c r="AG283" t="n">
        <v>9</v>
      </c>
      <c r="AH283" t="n">
        <v>1</v>
      </c>
      <c r="AI283" t="n">
        <v>1</v>
      </c>
      <c r="AJ283" t="n">
        <v>4</v>
      </c>
      <c r="AK283" t="n">
        <v>4</v>
      </c>
      <c r="AL283" t="n">
        <v>8</v>
      </c>
      <c r="AM283" t="n">
        <v>8</v>
      </c>
      <c r="AN283" t="n">
        <v>0</v>
      </c>
      <c r="AO283" t="n">
        <v>0</v>
      </c>
      <c r="AP283" t="n">
        <v>0</v>
      </c>
      <c r="AQ283" t="n">
        <v>0</v>
      </c>
      <c r="AR283" t="inlineStr">
        <is>
          <t>No</t>
        </is>
      </c>
      <c r="AS283" t="inlineStr">
        <is>
          <t>Yes</t>
        </is>
      </c>
      <c r="AT283">
        <f>HYPERLINK("http://catalog.hathitrust.org/Record/000135250","HathiTrust Record")</f>
        <v/>
      </c>
      <c r="AU283">
        <f>HYPERLINK("https://creighton-primo.hosted.exlibrisgroup.com/primo-explore/search?tab=default_tab&amp;search_scope=EVERYTHING&amp;vid=01CRU&amp;lang=en_US&amp;offset=0&amp;query=any,contains,991004525899702656","Catalog Record")</f>
        <v/>
      </c>
      <c r="AV283">
        <f>HYPERLINK("http://www.worldcat.org/oclc/3843494","WorldCat Record")</f>
        <v/>
      </c>
      <c r="AW283" t="inlineStr">
        <is>
          <t>638959454:eng</t>
        </is>
      </c>
      <c r="AX283" t="inlineStr">
        <is>
          <t>3843494</t>
        </is>
      </c>
      <c r="AY283" t="inlineStr">
        <is>
          <t>991004525899702656</t>
        </is>
      </c>
      <c r="AZ283" t="inlineStr">
        <is>
          <t>991004525899702656</t>
        </is>
      </c>
      <c r="BA283" t="inlineStr">
        <is>
          <t>2266402620002656</t>
        </is>
      </c>
      <c r="BB283" t="inlineStr">
        <is>
          <t>BOOK</t>
        </is>
      </c>
      <c r="BD283" t="inlineStr">
        <is>
          <t>9780387086323</t>
        </is>
      </c>
      <c r="BE283" t="inlineStr">
        <is>
          <t>32285001561058</t>
        </is>
      </c>
      <c r="BF283" t="inlineStr">
        <is>
          <t>893876209</t>
        </is>
      </c>
    </row>
    <row r="284">
      <c r="B284" t="inlineStr">
        <is>
          <t>CURAL</t>
        </is>
      </c>
      <c r="C284" t="inlineStr">
        <is>
          <t>SHELVES</t>
        </is>
      </c>
      <c r="D284" t="inlineStr">
        <is>
          <t>QP351 .S85 1955</t>
        </is>
      </c>
      <c r="E284" t="inlineStr">
        <is>
          <t>0                      QP 0351000S  85          1955</t>
        </is>
      </c>
      <c r="F284" t="inlineStr">
        <is>
          <t>Biological and biochemical bases of behavior / edited by Harry F. Harlow and Clinton N. Woolsey.</t>
        </is>
      </c>
      <c r="H284" t="inlineStr">
        <is>
          <t>No</t>
        </is>
      </c>
      <c r="I284" t="inlineStr">
        <is>
          <t>1</t>
        </is>
      </c>
      <c r="J284" t="inlineStr">
        <is>
          <t>No</t>
        </is>
      </c>
      <c r="K284" t="inlineStr">
        <is>
          <t>No</t>
        </is>
      </c>
      <c r="L284" t="inlineStr">
        <is>
          <t>0</t>
        </is>
      </c>
      <c r="M284" t="inlineStr">
        <is>
          <t>Symposium on Interdisciplinary Research (1955 : University of Wisconsin)</t>
        </is>
      </c>
      <c r="N284" t="inlineStr">
        <is>
          <t>Madison : University of Wisconsin Press, 1958.</t>
        </is>
      </c>
      <c r="O284" t="inlineStr">
        <is>
          <t>1958</t>
        </is>
      </c>
      <c r="Q284" t="inlineStr">
        <is>
          <t>eng</t>
        </is>
      </c>
      <c r="R284" t="inlineStr">
        <is>
          <t>wiu</t>
        </is>
      </c>
      <c r="T284" t="inlineStr">
        <is>
          <t xml:space="preserve">QP </t>
        </is>
      </c>
      <c r="U284" t="n">
        <v>2</v>
      </c>
      <c r="V284" t="n">
        <v>2</v>
      </c>
      <c r="W284" t="inlineStr">
        <is>
          <t>2006-11-10</t>
        </is>
      </c>
      <c r="X284" t="inlineStr">
        <is>
          <t>2006-11-10</t>
        </is>
      </c>
      <c r="Y284" t="inlineStr">
        <is>
          <t>1994-11-10</t>
        </is>
      </c>
      <c r="Z284" t="inlineStr">
        <is>
          <t>1994-11-10</t>
        </is>
      </c>
      <c r="AA284" t="n">
        <v>708</v>
      </c>
      <c r="AB284" t="n">
        <v>595</v>
      </c>
      <c r="AC284" t="n">
        <v>631</v>
      </c>
      <c r="AD284" t="n">
        <v>7</v>
      </c>
      <c r="AE284" t="n">
        <v>7</v>
      </c>
      <c r="AF284" t="n">
        <v>26</v>
      </c>
      <c r="AG284" t="n">
        <v>27</v>
      </c>
      <c r="AH284" t="n">
        <v>7</v>
      </c>
      <c r="AI284" t="n">
        <v>8</v>
      </c>
      <c r="AJ284" t="n">
        <v>6</v>
      </c>
      <c r="AK284" t="n">
        <v>6</v>
      </c>
      <c r="AL284" t="n">
        <v>11</v>
      </c>
      <c r="AM284" t="n">
        <v>12</v>
      </c>
      <c r="AN284" t="n">
        <v>5</v>
      </c>
      <c r="AO284" t="n">
        <v>5</v>
      </c>
      <c r="AP284" t="n">
        <v>0</v>
      </c>
      <c r="AQ284" t="n">
        <v>0</v>
      </c>
      <c r="AR284" t="inlineStr">
        <is>
          <t>No</t>
        </is>
      </c>
      <c r="AS284" t="inlineStr">
        <is>
          <t>Yes</t>
        </is>
      </c>
      <c r="AT284">
        <f>HYPERLINK("http://catalog.hathitrust.org/Record/000880156","HathiTrust Record")</f>
        <v/>
      </c>
      <c r="AU284">
        <f>HYPERLINK("https://creighton-primo.hosted.exlibrisgroup.com/primo-explore/search?tab=default_tab&amp;search_scope=EVERYTHING&amp;vid=01CRU&amp;lang=en_US&amp;offset=0&amp;query=any,contains,991005266549702656","Catalog Record")</f>
        <v/>
      </c>
      <c r="AV284">
        <f>HYPERLINK("http://www.worldcat.org/oclc/556754","WorldCat Record")</f>
        <v/>
      </c>
      <c r="AW284" t="inlineStr">
        <is>
          <t>472608608:eng</t>
        </is>
      </c>
      <c r="AX284" t="inlineStr">
        <is>
          <t>556754</t>
        </is>
      </c>
      <c r="AY284" t="inlineStr">
        <is>
          <t>991005266549702656</t>
        </is>
      </c>
      <c r="AZ284" t="inlineStr">
        <is>
          <t>991005266549702656</t>
        </is>
      </c>
      <c r="BA284" t="inlineStr">
        <is>
          <t>2259914120002656</t>
        </is>
      </c>
      <c r="BB284" t="inlineStr">
        <is>
          <t>BOOK</t>
        </is>
      </c>
      <c r="BE284" t="inlineStr">
        <is>
          <t>32285001964955</t>
        </is>
      </c>
      <c r="BF284" t="inlineStr">
        <is>
          <t>893514361</t>
        </is>
      </c>
    </row>
    <row r="285">
      <c r="B285" t="inlineStr">
        <is>
          <t>CURAL</t>
        </is>
      </c>
      <c r="C285" t="inlineStr">
        <is>
          <t>SHELVES</t>
        </is>
      </c>
      <c r="D285" t="inlineStr">
        <is>
          <t>QP352 .D34 1973</t>
        </is>
      </c>
      <c r="E285" t="inlineStr">
        <is>
          <t>0                      QP 0352000D  34          1973</t>
        </is>
      </c>
      <c r="F285" t="inlineStr">
        <is>
          <t>The psychophysiology of Darrow / edited by Gary R. Gullickson.</t>
        </is>
      </c>
      <c r="H285" t="inlineStr">
        <is>
          <t>No</t>
        </is>
      </c>
      <c r="I285" t="inlineStr">
        <is>
          <t>1</t>
        </is>
      </c>
      <c r="J285" t="inlineStr">
        <is>
          <t>No</t>
        </is>
      </c>
      <c r="K285" t="inlineStr">
        <is>
          <t>No</t>
        </is>
      </c>
      <c r="L285" t="inlineStr">
        <is>
          <t>0</t>
        </is>
      </c>
      <c r="M285" t="inlineStr">
        <is>
          <t>Darrow, Chester W. (Chester William), 1893-1967.</t>
        </is>
      </c>
      <c r="N285" t="inlineStr">
        <is>
          <t>New York : Academic Press, 1973.</t>
        </is>
      </c>
      <c r="O285" t="inlineStr">
        <is>
          <t>1973</t>
        </is>
      </c>
      <c r="Q285" t="inlineStr">
        <is>
          <t>eng</t>
        </is>
      </c>
      <c r="R285" t="inlineStr">
        <is>
          <t>nyu</t>
        </is>
      </c>
      <c r="T285" t="inlineStr">
        <is>
          <t xml:space="preserve">QP </t>
        </is>
      </c>
      <c r="U285" t="n">
        <v>2</v>
      </c>
      <c r="V285" t="n">
        <v>2</v>
      </c>
      <c r="W285" t="inlineStr">
        <is>
          <t>1997-03-17</t>
        </is>
      </c>
      <c r="X285" t="inlineStr">
        <is>
          <t>1997-03-17</t>
        </is>
      </c>
      <c r="Y285" t="inlineStr">
        <is>
          <t>1994-11-29</t>
        </is>
      </c>
      <c r="Z285" t="inlineStr">
        <is>
          <t>1994-11-29</t>
        </is>
      </c>
      <c r="AA285" t="n">
        <v>260</v>
      </c>
      <c r="AB285" t="n">
        <v>201</v>
      </c>
      <c r="AC285" t="n">
        <v>208</v>
      </c>
      <c r="AD285" t="n">
        <v>3</v>
      </c>
      <c r="AE285" t="n">
        <v>3</v>
      </c>
      <c r="AF285" t="n">
        <v>9</v>
      </c>
      <c r="AG285" t="n">
        <v>9</v>
      </c>
      <c r="AH285" t="n">
        <v>1</v>
      </c>
      <c r="AI285" t="n">
        <v>1</v>
      </c>
      <c r="AJ285" t="n">
        <v>3</v>
      </c>
      <c r="AK285" t="n">
        <v>3</v>
      </c>
      <c r="AL285" t="n">
        <v>4</v>
      </c>
      <c r="AM285" t="n">
        <v>4</v>
      </c>
      <c r="AN285" t="n">
        <v>2</v>
      </c>
      <c r="AO285" t="n">
        <v>2</v>
      </c>
      <c r="AP285" t="n">
        <v>0</v>
      </c>
      <c r="AQ285" t="n">
        <v>0</v>
      </c>
      <c r="AR285" t="inlineStr">
        <is>
          <t>No</t>
        </is>
      </c>
      <c r="AS285" t="inlineStr">
        <is>
          <t>Yes</t>
        </is>
      </c>
      <c r="AT285">
        <f>HYPERLINK("http://catalog.hathitrust.org/Record/001554523","HathiTrust Record")</f>
        <v/>
      </c>
      <c r="AU285">
        <f>HYPERLINK("https://creighton-primo.hosted.exlibrisgroup.com/primo-explore/search?tab=default_tab&amp;search_scope=EVERYTHING&amp;vid=01CRU&amp;lang=en_US&amp;offset=0&amp;query=any,contains,991003074469702656","Catalog Record")</f>
        <v/>
      </c>
      <c r="AV285">
        <f>HYPERLINK("http://www.worldcat.org/oclc/627945","WorldCat Record")</f>
        <v/>
      </c>
      <c r="AW285" t="inlineStr">
        <is>
          <t>1726152:eng</t>
        </is>
      </c>
      <c r="AX285" t="inlineStr">
        <is>
          <t>627945</t>
        </is>
      </c>
      <c r="AY285" t="inlineStr">
        <is>
          <t>991003074469702656</t>
        </is>
      </c>
      <c r="AZ285" t="inlineStr">
        <is>
          <t>991003074469702656</t>
        </is>
      </c>
      <c r="BA285" t="inlineStr">
        <is>
          <t>2257866860002656</t>
        </is>
      </c>
      <c r="BB285" t="inlineStr">
        <is>
          <t>BOOK</t>
        </is>
      </c>
      <c r="BD285" t="inlineStr">
        <is>
          <t>9780123056504</t>
        </is>
      </c>
      <c r="BE285" t="inlineStr">
        <is>
          <t>32285001968519</t>
        </is>
      </c>
      <c r="BF285" t="inlineStr">
        <is>
          <t>893692364</t>
        </is>
      </c>
    </row>
    <row r="286">
      <c r="B286" t="inlineStr">
        <is>
          <t>CURAL</t>
        </is>
      </c>
      <c r="C286" t="inlineStr">
        <is>
          <t>SHELVES</t>
        </is>
      </c>
      <c r="D286" t="inlineStr">
        <is>
          <t>QP353 .F548 2000</t>
        </is>
      </c>
      <c r="E286" t="inlineStr">
        <is>
          <t>0                      QP 0353000F  548         2000</t>
        </is>
      </c>
      <c r="F286" t="inlineStr">
        <is>
          <t>Minds behind the brain : a history of the pioneers and their discoveries / Stanley Finger.</t>
        </is>
      </c>
      <c r="H286" t="inlineStr">
        <is>
          <t>No</t>
        </is>
      </c>
      <c r="I286" t="inlineStr">
        <is>
          <t>1</t>
        </is>
      </c>
      <c r="J286" t="inlineStr">
        <is>
          <t>No</t>
        </is>
      </c>
      <c r="K286" t="inlineStr">
        <is>
          <t>No</t>
        </is>
      </c>
      <c r="L286" t="inlineStr">
        <is>
          <t>0</t>
        </is>
      </c>
      <c r="M286" t="inlineStr">
        <is>
          <t>Finger, Stanley.</t>
        </is>
      </c>
      <c r="N286" t="inlineStr">
        <is>
          <t>Oxford ; New York : Oxford University Press, c2000.</t>
        </is>
      </c>
      <c r="O286" t="inlineStr">
        <is>
          <t>2000</t>
        </is>
      </c>
      <c r="Q286" t="inlineStr">
        <is>
          <t>eng</t>
        </is>
      </c>
      <c r="R286" t="inlineStr">
        <is>
          <t>enk</t>
        </is>
      </c>
      <c r="T286" t="inlineStr">
        <is>
          <t xml:space="preserve">QP </t>
        </is>
      </c>
      <c r="U286" t="n">
        <v>2</v>
      </c>
      <c r="V286" t="n">
        <v>2</v>
      </c>
      <c r="W286" t="inlineStr">
        <is>
          <t>2000-10-18</t>
        </is>
      </c>
      <c r="X286" t="inlineStr">
        <is>
          <t>2000-10-18</t>
        </is>
      </c>
      <c r="Y286" t="inlineStr">
        <is>
          <t>2000-10-17</t>
        </is>
      </c>
      <c r="Z286" t="inlineStr">
        <is>
          <t>2000-10-17</t>
        </is>
      </c>
      <c r="AA286" t="n">
        <v>866</v>
      </c>
      <c r="AB286" t="n">
        <v>739</v>
      </c>
      <c r="AC286" t="n">
        <v>1103</v>
      </c>
      <c r="AD286" t="n">
        <v>9</v>
      </c>
      <c r="AE286" t="n">
        <v>12</v>
      </c>
      <c r="AF286" t="n">
        <v>31</v>
      </c>
      <c r="AG286" t="n">
        <v>43</v>
      </c>
      <c r="AH286" t="n">
        <v>10</v>
      </c>
      <c r="AI286" t="n">
        <v>12</v>
      </c>
      <c r="AJ286" t="n">
        <v>7</v>
      </c>
      <c r="AK286" t="n">
        <v>11</v>
      </c>
      <c r="AL286" t="n">
        <v>11</v>
      </c>
      <c r="AM286" t="n">
        <v>15</v>
      </c>
      <c r="AN286" t="n">
        <v>7</v>
      </c>
      <c r="AO286" t="n">
        <v>10</v>
      </c>
      <c r="AP286" t="n">
        <v>0</v>
      </c>
      <c r="AQ286" t="n">
        <v>1</v>
      </c>
      <c r="AR286" t="inlineStr">
        <is>
          <t>No</t>
        </is>
      </c>
      <c r="AS286" t="inlineStr">
        <is>
          <t>Yes</t>
        </is>
      </c>
      <c r="AT286">
        <f>HYPERLINK("http://catalog.hathitrust.org/Record/004079665","HathiTrust Record")</f>
        <v/>
      </c>
      <c r="AU286">
        <f>HYPERLINK("https://creighton-primo.hosted.exlibrisgroup.com/primo-explore/search?tab=default_tab&amp;search_scope=EVERYTHING&amp;vid=01CRU&amp;lang=en_US&amp;offset=0&amp;query=any,contains,991003280049702656","Catalog Record")</f>
        <v/>
      </c>
      <c r="AV286">
        <f>HYPERLINK("http://www.worldcat.org/oclc/40683698","WorldCat Record")</f>
        <v/>
      </c>
      <c r="AW286" t="inlineStr">
        <is>
          <t>2138927:eng</t>
        </is>
      </c>
      <c r="AX286" t="inlineStr">
        <is>
          <t>40683698</t>
        </is>
      </c>
      <c r="AY286" t="inlineStr">
        <is>
          <t>991003280049702656</t>
        </is>
      </c>
      <c r="AZ286" t="inlineStr">
        <is>
          <t>991003280049702656</t>
        </is>
      </c>
      <c r="BA286" t="inlineStr">
        <is>
          <t>2265920280002656</t>
        </is>
      </c>
      <c r="BB286" t="inlineStr">
        <is>
          <t>BOOK</t>
        </is>
      </c>
      <c r="BD286" t="inlineStr">
        <is>
          <t>9780195085716</t>
        </is>
      </c>
      <c r="BE286" t="inlineStr">
        <is>
          <t>32285003768172</t>
        </is>
      </c>
      <c r="BF286" t="inlineStr">
        <is>
          <t>893780798</t>
        </is>
      </c>
    </row>
    <row r="287">
      <c r="B287" t="inlineStr">
        <is>
          <t>CURAL</t>
        </is>
      </c>
      <c r="C287" t="inlineStr">
        <is>
          <t>SHELVES</t>
        </is>
      </c>
      <c r="D287" t="inlineStr">
        <is>
          <t>QP355 .G83</t>
        </is>
      </c>
      <c r="E287" t="inlineStr">
        <is>
          <t>0                      QP 0355000G  83</t>
        </is>
      </c>
      <c r="F287" t="inlineStr">
        <is>
          <t>A textbook of physiological psychology / Sebastian Peter Grossman.</t>
        </is>
      </c>
      <c r="H287" t="inlineStr">
        <is>
          <t>No</t>
        </is>
      </c>
      <c r="I287" t="inlineStr">
        <is>
          <t>1</t>
        </is>
      </c>
      <c r="J287" t="inlineStr">
        <is>
          <t>No</t>
        </is>
      </c>
      <c r="K287" t="inlineStr">
        <is>
          <t>No</t>
        </is>
      </c>
      <c r="L287" t="inlineStr">
        <is>
          <t>0</t>
        </is>
      </c>
      <c r="M287" t="inlineStr">
        <is>
          <t>Grossman, Sebastian Peter.</t>
        </is>
      </c>
      <c r="N287" t="inlineStr">
        <is>
          <t>New York : Wiley, [1967]</t>
        </is>
      </c>
      <c r="O287" t="inlineStr">
        <is>
          <t>1967</t>
        </is>
      </c>
      <c r="Q287" t="inlineStr">
        <is>
          <t>eng</t>
        </is>
      </c>
      <c r="R287" t="inlineStr">
        <is>
          <t>nyu</t>
        </is>
      </c>
      <c r="T287" t="inlineStr">
        <is>
          <t xml:space="preserve">QP </t>
        </is>
      </c>
      <c r="U287" t="n">
        <v>3</v>
      </c>
      <c r="V287" t="n">
        <v>3</v>
      </c>
      <c r="W287" t="inlineStr">
        <is>
          <t>2005-01-25</t>
        </is>
      </c>
      <c r="X287" t="inlineStr">
        <is>
          <t>2005-01-25</t>
        </is>
      </c>
      <c r="Y287" t="inlineStr">
        <is>
          <t>2000-02-02</t>
        </is>
      </c>
      <c r="Z287" t="inlineStr">
        <is>
          <t>2000-02-02</t>
        </is>
      </c>
      <c r="AA287" t="n">
        <v>579</v>
      </c>
      <c r="AB287" t="n">
        <v>410</v>
      </c>
      <c r="AC287" t="n">
        <v>420</v>
      </c>
      <c r="AD287" t="n">
        <v>4</v>
      </c>
      <c r="AE287" t="n">
        <v>4</v>
      </c>
      <c r="AF287" t="n">
        <v>17</v>
      </c>
      <c r="AG287" t="n">
        <v>17</v>
      </c>
      <c r="AH287" t="n">
        <v>5</v>
      </c>
      <c r="AI287" t="n">
        <v>5</v>
      </c>
      <c r="AJ287" t="n">
        <v>3</v>
      </c>
      <c r="AK287" t="n">
        <v>3</v>
      </c>
      <c r="AL287" t="n">
        <v>8</v>
      </c>
      <c r="AM287" t="n">
        <v>8</v>
      </c>
      <c r="AN287" t="n">
        <v>3</v>
      </c>
      <c r="AO287" t="n">
        <v>3</v>
      </c>
      <c r="AP287" t="n">
        <v>0</v>
      </c>
      <c r="AQ287" t="n">
        <v>0</v>
      </c>
      <c r="AR287" t="inlineStr">
        <is>
          <t>No</t>
        </is>
      </c>
      <c r="AS287" t="inlineStr">
        <is>
          <t>Yes</t>
        </is>
      </c>
      <c r="AT287">
        <f>HYPERLINK("http://catalog.hathitrust.org/Record/001554547","HathiTrust Record")</f>
        <v/>
      </c>
      <c r="AU287">
        <f>HYPERLINK("https://creighton-primo.hosted.exlibrisgroup.com/primo-explore/search?tab=default_tab&amp;search_scope=EVERYTHING&amp;vid=01CRU&amp;lang=en_US&amp;offset=0&amp;query=any,contains,991002326159702656","Catalog Record")</f>
        <v/>
      </c>
      <c r="AV287">
        <f>HYPERLINK("http://www.worldcat.org/oclc/320927","WorldCat Record")</f>
        <v/>
      </c>
      <c r="AW287" t="inlineStr">
        <is>
          <t>1400719:eng</t>
        </is>
      </c>
      <c r="AX287" t="inlineStr">
        <is>
          <t>320927</t>
        </is>
      </c>
      <c r="AY287" t="inlineStr">
        <is>
          <t>991002326159702656</t>
        </is>
      </c>
      <c r="AZ287" t="inlineStr">
        <is>
          <t>991002326159702656</t>
        </is>
      </c>
      <c r="BA287" t="inlineStr">
        <is>
          <t>2255880150002656</t>
        </is>
      </c>
      <c r="BB287" t="inlineStr">
        <is>
          <t>BOOK</t>
        </is>
      </c>
      <c r="BE287" t="inlineStr">
        <is>
          <t>32285003658266</t>
        </is>
      </c>
      <c r="BF287" t="inlineStr">
        <is>
          <t>893226711</t>
        </is>
      </c>
    </row>
    <row r="288">
      <c r="B288" t="inlineStr">
        <is>
          <t>CURAL</t>
        </is>
      </c>
      <c r="C288" t="inlineStr">
        <is>
          <t>SHELVES</t>
        </is>
      </c>
      <c r="D288" t="inlineStr">
        <is>
          <t>QP355 .W26 1964</t>
        </is>
      </c>
      <c r="E288" t="inlineStr">
        <is>
          <t>0                      QP 0355000W  26          1964</t>
        </is>
      </c>
      <c r="F288" t="inlineStr">
        <is>
          <t>Physiology of the nervous system.</t>
        </is>
      </c>
      <c r="H288" t="inlineStr">
        <is>
          <t>No</t>
        </is>
      </c>
      <c r="I288" t="inlineStr">
        <is>
          <t>1</t>
        </is>
      </c>
      <c r="J288" t="inlineStr">
        <is>
          <t>No</t>
        </is>
      </c>
      <c r="K288" t="inlineStr">
        <is>
          <t>No</t>
        </is>
      </c>
      <c r="L288" t="inlineStr">
        <is>
          <t>0</t>
        </is>
      </c>
      <c r="M288" t="inlineStr">
        <is>
          <t>Walsh, E. Geoffrey (Ewart Geoffrey)</t>
        </is>
      </c>
      <c r="N288" t="inlineStr">
        <is>
          <t>Boston, Little, Brown [c1964]</t>
        </is>
      </c>
      <c r="O288" t="inlineStr">
        <is>
          <t>1964</t>
        </is>
      </c>
      <c r="P288" t="inlineStr">
        <is>
          <t>2d ed.</t>
        </is>
      </c>
      <c r="Q288" t="inlineStr">
        <is>
          <t>eng</t>
        </is>
      </c>
      <c r="R288" t="inlineStr">
        <is>
          <t>mau</t>
        </is>
      </c>
      <c r="T288" t="inlineStr">
        <is>
          <t xml:space="preserve">QP </t>
        </is>
      </c>
      <c r="U288" t="n">
        <v>1</v>
      </c>
      <c r="V288" t="n">
        <v>1</v>
      </c>
      <c r="W288" t="inlineStr">
        <is>
          <t>1996-09-03</t>
        </is>
      </c>
      <c r="X288" t="inlineStr">
        <is>
          <t>1996-09-03</t>
        </is>
      </c>
      <c r="Y288" t="inlineStr">
        <is>
          <t>1996-09-03</t>
        </is>
      </c>
      <c r="Z288" t="inlineStr">
        <is>
          <t>1996-09-03</t>
        </is>
      </c>
      <c r="AA288" t="n">
        <v>6</v>
      </c>
      <c r="AB288" t="n">
        <v>6</v>
      </c>
      <c r="AC288" t="n">
        <v>106</v>
      </c>
      <c r="AD288" t="n">
        <v>1</v>
      </c>
      <c r="AE288" t="n">
        <v>1</v>
      </c>
      <c r="AF288" t="n">
        <v>0</v>
      </c>
      <c r="AG288" t="n">
        <v>3</v>
      </c>
      <c r="AH288" t="n">
        <v>0</v>
      </c>
      <c r="AI288" t="n">
        <v>0</v>
      </c>
      <c r="AJ288" t="n">
        <v>0</v>
      </c>
      <c r="AK288" t="n">
        <v>1</v>
      </c>
      <c r="AL288" t="n">
        <v>0</v>
      </c>
      <c r="AM288" t="n">
        <v>3</v>
      </c>
      <c r="AN288" t="n">
        <v>0</v>
      </c>
      <c r="AO288" t="n">
        <v>0</v>
      </c>
      <c r="AP288" t="n">
        <v>0</v>
      </c>
      <c r="AQ288" t="n">
        <v>0</v>
      </c>
      <c r="AR288" t="inlineStr">
        <is>
          <t>No</t>
        </is>
      </c>
      <c r="AS288" t="inlineStr">
        <is>
          <t>No</t>
        </is>
      </c>
      <c r="AU288">
        <f>HYPERLINK("https://creighton-primo.hosted.exlibrisgroup.com/primo-explore/search?tab=default_tab&amp;search_scope=EVERYTHING&amp;vid=01CRU&amp;lang=en_US&amp;offset=0&amp;query=any,contains,991004763219702656","Catalog Record")</f>
        <v/>
      </c>
      <c r="AV288">
        <f>HYPERLINK("http://www.worldcat.org/oclc/5011830","WorldCat Record")</f>
        <v/>
      </c>
      <c r="AW288" t="inlineStr">
        <is>
          <t>2644535:eng</t>
        </is>
      </c>
      <c r="AX288" t="inlineStr">
        <is>
          <t>5011830</t>
        </is>
      </c>
      <c r="AY288" t="inlineStr">
        <is>
          <t>991004763219702656</t>
        </is>
      </c>
      <c r="AZ288" t="inlineStr">
        <is>
          <t>991004763219702656</t>
        </is>
      </c>
      <c r="BA288" t="inlineStr">
        <is>
          <t>2268878040002656</t>
        </is>
      </c>
      <c r="BB288" t="inlineStr">
        <is>
          <t>BOOK</t>
        </is>
      </c>
      <c r="BE288" t="inlineStr">
        <is>
          <t>32285002305497</t>
        </is>
      </c>
      <c r="BF288" t="inlineStr">
        <is>
          <t>893411919</t>
        </is>
      </c>
    </row>
    <row r="289">
      <c r="B289" t="inlineStr">
        <is>
          <t>CURAL</t>
        </is>
      </c>
      <c r="C289" t="inlineStr">
        <is>
          <t>SHELVES</t>
        </is>
      </c>
      <c r="D289" t="inlineStr">
        <is>
          <t>QP355 .W66</t>
        </is>
      </c>
      <c r="E289" t="inlineStr">
        <is>
          <t>0                      QP 0355000W  66</t>
        </is>
      </c>
      <c r="F289" t="inlineStr">
        <is>
          <t>The neural basis of behavior [by] Lloyd S. Woodburne.</t>
        </is>
      </c>
      <c r="H289" t="inlineStr">
        <is>
          <t>No</t>
        </is>
      </c>
      <c r="I289" t="inlineStr">
        <is>
          <t>1</t>
        </is>
      </c>
      <c r="J289" t="inlineStr">
        <is>
          <t>No</t>
        </is>
      </c>
      <c r="K289" t="inlineStr">
        <is>
          <t>No</t>
        </is>
      </c>
      <c r="L289" t="inlineStr">
        <is>
          <t>0</t>
        </is>
      </c>
      <c r="M289" t="inlineStr">
        <is>
          <t>Woodburne, Lloyd S. (Lloyd Stuart), 1906-1992.</t>
        </is>
      </c>
      <c r="N289" t="inlineStr">
        <is>
          <t>Columbus, Ohio, C. E. Merrill Books [1967]</t>
        </is>
      </c>
      <c r="O289" t="inlineStr">
        <is>
          <t>1967</t>
        </is>
      </c>
      <c r="Q289" t="inlineStr">
        <is>
          <t>eng</t>
        </is>
      </c>
      <c r="R289" t="inlineStr">
        <is>
          <t>ohu</t>
        </is>
      </c>
      <c r="S289" t="inlineStr">
        <is>
          <t>Merrill's international psychology series</t>
        </is>
      </c>
      <c r="T289" t="inlineStr">
        <is>
          <t xml:space="preserve">QP </t>
        </is>
      </c>
      <c r="U289" t="n">
        <v>1</v>
      </c>
      <c r="V289" t="n">
        <v>1</v>
      </c>
      <c r="W289" t="inlineStr">
        <is>
          <t>2005-01-25</t>
        </is>
      </c>
      <c r="X289" t="inlineStr">
        <is>
          <t>2005-01-25</t>
        </is>
      </c>
      <c r="Y289" t="inlineStr">
        <is>
          <t>1997-08-06</t>
        </is>
      </c>
      <c r="Z289" t="inlineStr">
        <is>
          <t>1997-08-06</t>
        </is>
      </c>
      <c r="AA289" t="n">
        <v>433</v>
      </c>
      <c r="AB289" t="n">
        <v>358</v>
      </c>
      <c r="AC289" t="n">
        <v>367</v>
      </c>
      <c r="AD289" t="n">
        <v>5</v>
      </c>
      <c r="AE289" t="n">
        <v>5</v>
      </c>
      <c r="AF289" t="n">
        <v>17</v>
      </c>
      <c r="AG289" t="n">
        <v>17</v>
      </c>
      <c r="AH289" t="n">
        <v>4</v>
      </c>
      <c r="AI289" t="n">
        <v>4</v>
      </c>
      <c r="AJ289" t="n">
        <v>4</v>
      </c>
      <c r="AK289" t="n">
        <v>4</v>
      </c>
      <c r="AL289" t="n">
        <v>8</v>
      </c>
      <c r="AM289" t="n">
        <v>8</v>
      </c>
      <c r="AN289" t="n">
        <v>4</v>
      </c>
      <c r="AO289" t="n">
        <v>4</v>
      </c>
      <c r="AP289" t="n">
        <v>0</v>
      </c>
      <c r="AQ289" t="n">
        <v>0</v>
      </c>
      <c r="AR289" t="inlineStr">
        <is>
          <t>No</t>
        </is>
      </c>
      <c r="AS289" t="inlineStr">
        <is>
          <t>Yes</t>
        </is>
      </c>
      <c r="AT289">
        <f>HYPERLINK("http://catalog.hathitrust.org/Record/001554565","HathiTrust Record")</f>
        <v/>
      </c>
      <c r="AU289">
        <f>HYPERLINK("https://creighton-primo.hosted.exlibrisgroup.com/primo-explore/search?tab=default_tab&amp;search_scope=EVERYTHING&amp;vid=01CRU&amp;lang=en_US&amp;offset=0&amp;query=any,contains,991002547609702656","Catalog Record")</f>
        <v/>
      </c>
      <c r="AV289">
        <f>HYPERLINK("http://www.worldcat.org/oclc/369161","WorldCat Record")</f>
        <v/>
      </c>
      <c r="AW289" t="inlineStr">
        <is>
          <t>1437812:eng</t>
        </is>
      </c>
      <c r="AX289" t="inlineStr">
        <is>
          <t>369161</t>
        </is>
      </c>
      <c r="AY289" t="inlineStr">
        <is>
          <t>991002547609702656</t>
        </is>
      </c>
      <c r="AZ289" t="inlineStr">
        <is>
          <t>991002547609702656</t>
        </is>
      </c>
      <c r="BA289" t="inlineStr">
        <is>
          <t>2265181180002656</t>
        </is>
      </c>
      <c r="BB289" t="inlineStr">
        <is>
          <t>BOOK</t>
        </is>
      </c>
      <c r="BE289" t="inlineStr">
        <is>
          <t>32285003013991</t>
        </is>
      </c>
      <c r="BF289" t="inlineStr">
        <is>
          <t>893716598</t>
        </is>
      </c>
    </row>
    <row r="290">
      <c r="B290" t="inlineStr">
        <is>
          <t>CURAL</t>
        </is>
      </c>
      <c r="C290" t="inlineStr">
        <is>
          <t>SHELVES</t>
        </is>
      </c>
      <c r="D290" t="inlineStr">
        <is>
          <t>QP355.2 .S52 1994</t>
        </is>
      </c>
      <c r="E290" t="inlineStr">
        <is>
          <t>0                      QP 0355200S  52          1994</t>
        </is>
      </c>
      <c r="F290" t="inlineStr">
        <is>
          <t>Neurobiology / Gordon M. Shepherd.</t>
        </is>
      </c>
      <c r="H290" t="inlineStr">
        <is>
          <t>No</t>
        </is>
      </c>
      <c r="I290" t="inlineStr">
        <is>
          <t>1</t>
        </is>
      </c>
      <c r="J290" t="inlineStr">
        <is>
          <t>Yes</t>
        </is>
      </c>
      <c r="K290" t="inlineStr">
        <is>
          <t>No</t>
        </is>
      </c>
      <c r="L290" t="inlineStr">
        <is>
          <t>0</t>
        </is>
      </c>
      <c r="M290" t="inlineStr">
        <is>
          <t>Shepherd, Gordon M., 1933-</t>
        </is>
      </c>
      <c r="N290" t="inlineStr">
        <is>
          <t>New York : Oxford University Press, 1994.</t>
        </is>
      </c>
      <c r="O290" t="inlineStr">
        <is>
          <t>1994</t>
        </is>
      </c>
      <c r="P290" t="inlineStr">
        <is>
          <t>3rd ed.</t>
        </is>
      </c>
      <c r="Q290" t="inlineStr">
        <is>
          <t>eng</t>
        </is>
      </c>
      <c r="R290" t="inlineStr">
        <is>
          <t>nyu</t>
        </is>
      </c>
      <c r="T290" t="inlineStr">
        <is>
          <t xml:space="preserve">QP </t>
        </is>
      </c>
      <c r="U290" t="n">
        <v>16</v>
      </c>
      <c r="V290" t="n">
        <v>46</v>
      </c>
      <c r="W290" t="inlineStr">
        <is>
          <t>2005-01-25</t>
        </is>
      </c>
      <c r="X290" t="inlineStr">
        <is>
          <t>2007-09-29</t>
        </is>
      </c>
      <c r="Y290" t="inlineStr">
        <is>
          <t>1996-06-13</t>
        </is>
      </c>
      <c r="Z290" t="inlineStr">
        <is>
          <t>1996-06-13</t>
        </is>
      </c>
      <c r="AA290" t="n">
        <v>501</v>
      </c>
      <c r="AB290" t="n">
        <v>327</v>
      </c>
      <c r="AC290" t="n">
        <v>811</v>
      </c>
      <c r="AD290" t="n">
        <v>5</v>
      </c>
      <c r="AE290" t="n">
        <v>12</v>
      </c>
      <c r="AF290" t="n">
        <v>18</v>
      </c>
      <c r="AG290" t="n">
        <v>46</v>
      </c>
      <c r="AH290" t="n">
        <v>5</v>
      </c>
      <c r="AI290" t="n">
        <v>14</v>
      </c>
      <c r="AJ290" t="n">
        <v>3</v>
      </c>
      <c r="AK290" t="n">
        <v>10</v>
      </c>
      <c r="AL290" t="n">
        <v>10</v>
      </c>
      <c r="AM290" t="n">
        <v>23</v>
      </c>
      <c r="AN290" t="n">
        <v>3</v>
      </c>
      <c r="AO290" t="n">
        <v>10</v>
      </c>
      <c r="AP290" t="n">
        <v>0</v>
      </c>
      <c r="AQ290" t="n">
        <v>0</v>
      </c>
      <c r="AR290" t="inlineStr">
        <is>
          <t>No</t>
        </is>
      </c>
      <c r="AS290" t="inlineStr">
        <is>
          <t>No</t>
        </is>
      </c>
      <c r="AU290">
        <f>HYPERLINK("https://creighton-primo.hosted.exlibrisgroup.com/primo-explore/search?tab=default_tab&amp;search_scope=EVERYTHING&amp;vid=01CRU&amp;lang=en_US&amp;offset=0&amp;query=any,contains,991001803959702656","Catalog Record")</f>
        <v/>
      </c>
      <c r="AV290">
        <f>HYPERLINK("http://www.worldcat.org/oclc/29877197","WorldCat Record")</f>
        <v/>
      </c>
      <c r="AW290" t="inlineStr">
        <is>
          <t>10186753:eng</t>
        </is>
      </c>
      <c r="AX290" t="inlineStr">
        <is>
          <t>29877197</t>
        </is>
      </c>
      <c r="AY290" t="inlineStr">
        <is>
          <t>991001803959702656</t>
        </is>
      </c>
      <c r="AZ290" t="inlineStr">
        <is>
          <t>991001803959702656</t>
        </is>
      </c>
      <c r="BA290" t="inlineStr">
        <is>
          <t>2257740160002656</t>
        </is>
      </c>
      <c r="BB290" t="inlineStr">
        <is>
          <t>BOOK</t>
        </is>
      </c>
      <c r="BD290" t="inlineStr">
        <is>
          <t>9780195088427</t>
        </is>
      </c>
      <c r="BE290" t="inlineStr">
        <is>
          <t>32285002192721</t>
        </is>
      </c>
      <c r="BF290" t="inlineStr">
        <is>
          <t>893898079</t>
        </is>
      </c>
    </row>
    <row r="291">
      <c r="B291" t="inlineStr">
        <is>
          <t>CURAL</t>
        </is>
      </c>
      <c r="C291" t="inlineStr">
        <is>
          <t>SHELVES</t>
        </is>
      </c>
      <c r="D291" t="inlineStr">
        <is>
          <t>QP356 .C35 1986b</t>
        </is>
      </c>
      <c r="E291" t="inlineStr">
        <is>
          <t>0                      QP 0356000C  35          1986b</t>
        </is>
      </c>
      <c r="F291" t="inlineStr">
        <is>
          <t>The river that flows uphill : a journey from the Big Bang to the Big Brain / William H. Calvin.</t>
        </is>
      </c>
      <c r="H291" t="inlineStr">
        <is>
          <t>No</t>
        </is>
      </c>
      <c r="I291" t="inlineStr">
        <is>
          <t>1</t>
        </is>
      </c>
      <c r="J291" t="inlineStr">
        <is>
          <t>No</t>
        </is>
      </c>
      <c r="K291" t="inlineStr">
        <is>
          <t>No</t>
        </is>
      </c>
      <c r="L291" t="inlineStr">
        <is>
          <t>0</t>
        </is>
      </c>
      <c r="M291" t="inlineStr">
        <is>
          <t>Calvin, William H., 1939-</t>
        </is>
      </c>
      <c r="N291" t="inlineStr">
        <is>
          <t>San Francisco : Sierra Club Books, c1986.</t>
        </is>
      </c>
      <c r="O291" t="inlineStr">
        <is>
          <t>1986</t>
        </is>
      </c>
      <c r="Q291" t="inlineStr">
        <is>
          <t>eng</t>
        </is>
      </c>
      <c r="R291" t="inlineStr">
        <is>
          <t>cau</t>
        </is>
      </c>
      <c r="T291" t="inlineStr">
        <is>
          <t xml:space="preserve">QP </t>
        </is>
      </c>
      <c r="U291" t="n">
        <v>3</v>
      </c>
      <c r="V291" t="n">
        <v>3</v>
      </c>
      <c r="W291" t="inlineStr">
        <is>
          <t>1997-12-01</t>
        </is>
      </c>
      <c r="X291" t="inlineStr">
        <is>
          <t>1997-12-01</t>
        </is>
      </c>
      <c r="Y291" t="inlineStr">
        <is>
          <t>1996-09-11</t>
        </is>
      </c>
      <c r="Z291" t="inlineStr">
        <is>
          <t>1996-09-11</t>
        </is>
      </c>
      <c r="AA291" t="n">
        <v>184</v>
      </c>
      <c r="AB291" t="n">
        <v>172</v>
      </c>
      <c r="AC291" t="n">
        <v>860</v>
      </c>
      <c r="AD291" t="n">
        <v>3</v>
      </c>
      <c r="AE291" t="n">
        <v>5</v>
      </c>
      <c r="AF291" t="n">
        <v>4</v>
      </c>
      <c r="AG291" t="n">
        <v>28</v>
      </c>
      <c r="AH291" t="n">
        <v>1</v>
      </c>
      <c r="AI291" t="n">
        <v>13</v>
      </c>
      <c r="AJ291" t="n">
        <v>0</v>
      </c>
      <c r="AK291" t="n">
        <v>5</v>
      </c>
      <c r="AL291" t="n">
        <v>2</v>
      </c>
      <c r="AM291" t="n">
        <v>13</v>
      </c>
      <c r="AN291" t="n">
        <v>2</v>
      </c>
      <c r="AO291" t="n">
        <v>4</v>
      </c>
      <c r="AP291" t="n">
        <v>0</v>
      </c>
      <c r="AQ291" t="n">
        <v>0</v>
      </c>
      <c r="AR291" t="inlineStr">
        <is>
          <t>No</t>
        </is>
      </c>
      <c r="AS291" t="inlineStr">
        <is>
          <t>Yes</t>
        </is>
      </c>
      <c r="AT291">
        <f>HYPERLINK("http://catalog.hathitrust.org/Record/003595034","HathiTrust Record")</f>
        <v/>
      </c>
      <c r="AU291">
        <f>HYPERLINK("https://creighton-primo.hosted.exlibrisgroup.com/primo-explore/search?tab=default_tab&amp;search_scope=EVERYTHING&amp;vid=01CRU&amp;lang=en_US&amp;offset=0&amp;query=any,contains,991001013909702656","Catalog Record")</f>
        <v/>
      </c>
      <c r="AV291">
        <f>HYPERLINK("http://www.worldcat.org/oclc/15315917","WorldCat Record")</f>
        <v/>
      </c>
      <c r="AW291" t="inlineStr">
        <is>
          <t>2255863:eng</t>
        </is>
      </c>
      <c r="AX291" t="inlineStr">
        <is>
          <t>15315917</t>
        </is>
      </c>
      <c r="AY291" t="inlineStr">
        <is>
          <t>991001013909702656</t>
        </is>
      </c>
      <c r="AZ291" t="inlineStr">
        <is>
          <t>991001013909702656</t>
        </is>
      </c>
      <c r="BA291" t="inlineStr">
        <is>
          <t>2258078570002656</t>
        </is>
      </c>
      <c r="BB291" t="inlineStr">
        <is>
          <t>BOOK</t>
        </is>
      </c>
      <c r="BD291" t="inlineStr">
        <is>
          <t>9780871567192</t>
        </is>
      </c>
      <c r="BE291" t="inlineStr">
        <is>
          <t>32285002317062</t>
        </is>
      </c>
      <c r="BF291" t="inlineStr">
        <is>
          <t>893602249</t>
        </is>
      </c>
    </row>
    <row r="292">
      <c r="B292" t="inlineStr">
        <is>
          <t>CURAL</t>
        </is>
      </c>
      <c r="C292" t="inlineStr">
        <is>
          <t>SHELVES</t>
        </is>
      </c>
      <c r="D292" t="inlineStr">
        <is>
          <t>QP356 .C46 1991</t>
        </is>
      </c>
      <c r="E292" t="inlineStr">
        <is>
          <t>0                      QP 0356000C  46          1991</t>
        </is>
      </c>
      <c r="F292" t="inlineStr">
        <is>
          <t>Cellular neurobiology : a practical approach / edited by John Chad and Howard Wheal.</t>
        </is>
      </c>
      <c r="H292" t="inlineStr">
        <is>
          <t>No</t>
        </is>
      </c>
      <c r="I292" t="inlineStr">
        <is>
          <t>1</t>
        </is>
      </c>
      <c r="J292" t="inlineStr">
        <is>
          <t>Yes</t>
        </is>
      </c>
      <c r="K292" t="inlineStr">
        <is>
          <t>No</t>
        </is>
      </c>
      <c r="L292" t="inlineStr">
        <is>
          <t>0</t>
        </is>
      </c>
      <c r="N292" t="inlineStr">
        <is>
          <t>Oxford ; New York : IRL Press at Oxford University Press, c1991.</t>
        </is>
      </c>
      <c r="O292" t="inlineStr">
        <is>
          <t>1991</t>
        </is>
      </c>
      <c r="Q292" t="inlineStr">
        <is>
          <t>eng</t>
        </is>
      </c>
      <c r="R292" t="inlineStr">
        <is>
          <t>enk</t>
        </is>
      </c>
      <c r="S292" t="inlineStr">
        <is>
          <t>The practical approach series</t>
        </is>
      </c>
      <c r="T292" t="inlineStr">
        <is>
          <t xml:space="preserve">QP </t>
        </is>
      </c>
      <c r="U292" t="n">
        <v>10</v>
      </c>
      <c r="V292" t="n">
        <v>10</v>
      </c>
      <c r="W292" t="inlineStr">
        <is>
          <t>1998-11-10</t>
        </is>
      </c>
      <c r="X292" t="inlineStr">
        <is>
          <t>1998-11-10</t>
        </is>
      </c>
      <c r="Y292" t="inlineStr">
        <is>
          <t>1993-01-18</t>
        </is>
      </c>
      <c r="Z292" t="inlineStr">
        <is>
          <t>1993-01-18</t>
        </is>
      </c>
      <c r="AA292" t="n">
        <v>229</v>
      </c>
      <c r="AB292" t="n">
        <v>155</v>
      </c>
      <c r="AC292" t="n">
        <v>156</v>
      </c>
      <c r="AD292" t="n">
        <v>2</v>
      </c>
      <c r="AE292" t="n">
        <v>2</v>
      </c>
      <c r="AF292" t="n">
        <v>3</v>
      </c>
      <c r="AG292" t="n">
        <v>3</v>
      </c>
      <c r="AH292" t="n">
        <v>1</v>
      </c>
      <c r="AI292" t="n">
        <v>1</v>
      </c>
      <c r="AJ292" t="n">
        <v>1</v>
      </c>
      <c r="AK292" t="n">
        <v>1</v>
      </c>
      <c r="AL292" t="n">
        <v>2</v>
      </c>
      <c r="AM292" t="n">
        <v>2</v>
      </c>
      <c r="AN292" t="n">
        <v>0</v>
      </c>
      <c r="AO292" t="n">
        <v>0</v>
      </c>
      <c r="AP292" t="n">
        <v>0</v>
      </c>
      <c r="AQ292" t="n">
        <v>0</v>
      </c>
      <c r="AR292" t="inlineStr">
        <is>
          <t>No</t>
        </is>
      </c>
      <c r="AS292" t="inlineStr">
        <is>
          <t>No</t>
        </is>
      </c>
      <c r="AU292">
        <f>HYPERLINK("https://creighton-primo.hosted.exlibrisgroup.com/primo-explore/search?tab=default_tab&amp;search_scope=EVERYTHING&amp;vid=01CRU&amp;lang=en_US&amp;offset=0&amp;query=any,contains,991001812459702656","Catalog Record")</f>
        <v/>
      </c>
      <c r="AV292">
        <f>HYPERLINK("http://www.worldcat.org/oclc/22765082","WorldCat Record")</f>
        <v/>
      </c>
      <c r="AW292" t="inlineStr">
        <is>
          <t>809755432:eng</t>
        </is>
      </c>
      <c r="AX292" t="inlineStr">
        <is>
          <t>22765082</t>
        </is>
      </c>
      <c r="AY292" t="inlineStr">
        <is>
          <t>991001812459702656</t>
        </is>
      </c>
      <c r="AZ292" t="inlineStr">
        <is>
          <t>991001812459702656</t>
        </is>
      </c>
      <c r="BA292" t="inlineStr">
        <is>
          <t>2260306820002656</t>
        </is>
      </c>
      <c r="BB292" t="inlineStr">
        <is>
          <t>BOOK</t>
        </is>
      </c>
      <c r="BD292" t="inlineStr">
        <is>
          <t>9780199632541</t>
        </is>
      </c>
      <c r="BE292" t="inlineStr">
        <is>
          <t>32285001446185</t>
        </is>
      </c>
      <c r="BF292" t="inlineStr">
        <is>
          <t>893684672</t>
        </is>
      </c>
    </row>
    <row r="293">
      <c r="B293" t="inlineStr">
        <is>
          <t>CURAL</t>
        </is>
      </c>
      <c r="C293" t="inlineStr">
        <is>
          <t>SHELVES</t>
        </is>
      </c>
      <c r="D293" t="inlineStr">
        <is>
          <t>QP356 .F72 1975</t>
        </is>
      </c>
      <c r="E293" t="inlineStr">
        <is>
          <t>0                      QP 0356000F  72          1975</t>
        </is>
      </c>
      <c r="F293" t="inlineStr">
        <is>
          <t>Mass action in the nervous system : examination of the neurophysiological basis of adaptive behavior through the EEG / Walter J. Freeman.</t>
        </is>
      </c>
      <c r="H293" t="inlineStr">
        <is>
          <t>No</t>
        </is>
      </c>
      <c r="I293" t="inlineStr">
        <is>
          <t>1</t>
        </is>
      </c>
      <c r="J293" t="inlineStr">
        <is>
          <t>No</t>
        </is>
      </c>
      <c r="K293" t="inlineStr">
        <is>
          <t>No</t>
        </is>
      </c>
      <c r="L293" t="inlineStr">
        <is>
          <t>0</t>
        </is>
      </c>
      <c r="M293" t="inlineStr">
        <is>
          <t>Freeman, Walter J.</t>
        </is>
      </c>
      <c r="N293" t="inlineStr">
        <is>
          <t>New York : Academic Press, 1975.</t>
        </is>
      </c>
      <c r="O293" t="inlineStr">
        <is>
          <t>1975</t>
        </is>
      </c>
      <c r="Q293" t="inlineStr">
        <is>
          <t>eng</t>
        </is>
      </c>
      <c r="R293" t="inlineStr">
        <is>
          <t>nyu</t>
        </is>
      </c>
      <c r="T293" t="inlineStr">
        <is>
          <t xml:space="preserve">QP </t>
        </is>
      </c>
      <c r="U293" t="n">
        <v>3</v>
      </c>
      <c r="V293" t="n">
        <v>3</v>
      </c>
      <c r="W293" t="inlineStr">
        <is>
          <t>1993-05-20</t>
        </is>
      </c>
      <c r="X293" t="inlineStr">
        <is>
          <t>1993-05-20</t>
        </is>
      </c>
      <c r="Y293" t="inlineStr">
        <is>
          <t>1990-07-12</t>
        </is>
      </c>
      <c r="Z293" t="inlineStr">
        <is>
          <t>1990-07-12</t>
        </is>
      </c>
      <c r="AA293" t="n">
        <v>246</v>
      </c>
      <c r="AB293" t="n">
        <v>175</v>
      </c>
      <c r="AC293" t="n">
        <v>224</v>
      </c>
      <c r="AD293" t="n">
        <v>3</v>
      </c>
      <c r="AE293" t="n">
        <v>4</v>
      </c>
      <c r="AF293" t="n">
        <v>4</v>
      </c>
      <c r="AG293" t="n">
        <v>8</v>
      </c>
      <c r="AH293" t="n">
        <v>0</v>
      </c>
      <c r="AI293" t="n">
        <v>2</v>
      </c>
      <c r="AJ293" t="n">
        <v>2</v>
      </c>
      <c r="AK293" t="n">
        <v>4</v>
      </c>
      <c r="AL293" t="n">
        <v>2</v>
      </c>
      <c r="AM293" t="n">
        <v>2</v>
      </c>
      <c r="AN293" t="n">
        <v>1</v>
      </c>
      <c r="AO293" t="n">
        <v>2</v>
      </c>
      <c r="AP293" t="n">
        <v>0</v>
      </c>
      <c r="AQ293" t="n">
        <v>0</v>
      </c>
      <c r="AR293" t="inlineStr">
        <is>
          <t>No</t>
        </is>
      </c>
      <c r="AS293" t="inlineStr">
        <is>
          <t>Yes</t>
        </is>
      </c>
      <c r="AT293">
        <f>HYPERLINK("http://catalog.hathitrust.org/Record/000022240","HathiTrust Record")</f>
        <v/>
      </c>
      <c r="AU293">
        <f>HYPERLINK("https://creighton-primo.hosted.exlibrisgroup.com/primo-explore/search?tab=default_tab&amp;search_scope=EVERYTHING&amp;vid=01CRU&amp;lang=en_US&amp;offset=0&amp;query=any,contains,991003634949702656","Catalog Record")</f>
        <v/>
      </c>
      <c r="AV293">
        <f>HYPERLINK("http://www.worldcat.org/oclc/1229559","WorldCat Record")</f>
        <v/>
      </c>
      <c r="AW293" t="inlineStr">
        <is>
          <t>375256341:eng</t>
        </is>
      </c>
      <c r="AX293" t="inlineStr">
        <is>
          <t>1229559</t>
        </is>
      </c>
      <c r="AY293" t="inlineStr">
        <is>
          <t>991003634949702656</t>
        </is>
      </c>
      <c r="AZ293" t="inlineStr">
        <is>
          <t>991003634949702656</t>
        </is>
      </c>
      <c r="BA293" t="inlineStr">
        <is>
          <t>2268290170002656</t>
        </is>
      </c>
      <c r="BB293" t="inlineStr">
        <is>
          <t>BOOK</t>
        </is>
      </c>
      <c r="BD293" t="inlineStr">
        <is>
          <t>9780122671500</t>
        </is>
      </c>
      <c r="BE293" t="inlineStr">
        <is>
          <t>32285000236389</t>
        </is>
      </c>
      <c r="BF293" t="inlineStr">
        <is>
          <t>893318201</t>
        </is>
      </c>
    </row>
    <row r="294">
      <c r="B294" t="inlineStr">
        <is>
          <t>CURAL</t>
        </is>
      </c>
      <c r="C294" t="inlineStr">
        <is>
          <t>SHELVES</t>
        </is>
      </c>
      <c r="D294" t="inlineStr">
        <is>
          <t>QP356 .L45 1972</t>
        </is>
      </c>
      <c r="E294" t="inlineStr">
        <is>
          <t>0                      QP 0356000L  45          1972</t>
        </is>
      </c>
      <c r="F294" t="inlineStr">
        <is>
          <t>Nervous system theory; an introductory study [by] K. N. Leibovic.</t>
        </is>
      </c>
      <c r="H294" t="inlineStr">
        <is>
          <t>No</t>
        </is>
      </c>
      <c r="I294" t="inlineStr">
        <is>
          <t>1</t>
        </is>
      </c>
      <c r="J294" t="inlineStr">
        <is>
          <t>No</t>
        </is>
      </c>
      <c r="K294" t="inlineStr">
        <is>
          <t>No</t>
        </is>
      </c>
      <c r="L294" t="inlineStr">
        <is>
          <t>0</t>
        </is>
      </c>
      <c r="M294" t="inlineStr">
        <is>
          <t>Leibovic, K. N., 1921-</t>
        </is>
      </c>
      <c r="N294" t="inlineStr">
        <is>
          <t>New York, Academic Press, 1972.</t>
        </is>
      </c>
      <c r="O294" t="inlineStr">
        <is>
          <t>1972</t>
        </is>
      </c>
      <c r="Q294" t="inlineStr">
        <is>
          <t>eng</t>
        </is>
      </c>
      <c r="R294" t="inlineStr">
        <is>
          <t>nyu</t>
        </is>
      </c>
      <c r="T294" t="inlineStr">
        <is>
          <t xml:space="preserve">QP </t>
        </is>
      </c>
      <c r="U294" t="n">
        <v>1</v>
      </c>
      <c r="V294" t="n">
        <v>1</v>
      </c>
      <c r="W294" t="inlineStr">
        <is>
          <t>2007-01-23</t>
        </is>
      </c>
      <c r="X294" t="inlineStr">
        <is>
          <t>2007-01-23</t>
        </is>
      </c>
      <c r="Y294" t="inlineStr">
        <is>
          <t>1997-08-06</t>
        </is>
      </c>
      <c r="Z294" t="inlineStr">
        <is>
          <t>1997-08-06</t>
        </is>
      </c>
      <c r="AA294" t="n">
        <v>356</v>
      </c>
      <c r="AB294" t="n">
        <v>263</v>
      </c>
      <c r="AC294" t="n">
        <v>304</v>
      </c>
      <c r="AD294" t="n">
        <v>4</v>
      </c>
      <c r="AE294" t="n">
        <v>4</v>
      </c>
      <c r="AF294" t="n">
        <v>14</v>
      </c>
      <c r="AG294" t="n">
        <v>16</v>
      </c>
      <c r="AH294" t="n">
        <v>4</v>
      </c>
      <c r="AI294" t="n">
        <v>5</v>
      </c>
      <c r="AJ294" t="n">
        <v>5</v>
      </c>
      <c r="AK294" t="n">
        <v>7</v>
      </c>
      <c r="AL294" t="n">
        <v>5</v>
      </c>
      <c r="AM294" t="n">
        <v>5</v>
      </c>
      <c r="AN294" t="n">
        <v>3</v>
      </c>
      <c r="AO294" t="n">
        <v>3</v>
      </c>
      <c r="AP294" t="n">
        <v>0</v>
      </c>
      <c r="AQ294" t="n">
        <v>0</v>
      </c>
      <c r="AR294" t="inlineStr">
        <is>
          <t>No</t>
        </is>
      </c>
      <c r="AS294" t="inlineStr">
        <is>
          <t>Yes</t>
        </is>
      </c>
      <c r="AT294">
        <f>HYPERLINK("http://catalog.hathitrust.org/Record/001554587","HathiTrust Record")</f>
        <v/>
      </c>
      <c r="AU294">
        <f>HYPERLINK("https://creighton-primo.hosted.exlibrisgroup.com/primo-explore/search?tab=default_tab&amp;search_scope=EVERYTHING&amp;vid=01CRU&amp;lang=en_US&amp;offset=0&amp;query=any,contains,991003032719702656","Catalog Record")</f>
        <v/>
      </c>
      <c r="AV294">
        <f>HYPERLINK("http://www.worldcat.org/oclc/595338","WorldCat Record")</f>
        <v/>
      </c>
      <c r="AW294" t="inlineStr">
        <is>
          <t>364367523:eng</t>
        </is>
      </c>
      <c r="AX294" t="inlineStr">
        <is>
          <t>595338</t>
        </is>
      </c>
      <c r="AY294" t="inlineStr">
        <is>
          <t>991003032719702656</t>
        </is>
      </c>
      <c r="AZ294" t="inlineStr">
        <is>
          <t>991003032719702656</t>
        </is>
      </c>
      <c r="BA294" t="inlineStr">
        <is>
          <t>2272267610002656</t>
        </is>
      </c>
      <c r="BB294" t="inlineStr">
        <is>
          <t>BOOK</t>
        </is>
      </c>
      <c r="BD294" t="inlineStr">
        <is>
          <t>9780124412507</t>
        </is>
      </c>
      <c r="BE294" t="inlineStr">
        <is>
          <t>32285003014056</t>
        </is>
      </c>
      <c r="BF294" t="inlineStr">
        <is>
          <t>893704834</t>
        </is>
      </c>
    </row>
    <row r="295">
      <c r="B295" t="inlineStr">
        <is>
          <t>CURAL</t>
        </is>
      </c>
      <c r="C295" t="inlineStr">
        <is>
          <t>SHELVES</t>
        </is>
      </c>
      <c r="D295" t="inlineStr">
        <is>
          <t>QP356 .M569 1992</t>
        </is>
      </c>
      <c r="E295" t="inlineStr">
        <is>
          <t>0                      QP 0356000M  569         1992</t>
        </is>
      </c>
      <c r="F295" t="inlineStr">
        <is>
          <t>Monitoring neuronal activity : a practical approach / edited by J.A. Stamford.</t>
        </is>
      </c>
      <c r="H295" t="inlineStr">
        <is>
          <t>No</t>
        </is>
      </c>
      <c r="I295" t="inlineStr">
        <is>
          <t>1</t>
        </is>
      </c>
      <c r="J295" t="inlineStr">
        <is>
          <t>No</t>
        </is>
      </c>
      <c r="K295" t="inlineStr">
        <is>
          <t>No</t>
        </is>
      </c>
      <c r="L295" t="inlineStr">
        <is>
          <t>0</t>
        </is>
      </c>
      <c r="N295" t="inlineStr">
        <is>
          <t>Oxford ; New York : IRL Press at Oxford University Press, c1992.</t>
        </is>
      </c>
      <c r="O295" t="inlineStr">
        <is>
          <t>1992</t>
        </is>
      </c>
      <c r="Q295" t="inlineStr">
        <is>
          <t>eng</t>
        </is>
      </c>
      <c r="R295" t="inlineStr">
        <is>
          <t>enk</t>
        </is>
      </c>
      <c r="S295" t="inlineStr">
        <is>
          <t>Practical approach series</t>
        </is>
      </c>
      <c r="T295" t="inlineStr">
        <is>
          <t xml:space="preserve">QP </t>
        </is>
      </c>
      <c r="U295" t="n">
        <v>8</v>
      </c>
      <c r="V295" t="n">
        <v>8</v>
      </c>
      <c r="W295" t="inlineStr">
        <is>
          <t>2001-06-04</t>
        </is>
      </c>
      <c r="X295" t="inlineStr">
        <is>
          <t>2001-06-04</t>
        </is>
      </c>
      <c r="Y295" t="inlineStr">
        <is>
          <t>1996-06-06</t>
        </is>
      </c>
      <c r="Z295" t="inlineStr">
        <is>
          <t>1996-06-06</t>
        </is>
      </c>
      <c r="AA295" t="n">
        <v>178</v>
      </c>
      <c r="AB295" t="n">
        <v>108</v>
      </c>
      <c r="AC295" t="n">
        <v>115</v>
      </c>
      <c r="AD295" t="n">
        <v>1</v>
      </c>
      <c r="AE295" t="n">
        <v>1</v>
      </c>
      <c r="AF295" t="n">
        <v>2</v>
      </c>
      <c r="AG295" t="n">
        <v>2</v>
      </c>
      <c r="AH295" t="n">
        <v>0</v>
      </c>
      <c r="AI295" t="n">
        <v>0</v>
      </c>
      <c r="AJ295" t="n">
        <v>1</v>
      </c>
      <c r="AK295" t="n">
        <v>1</v>
      </c>
      <c r="AL295" t="n">
        <v>2</v>
      </c>
      <c r="AM295" t="n">
        <v>2</v>
      </c>
      <c r="AN295" t="n">
        <v>0</v>
      </c>
      <c r="AO295" t="n">
        <v>0</v>
      </c>
      <c r="AP295" t="n">
        <v>0</v>
      </c>
      <c r="AQ295" t="n">
        <v>0</v>
      </c>
      <c r="AR295" t="inlineStr">
        <is>
          <t>No</t>
        </is>
      </c>
      <c r="AS295" t="inlineStr">
        <is>
          <t>Yes</t>
        </is>
      </c>
      <c r="AT295">
        <f>HYPERLINK("http://catalog.hathitrust.org/Record/002528675","HathiTrust Record")</f>
        <v/>
      </c>
      <c r="AU295">
        <f>HYPERLINK("https://creighton-primo.hosted.exlibrisgroup.com/primo-explore/search?tab=default_tab&amp;search_scope=EVERYTHING&amp;vid=01CRU&amp;lang=en_US&amp;offset=0&amp;query=any,contains,991001920539702656","Catalog Record")</f>
        <v/>
      </c>
      <c r="AV295">
        <f>HYPERLINK("http://www.worldcat.org/oclc/24246560","WorldCat Record")</f>
        <v/>
      </c>
      <c r="AW295" t="inlineStr">
        <is>
          <t>808449199:eng</t>
        </is>
      </c>
      <c r="AX295" t="inlineStr">
        <is>
          <t>24246560</t>
        </is>
      </c>
      <c r="AY295" t="inlineStr">
        <is>
          <t>991001920539702656</t>
        </is>
      </c>
      <c r="AZ295" t="inlineStr">
        <is>
          <t>991001920539702656</t>
        </is>
      </c>
      <c r="BA295" t="inlineStr">
        <is>
          <t>2263988860002656</t>
        </is>
      </c>
      <c r="BB295" t="inlineStr">
        <is>
          <t>BOOK</t>
        </is>
      </c>
      <c r="BD295" t="inlineStr">
        <is>
          <t>9780199632442</t>
        </is>
      </c>
      <c r="BE295" t="inlineStr">
        <is>
          <t>32285002188786</t>
        </is>
      </c>
      <c r="BF295" t="inlineStr">
        <is>
          <t>893516678</t>
        </is>
      </c>
    </row>
    <row r="296">
      <c r="B296" t="inlineStr">
        <is>
          <t>CURAL</t>
        </is>
      </c>
      <c r="C296" t="inlineStr">
        <is>
          <t>SHELVES</t>
        </is>
      </c>
      <c r="D296" t="inlineStr">
        <is>
          <t>QP356 .N4829 1990</t>
        </is>
      </c>
      <c r="E296" t="inlineStr">
        <is>
          <t>0                      QP 0356000N  4829        1990</t>
        </is>
      </c>
      <c r="F296" t="inlineStr">
        <is>
          <t>Neuroscience and connectionist theory / edited by Mark A. Gluck, David E. Rumelhart.</t>
        </is>
      </c>
      <c r="H296" t="inlineStr">
        <is>
          <t>No</t>
        </is>
      </c>
      <c r="I296" t="inlineStr">
        <is>
          <t>1</t>
        </is>
      </c>
      <c r="J296" t="inlineStr">
        <is>
          <t>No</t>
        </is>
      </c>
      <c r="K296" t="inlineStr">
        <is>
          <t>No</t>
        </is>
      </c>
      <c r="L296" t="inlineStr">
        <is>
          <t>0</t>
        </is>
      </c>
      <c r="N296" t="inlineStr">
        <is>
          <t>Hillsdale, N.J. : L. Erlbaum Associates, Publishers, 1990.</t>
        </is>
      </c>
      <c r="O296" t="inlineStr">
        <is>
          <t>1990</t>
        </is>
      </c>
      <c r="Q296" t="inlineStr">
        <is>
          <t>eng</t>
        </is>
      </c>
      <c r="R296" t="inlineStr">
        <is>
          <t>nju</t>
        </is>
      </c>
      <c r="T296" t="inlineStr">
        <is>
          <t xml:space="preserve">QP </t>
        </is>
      </c>
      <c r="U296" t="n">
        <v>4</v>
      </c>
      <c r="V296" t="n">
        <v>4</v>
      </c>
      <c r="W296" t="inlineStr">
        <is>
          <t>1998-04-29</t>
        </is>
      </c>
      <c r="X296" t="inlineStr">
        <is>
          <t>1998-04-29</t>
        </is>
      </c>
      <c r="Y296" t="inlineStr">
        <is>
          <t>1991-05-13</t>
        </is>
      </c>
      <c r="Z296" t="inlineStr">
        <is>
          <t>1991-05-13</t>
        </is>
      </c>
      <c r="AA296" t="n">
        <v>352</v>
      </c>
      <c r="AB296" t="n">
        <v>265</v>
      </c>
      <c r="AC296" t="n">
        <v>289</v>
      </c>
      <c r="AD296" t="n">
        <v>3</v>
      </c>
      <c r="AE296" t="n">
        <v>3</v>
      </c>
      <c r="AF296" t="n">
        <v>14</v>
      </c>
      <c r="AG296" t="n">
        <v>14</v>
      </c>
      <c r="AH296" t="n">
        <v>3</v>
      </c>
      <c r="AI296" t="n">
        <v>3</v>
      </c>
      <c r="AJ296" t="n">
        <v>5</v>
      </c>
      <c r="AK296" t="n">
        <v>5</v>
      </c>
      <c r="AL296" t="n">
        <v>10</v>
      </c>
      <c r="AM296" t="n">
        <v>10</v>
      </c>
      <c r="AN296" t="n">
        <v>2</v>
      </c>
      <c r="AO296" t="n">
        <v>2</v>
      </c>
      <c r="AP296" t="n">
        <v>0</v>
      </c>
      <c r="AQ296" t="n">
        <v>0</v>
      </c>
      <c r="AR296" t="inlineStr">
        <is>
          <t>No</t>
        </is>
      </c>
      <c r="AS296" t="inlineStr">
        <is>
          <t>Yes</t>
        </is>
      </c>
      <c r="AT296">
        <f>HYPERLINK("http://catalog.hathitrust.org/Record/002210014","HathiTrust Record")</f>
        <v/>
      </c>
      <c r="AU296">
        <f>HYPERLINK("https://creighton-primo.hosted.exlibrisgroup.com/primo-explore/search?tab=default_tab&amp;search_scope=EVERYTHING&amp;vid=01CRU&amp;lang=en_US&amp;offset=0&amp;query=any,contains,991001543159702656","Catalog Record")</f>
        <v/>
      </c>
      <c r="AV296">
        <f>HYPERLINK("http://www.worldcat.org/oclc/20133533","WorldCat Record")</f>
        <v/>
      </c>
      <c r="AW296" t="inlineStr">
        <is>
          <t>350332203:eng</t>
        </is>
      </c>
      <c r="AX296" t="inlineStr">
        <is>
          <t>20133533</t>
        </is>
      </c>
      <c r="AY296" t="inlineStr">
        <is>
          <t>991001543159702656</t>
        </is>
      </c>
      <c r="AZ296" t="inlineStr">
        <is>
          <t>991001543159702656</t>
        </is>
      </c>
      <c r="BA296" t="inlineStr">
        <is>
          <t>2261253290002656</t>
        </is>
      </c>
      <c r="BB296" t="inlineStr">
        <is>
          <t>BOOK</t>
        </is>
      </c>
      <c r="BD296" t="inlineStr">
        <is>
          <t>9780805806199</t>
        </is>
      </c>
      <c r="BE296" t="inlineStr">
        <is>
          <t>32285000572262</t>
        </is>
      </c>
      <c r="BF296" t="inlineStr">
        <is>
          <t>893503478</t>
        </is>
      </c>
    </row>
    <row r="297">
      <c r="B297" t="inlineStr">
        <is>
          <t>CURAL</t>
        </is>
      </c>
      <c r="C297" t="inlineStr">
        <is>
          <t>SHELVES</t>
        </is>
      </c>
      <c r="D297" t="inlineStr">
        <is>
          <t>QP356 .P48 2001</t>
        </is>
      </c>
      <c r="E297" t="inlineStr">
        <is>
          <t>0                      QP 0356000P  48          2001</t>
        </is>
      </c>
      <c r="F297" t="inlineStr">
        <is>
          <t>Philosophy and the neurosciences : a reader / edited by William Bechtel ... [et al.].</t>
        </is>
      </c>
      <c r="H297" t="inlineStr">
        <is>
          <t>No</t>
        </is>
      </c>
      <c r="I297" t="inlineStr">
        <is>
          <t>1</t>
        </is>
      </c>
      <c r="J297" t="inlineStr">
        <is>
          <t>No</t>
        </is>
      </c>
      <c r="K297" t="inlineStr">
        <is>
          <t>No</t>
        </is>
      </c>
      <c r="L297" t="inlineStr">
        <is>
          <t>0</t>
        </is>
      </c>
      <c r="N297" t="inlineStr">
        <is>
          <t>Malden, Mass. : Blackwell Publishers, 2001.</t>
        </is>
      </c>
      <c r="O297" t="inlineStr">
        <is>
          <t>2001</t>
        </is>
      </c>
      <c r="Q297" t="inlineStr">
        <is>
          <t>eng</t>
        </is>
      </c>
      <c r="R297" t="inlineStr">
        <is>
          <t>mau</t>
        </is>
      </c>
      <c r="T297" t="inlineStr">
        <is>
          <t xml:space="preserve">QP </t>
        </is>
      </c>
      <c r="U297" t="n">
        <v>5</v>
      </c>
      <c r="V297" t="n">
        <v>5</v>
      </c>
      <c r="W297" t="inlineStr">
        <is>
          <t>2008-06-02</t>
        </is>
      </c>
      <c r="X297" t="inlineStr">
        <is>
          <t>2008-06-02</t>
        </is>
      </c>
      <c r="Y297" t="inlineStr">
        <is>
          <t>2002-01-09</t>
        </is>
      </c>
      <c r="Z297" t="inlineStr">
        <is>
          <t>2002-01-09</t>
        </is>
      </c>
      <c r="AA297" t="n">
        <v>212</v>
      </c>
      <c r="AB297" t="n">
        <v>136</v>
      </c>
      <c r="AC297" t="n">
        <v>136</v>
      </c>
      <c r="AD297" t="n">
        <v>1</v>
      </c>
      <c r="AE297" t="n">
        <v>1</v>
      </c>
      <c r="AF297" t="n">
        <v>8</v>
      </c>
      <c r="AG297" t="n">
        <v>8</v>
      </c>
      <c r="AH297" t="n">
        <v>2</v>
      </c>
      <c r="AI297" t="n">
        <v>2</v>
      </c>
      <c r="AJ297" t="n">
        <v>5</v>
      </c>
      <c r="AK297" t="n">
        <v>5</v>
      </c>
      <c r="AL297" t="n">
        <v>4</v>
      </c>
      <c r="AM297" t="n">
        <v>4</v>
      </c>
      <c r="AN297" t="n">
        <v>0</v>
      </c>
      <c r="AO297" t="n">
        <v>0</v>
      </c>
      <c r="AP297" t="n">
        <v>0</v>
      </c>
      <c r="AQ297" t="n">
        <v>0</v>
      </c>
      <c r="AR297" t="inlineStr">
        <is>
          <t>No</t>
        </is>
      </c>
      <c r="AS297" t="inlineStr">
        <is>
          <t>No</t>
        </is>
      </c>
      <c r="AU297">
        <f>HYPERLINK("https://creighton-primo.hosted.exlibrisgroup.com/primo-explore/search?tab=default_tab&amp;search_scope=EVERYTHING&amp;vid=01CRU&amp;lang=en_US&amp;offset=0&amp;query=any,contains,991003683519702656","Catalog Record")</f>
        <v/>
      </c>
      <c r="AV297">
        <f>HYPERLINK("http://www.worldcat.org/oclc/47756432","WorldCat Record")</f>
        <v/>
      </c>
      <c r="AW297" t="inlineStr">
        <is>
          <t>890411367:eng</t>
        </is>
      </c>
      <c r="AX297" t="inlineStr">
        <is>
          <t>47756432</t>
        </is>
      </c>
      <c r="AY297" t="inlineStr">
        <is>
          <t>991003683519702656</t>
        </is>
      </c>
      <c r="AZ297" t="inlineStr">
        <is>
          <t>991003683519702656</t>
        </is>
      </c>
      <c r="BA297" t="inlineStr">
        <is>
          <t>2258350640002656</t>
        </is>
      </c>
      <c r="BB297" t="inlineStr">
        <is>
          <t>BOOK</t>
        </is>
      </c>
      <c r="BD297" t="inlineStr">
        <is>
          <t>9780631210443</t>
        </is>
      </c>
      <c r="BE297" t="inlineStr">
        <is>
          <t>32285004447206</t>
        </is>
      </c>
      <c r="BF297" t="inlineStr">
        <is>
          <t>893330650</t>
        </is>
      </c>
    </row>
    <row r="298">
      <c r="B298" t="inlineStr">
        <is>
          <t>CURAL</t>
        </is>
      </c>
      <c r="C298" t="inlineStr">
        <is>
          <t>SHELVES</t>
        </is>
      </c>
      <c r="D298" t="inlineStr">
        <is>
          <t>QP356.15 .N44 1991</t>
        </is>
      </c>
      <c r="E298" t="inlineStr">
        <is>
          <t>0                      QP 0356150N  44          1991</t>
        </is>
      </c>
      <c r="F298" t="inlineStr">
        <is>
          <t>Neural and integrative animal physiology / edited by C. Ladd Prosser.</t>
        </is>
      </c>
      <c r="H298" t="inlineStr">
        <is>
          <t>No</t>
        </is>
      </c>
      <c r="I298" t="inlineStr">
        <is>
          <t>1</t>
        </is>
      </c>
      <c r="J298" t="inlineStr">
        <is>
          <t>No</t>
        </is>
      </c>
      <c r="K298" t="inlineStr">
        <is>
          <t>No</t>
        </is>
      </c>
      <c r="L298" t="inlineStr">
        <is>
          <t>0</t>
        </is>
      </c>
      <c r="N298" t="inlineStr">
        <is>
          <t>New York : Wiley-Liss, c1991.</t>
        </is>
      </c>
      <c r="O298" t="inlineStr">
        <is>
          <t>1991</t>
        </is>
      </c>
      <c r="Q298" t="inlineStr">
        <is>
          <t>eng</t>
        </is>
      </c>
      <c r="R298" t="inlineStr">
        <is>
          <t>nyu</t>
        </is>
      </c>
      <c r="T298" t="inlineStr">
        <is>
          <t xml:space="preserve">QP </t>
        </is>
      </c>
      <c r="U298" t="n">
        <v>10</v>
      </c>
      <c r="V298" t="n">
        <v>10</v>
      </c>
      <c r="W298" t="inlineStr">
        <is>
          <t>1998-04-29</t>
        </is>
      </c>
      <c r="X298" t="inlineStr">
        <is>
          <t>1998-04-29</t>
        </is>
      </c>
      <c r="Y298" t="inlineStr">
        <is>
          <t>1991-09-06</t>
        </is>
      </c>
      <c r="Z298" t="inlineStr">
        <is>
          <t>1991-09-06</t>
        </is>
      </c>
      <c r="AA298" t="n">
        <v>439</v>
      </c>
      <c r="AB298" t="n">
        <v>318</v>
      </c>
      <c r="AC298" t="n">
        <v>324</v>
      </c>
      <c r="AD298" t="n">
        <v>3</v>
      </c>
      <c r="AE298" t="n">
        <v>3</v>
      </c>
      <c r="AF298" t="n">
        <v>16</v>
      </c>
      <c r="AG298" t="n">
        <v>16</v>
      </c>
      <c r="AH298" t="n">
        <v>4</v>
      </c>
      <c r="AI298" t="n">
        <v>4</v>
      </c>
      <c r="AJ298" t="n">
        <v>7</v>
      </c>
      <c r="AK298" t="n">
        <v>7</v>
      </c>
      <c r="AL298" t="n">
        <v>7</v>
      </c>
      <c r="AM298" t="n">
        <v>7</v>
      </c>
      <c r="AN298" t="n">
        <v>2</v>
      </c>
      <c r="AO298" t="n">
        <v>2</v>
      </c>
      <c r="AP298" t="n">
        <v>0</v>
      </c>
      <c r="AQ298" t="n">
        <v>0</v>
      </c>
      <c r="AR298" t="inlineStr">
        <is>
          <t>No</t>
        </is>
      </c>
      <c r="AS298" t="inlineStr">
        <is>
          <t>Yes</t>
        </is>
      </c>
      <c r="AT298">
        <f>HYPERLINK("http://catalog.hathitrust.org/Record/002430556","HathiTrust Record")</f>
        <v/>
      </c>
      <c r="AU298">
        <f>HYPERLINK("https://creighton-primo.hosted.exlibrisgroup.com/primo-explore/search?tab=default_tab&amp;search_scope=EVERYTHING&amp;vid=01CRU&amp;lang=en_US&amp;offset=0&amp;query=any,contains,991001822499702656","Catalog Record")</f>
        <v/>
      </c>
      <c r="AV298">
        <f>HYPERLINK("http://www.worldcat.org/oclc/22906161","WorldCat Record")</f>
        <v/>
      </c>
      <c r="AW298" t="inlineStr">
        <is>
          <t>2888568126:eng</t>
        </is>
      </c>
      <c r="AX298" t="inlineStr">
        <is>
          <t>22906161</t>
        </is>
      </c>
      <c r="AY298" t="inlineStr">
        <is>
          <t>991001822499702656</t>
        </is>
      </c>
      <c r="AZ298" t="inlineStr">
        <is>
          <t>991001822499702656</t>
        </is>
      </c>
      <c r="BA298" t="inlineStr">
        <is>
          <t>2262128120002656</t>
        </is>
      </c>
      <c r="BB298" t="inlineStr">
        <is>
          <t>BOOK</t>
        </is>
      </c>
      <c r="BD298" t="inlineStr">
        <is>
          <t>9780471560715</t>
        </is>
      </c>
      <c r="BE298" t="inlineStr">
        <is>
          <t>32285000702786</t>
        </is>
      </c>
      <c r="BF298" t="inlineStr">
        <is>
          <t>893238360</t>
        </is>
      </c>
    </row>
    <row r="299">
      <c r="B299" t="inlineStr">
        <is>
          <t>CURAL</t>
        </is>
      </c>
      <c r="C299" t="inlineStr">
        <is>
          <t>SHELVES</t>
        </is>
      </c>
      <c r="D299" t="inlineStr">
        <is>
          <t>QP356.151 .N44 1991</t>
        </is>
      </c>
      <c r="E299" t="inlineStr">
        <is>
          <t>0                      QP 0356151N  44          1991</t>
        </is>
      </c>
      <c r="F299" t="inlineStr">
        <is>
          <t>Environmental and metabolic animal physiology / edited by C. Ladd Prosser.</t>
        </is>
      </c>
      <c r="H299" t="inlineStr">
        <is>
          <t>No</t>
        </is>
      </c>
      <c r="I299" t="inlineStr">
        <is>
          <t>1</t>
        </is>
      </c>
      <c r="J299" t="inlineStr">
        <is>
          <t>No</t>
        </is>
      </c>
      <c r="K299" t="inlineStr">
        <is>
          <t>No</t>
        </is>
      </c>
      <c r="L299" t="inlineStr">
        <is>
          <t>0</t>
        </is>
      </c>
      <c r="N299" t="inlineStr">
        <is>
          <t>New York : Wiley-Liss, c1991.</t>
        </is>
      </c>
      <c r="O299" t="inlineStr">
        <is>
          <t>1991</t>
        </is>
      </c>
      <c r="Q299" t="inlineStr">
        <is>
          <t>eng</t>
        </is>
      </c>
      <c r="R299" t="inlineStr">
        <is>
          <t>nyu</t>
        </is>
      </c>
      <c r="T299" t="inlineStr">
        <is>
          <t xml:space="preserve">QP </t>
        </is>
      </c>
      <c r="U299" t="n">
        <v>40</v>
      </c>
      <c r="V299" t="n">
        <v>40</v>
      </c>
      <c r="W299" t="inlineStr">
        <is>
          <t>2000-02-06</t>
        </is>
      </c>
      <c r="X299" t="inlineStr">
        <is>
          <t>2000-02-06</t>
        </is>
      </c>
      <c r="Y299" t="inlineStr">
        <is>
          <t>1992-08-20</t>
        </is>
      </c>
      <c r="Z299" t="inlineStr">
        <is>
          <t>1992-08-20</t>
        </is>
      </c>
      <c r="AA299" t="n">
        <v>469</v>
      </c>
      <c r="AB299" t="n">
        <v>338</v>
      </c>
      <c r="AC299" t="n">
        <v>340</v>
      </c>
      <c r="AD299" t="n">
        <v>3</v>
      </c>
      <c r="AE299" t="n">
        <v>3</v>
      </c>
      <c r="AF299" t="n">
        <v>15</v>
      </c>
      <c r="AG299" t="n">
        <v>15</v>
      </c>
      <c r="AH299" t="n">
        <v>5</v>
      </c>
      <c r="AI299" t="n">
        <v>5</v>
      </c>
      <c r="AJ299" t="n">
        <v>6</v>
      </c>
      <c r="AK299" t="n">
        <v>6</v>
      </c>
      <c r="AL299" t="n">
        <v>7</v>
      </c>
      <c r="AM299" t="n">
        <v>7</v>
      </c>
      <c r="AN299" t="n">
        <v>2</v>
      </c>
      <c r="AO299" t="n">
        <v>2</v>
      </c>
      <c r="AP299" t="n">
        <v>0</v>
      </c>
      <c r="AQ299" t="n">
        <v>0</v>
      </c>
      <c r="AR299" t="inlineStr">
        <is>
          <t>No</t>
        </is>
      </c>
      <c r="AS299" t="inlineStr">
        <is>
          <t>Yes</t>
        </is>
      </c>
      <c r="AT299">
        <f>HYPERLINK("http://catalog.hathitrust.org/Record/002441662","HathiTrust Record")</f>
        <v/>
      </c>
      <c r="AU299">
        <f>HYPERLINK("https://creighton-primo.hosted.exlibrisgroup.com/primo-explore/search?tab=default_tab&amp;search_scope=EVERYTHING&amp;vid=01CRU&amp;lang=en_US&amp;offset=0&amp;query=any,contains,991001822519702656","Catalog Record")</f>
        <v/>
      </c>
      <c r="AV299">
        <f>HYPERLINK("http://www.worldcat.org/oclc/22906165","WorldCat Record")</f>
        <v/>
      </c>
      <c r="AW299" t="inlineStr">
        <is>
          <t>24008218:eng</t>
        </is>
      </c>
      <c r="AX299" t="inlineStr">
        <is>
          <t>22906165</t>
        </is>
      </c>
      <c r="AY299" t="inlineStr">
        <is>
          <t>991001822519702656</t>
        </is>
      </c>
      <c r="AZ299" t="inlineStr">
        <is>
          <t>991001822519702656</t>
        </is>
      </c>
      <c r="BA299" t="inlineStr">
        <is>
          <t>2262149110002656</t>
        </is>
      </c>
      <c r="BB299" t="inlineStr">
        <is>
          <t>BOOK</t>
        </is>
      </c>
      <c r="BD299" t="inlineStr">
        <is>
          <t>9780471857679</t>
        </is>
      </c>
      <c r="BE299" t="inlineStr">
        <is>
          <t>32285001211977</t>
        </is>
      </c>
      <c r="BF299" t="inlineStr">
        <is>
          <t>893244442</t>
        </is>
      </c>
    </row>
    <row r="300">
      <c r="B300" t="inlineStr">
        <is>
          <t>CURAL</t>
        </is>
      </c>
      <c r="C300" t="inlineStr">
        <is>
          <t>SHELVES</t>
        </is>
      </c>
      <c r="D300" t="inlineStr">
        <is>
          <t>QP356.2 .M644 1989</t>
        </is>
      </c>
      <c r="E300" t="inlineStr">
        <is>
          <t>0                      QP 0356200M  644         1989</t>
        </is>
      </c>
      <c r="F300" t="inlineStr">
        <is>
          <t>Molecular neurobiology / edited by D.M. Glover and B.D. Hames.</t>
        </is>
      </c>
      <c r="H300" t="inlineStr">
        <is>
          <t>No</t>
        </is>
      </c>
      <c r="I300" t="inlineStr">
        <is>
          <t>1</t>
        </is>
      </c>
      <c r="J300" t="inlineStr">
        <is>
          <t>No</t>
        </is>
      </c>
      <c r="K300" t="inlineStr">
        <is>
          <t>No</t>
        </is>
      </c>
      <c r="L300" t="inlineStr">
        <is>
          <t>0</t>
        </is>
      </c>
      <c r="N300" t="inlineStr">
        <is>
          <t>Oxford ; New York : IRL Press at Oxford University Press, 1989.</t>
        </is>
      </c>
      <c r="O300" t="inlineStr">
        <is>
          <t>1989</t>
        </is>
      </c>
      <c r="Q300" t="inlineStr">
        <is>
          <t>eng</t>
        </is>
      </c>
      <c r="R300" t="inlineStr">
        <is>
          <t>enk</t>
        </is>
      </c>
      <c r="S300" t="inlineStr">
        <is>
          <t>Frontiers in molecular biology</t>
        </is>
      </c>
      <c r="T300" t="inlineStr">
        <is>
          <t xml:space="preserve">QP </t>
        </is>
      </c>
      <c r="U300" t="n">
        <v>4</v>
      </c>
      <c r="V300" t="n">
        <v>4</v>
      </c>
      <c r="W300" t="inlineStr">
        <is>
          <t>1997-03-11</t>
        </is>
      </c>
      <c r="X300" t="inlineStr">
        <is>
          <t>1997-03-11</t>
        </is>
      </c>
      <c r="Y300" t="inlineStr">
        <is>
          <t>1990-06-22</t>
        </is>
      </c>
      <c r="Z300" t="inlineStr">
        <is>
          <t>1990-06-22</t>
        </is>
      </c>
      <c r="AA300" t="n">
        <v>208</v>
      </c>
      <c r="AB300" t="n">
        <v>161</v>
      </c>
      <c r="AC300" t="n">
        <v>175</v>
      </c>
      <c r="AD300" t="n">
        <v>1</v>
      </c>
      <c r="AE300" t="n">
        <v>1</v>
      </c>
      <c r="AF300" t="n">
        <v>7</v>
      </c>
      <c r="AG300" t="n">
        <v>7</v>
      </c>
      <c r="AH300" t="n">
        <v>2</v>
      </c>
      <c r="AI300" t="n">
        <v>2</v>
      </c>
      <c r="AJ300" t="n">
        <v>4</v>
      </c>
      <c r="AK300" t="n">
        <v>4</v>
      </c>
      <c r="AL300" t="n">
        <v>3</v>
      </c>
      <c r="AM300" t="n">
        <v>3</v>
      </c>
      <c r="AN300" t="n">
        <v>0</v>
      </c>
      <c r="AO300" t="n">
        <v>0</v>
      </c>
      <c r="AP300" t="n">
        <v>0</v>
      </c>
      <c r="AQ300" t="n">
        <v>0</v>
      </c>
      <c r="AR300" t="inlineStr">
        <is>
          <t>No</t>
        </is>
      </c>
      <c r="AS300" t="inlineStr">
        <is>
          <t>Yes</t>
        </is>
      </c>
      <c r="AT300">
        <f>HYPERLINK("http://catalog.hathitrust.org/Record/009492145","HathiTrust Record")</f>
        <v/>
      </c>
      <c r="AU300">
        <f>HYPERLINK("https://creighton-primo.hosted.exlibrisgroup.com/primo-explore/search?tab=default_tab&amp;search_scope=EVERYTHING&amp;vid=01CRU&amp;lang=en_US&amp;offset=0&amp;query=any,contains,991001623069702656","Catalog Record")</f>
        <v/>
      </c>
      <c r="AV300">
        <f>HYPERLINK("http://www.worldcat.org/oclc/20826564","WorldCat Record")</f>
        <v/>
      </c>
      <c r="AW300" t="inlineStr">
        <is>
          <t>2260885581:eng</t>
        </is>
      </c>
      <c r="AX300" t="inlineStr">
        <is>
          <t>20826564</t>
        </is>
      </c>
      <c r="AY300" t="inlineStr">
        <is>
          <t>991001623069702656</t>
        </is>
      </c>
      <c r="AZ300" t="inlineStr">
        <is>
          <t>991001623069702656</t>
        </is>
      </c>
      <c r="BA300" t="inlineStr">
        <is>
          <t>2261188890002656</t>
        </is>
      </c>
      <c r="BB300" t="inlineStr">
        <is>
          <t>BOOK</t>
        </is>
      </c>
      <c r="BD300" t="inlineStr">
        <is>
          <t>9780199630431</t>
        </is>
      </c>
      <c r="BE300" t="inlineStr">
        <is>
          <t>32285000179514</t>
        </is>
      </c>
      <c r="BF300" t="inlineStr">
        <is>
          <t>893709399</t>
        </is>
      </c>
    </row>
    <row r="301">
      <c r="B301" t="inlineStr">
        <is>
          <t>CURAL</t>
        </is>
      </c>
      <c r="C301" t="inlineStr">
        <is>
          <t>SHELVES</t>
        </is>
      </c>
      <c r="D301" t="inlineStr">
        <is>
          <t>QP356.2 .M6444 1991</t>
        </is>
      </c>
      <c r="E301" t="inlineStr">
        <is>
          <t>0                      QP 0356200M  6444        1991</t>
        </is>
      </c>
      <c r="F301" t="inlineStr">
        <is>
          <t>Molecular neurobiology : a practical approach / edited by John Chad and Howard Wheal.</t>
        </is>
      </c>
      <c r="H301" t="inlineStr">
        <is>
          <t>No</t>
        </is>
      </c>
      <c r="I301" t="inlineStr">
        <is>
          <t>1</t>
        </is>
      </c>
      <c r="J301" t="inlineStr">
        <is>
          <t>No</t>
        </is>
      </c>
      <c r="K301" t="inlineStr">
        <is>
          <t>No</t>
        </is>
      </c>
      <c r="L301" t="inlineStr">
        <is>
          <t>0</t>
        </is>
      </c>
      <c r="N301" t="inlineStr">
        <is>
          <t>Oxford ; New York : IRL Press at Oxford University Press, c1991.</t>
        </is>
      </c>
      <c r="O301" t="inlineStr">
        <is>
          <t>1991</t>
        </is>
      </c>
      <c r="Q301" t="inlineStr">
        <is>
          <t>eng</t>
        </is>
      </c>
      <c r="R301" t="inlineStr">
        <is>
          <t>enk</t>
        </is>
      </c>
      <c r="S301" t="inlineStr">
        <is>
          <t>Practical approach series</t>
        </is>
      </c>
      <c r="T301" t="inlineStr">
        <is>
          <t xml:space="preserve">QP </t>
        </is>
      </c>
      <c r="U301" t="n">
        <v>5</v>
      </c>
      <c r="V301" t="n">
        <v>5</v>
      </c>
      <c r="W301" t="inlineStr">
        <is>
          <t>1995-08-24</t>
        </is>
      </c>
      <c r="X301" t="inlineStr">
        <is>
          <t>1995-08-24</t>
        </is>
      </c>
      <c r="Y301" t="inlineStr">
        <is>
          <t>1993-01-18</t>
        </is>
      </c>
      <c r="Z301" t="inlineStr">
        <is>
          <t>1993-01-18</t>
        </is>
      </c>
      <c r="AA301" t="n">
        <v>231</v>
      </c>
      <c r="AB301" t="n">
        <v>153</v>
      </c>
      <c r="AC301" t="n">
        <v>158</v>
      </c>
      <c r="AD301" t="n">
        <v>1</v>
      </c>
      <c r="AE301" t="n">
        <v>1</v>
      </c>
      <c r="AF301" t="n">
        <v>4</v>
      </c>
      <c r="AG301" t="n">
        <v>4</v>
      </c>
      <c r="AH301" t="n">
        <v>2</v>
      </c>
      <c r="AI301" t="n">
        <v>2</v>
      </c>
      <c r="AJ301" t="n">
        <v>1</v>
      </c>
      <c r="AK301" t="n">
        <v>1</v>
      </c>
      <c r="AL301" t="n">
        <v>3</v>
      </c>
      <c r="AM301" t="n">
        <v>3</v>
      </c>
      <c r="AN301" t="n">
        <v>0</v>
      </c>
      <c r="AO301" t="n">
        <v>0</v>
      </c>
      <c r="AP301" t="n">
        <v>0</v>
      </c>
      <c r="AQ301" t="n">
        <v>0</v>
      </c>
      <c r="AR301" t="inlineStr">
        <is>
          <t>No</t>
        </is>
      </c>
      <c r="AS301" t="inlineStr">
        <is>
          <t>No</t>
        </is>
      </c>
      <c r="AU301">
        <f>HYPERLINK("https://creighton-primo.hosted.exlibrisgroup.com/primo-explore/search?tab=default_tab&amp;search_scope=EVERYTHING&amp;vid=01CRU&amp;lang=en_US&amp;offset=0&amp;query=any,contains,991001815849702656","Catalog Record")</f>
        <v/>
      </c>
      <c r="AV301">
        <f>HYPERLINK("http://www.worldcat.org/oclc/22811228","WorldCat Record")</f>
        <v/>
      </c>
      <c r="AW301" t="inlineStr">
        <is>
          <t>798719052:eng</t>
        </is>
      </c>
      <c r="AX301" t="inlineStr">
        <is>
          <t>22811228</t>
        </is>
      </c>
      <c r="AY301" t="inlineStr">
        <is>
          <t>991001815849702656</t>
        </is>
      </c>
      <c r="AZ301" t="inlineStr">
        <is>
          <t>991001815849702656</t>
        </is>
      </c>
      <c r="BA301" t="inlineStr">
        <is>
          <t>2266214390002656</t>
        </is>
      </c>
      <c r="BB301" t="inlineStr">
        <is>
          <t>BOOK</t>
        </is>
      </c>
      <c r="BD301" t="inlineStr">
        <is>
          <t>9780199632541</t>
        </is>
      </c>
      <c r="BE301" t="inlineStr">
        <is>
          <t>32285001446193</t>
        </is>
      </c>
      <c r="BF301" t="inlineStr">
        <is>
          <t>893879207</t>
        </is>
      </c>
    </row>
    <row r="302">
      <c r="B302" t="inlineStr">
        <is>
          <t>CURAL</t>
        </is>
      </c>
      <c r="C302" t="inlineStr">
        <is>
          <t>SHELVES</t>
        </is>
      </c>
      <c r="D302" t="inlineStr">
        <is>
          <t>QP356.2 .S74 1989</t>
        </is>
      </c>
      <c r="E302" t="inlineStr">
        <is>
          <t>0                      QP 0356200S  74          1989</t>
        </is>
      </c>
      <c r="F302" t="inlineStr">
        <is>
          <t>Principles of cellular, molecular, and developmental neuroscience / Oswald Steward.</t>
        </is>
      </c>
      <c r="H302" t="inlineStr">
        <is>
          <t>No</t>
        </is>
      </c>
      <c r="I302" t="inlineStr">
        <is>
          <t>1</t>
        </is>
      </c>
      <c r="J302" t="inlineStr">
        <is>
          <t>No</t>
        </is>
      </c>
      <c r="K302" t="inlineStr">
        <is>
          <t>No</t>
        </is>
      </c>
      <c r="L302" t="inlineStr">
        <is>
          <t>0</t>
        </is>
      </c>
      <c r="M302" t="inlineStr">
        <is>
          <t>Steward, Oswald.</t>
        </is>
      </c>
      <c r="N302" t="inlineStr">
        <is>
          <t>New York : Springer-Verlag, c1989.</t>
        </is>
      </c>
      <c r="O302" t="inlineStr">
        <is>
          <t>1989</t>
        </is>
      </c>
      <c r="Q302" t="inlineStr">
        <is>
          <t>eng</t>
        </is>
      </c>
      <c r="R302" t="inlineStr">
        <is>
          <t>nyu</t>
        </is>
      </c>
      <c r="T302" t="inlineStr">
        <is>
          <t xml:space="preserve">QP </t>
        </is>
      </c>
      <c r="U302" t="n">
        <v>7</v>
      </c>
      <c r="V302" t="n">
        <v>7</v>
      </c>
      <c r="W302" t="inlineStr">
        <is>
          <t>2007-03-20</t>
        </is>
      </c>
      <c r="X302" t="inlineStr">
        <is>
          <t>2007-03-20</t>
        </is>
      </c>
      <c r="Y302" t="inlineStr">
        <is>
          <t>1993-03-02</t>
        </is>
      </c>
      <c r="Z302" t="inlineStr">
        <is>
          <t>1993-03-02</t>
        </is>
      </c>
      <c r="AA302" t="n">
        <v>301</v>
      </c>
      <c r="AB302" t="n">
        <v>229</v>
      </c>
      <c r="AC302" t="n">
        <v>258</v>
      </c>
      <c r="AD302" t="n">
        <v>1</v>
      </c>
      <c r="AE302" t="n">
        <v>1</v>
      </c>
      <c r="AF302" t="n">
        <v>9</v>
      </c>
      <c r="AG302" t="n">
        <v>10</v>
      </c>
      <c r="AH302" t="n">
        <v>2</v>
      </c>
      <c r="AI302" t="n">
        <v>3</v>
      </c>
      <c r="AJ302" t="n">
        <v>4</v>
      </c>
      <c r="AK302" t="n">
        <v>4</v>
      </c>
      <c r="AL302" t="n">
        <v>6</v>
      </c>
      <c r="AM302" t="n">
        <v>7</v>
      </c>
      <c r="AN302" t="n">
        <v>0</v>
      </c>
      <c r="AO302" t="n">
        <v>0</v>
      </c>
      <c r="AP302" t="n">
        <v>0</v>
      </c>
      <c r="AQ302" t="n">
        <v>0</v>
      </c>
      <c r="AR302" t="inlineStr">
        <is>
          <t>No</t>
        </is>
      </c>
      <c r="AS302" t="inlineStr">
        <is>
          <t>Yes</t>
        </is>
      </c>
      <c r="AT302">
        <f>HYPERLINK("http://catalog.hathitrust.org/Record/001085907","HathiTrust Record")</f>
        <v/>
      </c>
      <c r="AU302">
        <f>HYPERLINK("https://creighton-primo.hosted.exlibrisgroup.com/primo-explore/search?tab=default_tab&amp;search_scope=EVERYTHING&amp;vid=01CRU&amp;lang=en_US&amp;offset=0&amp;query=any,contains,991001326719702656","Catalog Record")</f>
        <v/>
      </c>
      <c r="AV302">
        <f>HYPERLINK("http://www.worldcat.org/oclc/18290257","WorldCat Record")</f>
        <v/>
      </c>
      <c r="AW302" t="inlineStr">
        <is>
          <t>17895718:eng</t>
        </is>
      </c>
      <c r="AX302" t="inlineStr">
        <is>
          <t>18290257</t>
        </is>
      </c>
      <c r="AY302" t="inlineStr">
        <is>
          <t>991001326719702656</t>
        </is>
      </c>
      <c r="AZ302" t="inlineStr">
        <is>
          <t>991001326719702656</t>
        </is>
      </c>
      <c r="BA302" t="inlineStr">
        <is>
          <t>2262529740002656</t>
        </is>
      </c>
      <c r="BB302" t="inlineStr">
        <is>
          <t>BOOK</t>
        </is>
      </c>
      <c r="BD302" t="inlineStr">
        <is>
          <t>9780387968032</t>
        </is>
      </c>
      <c r="BE302" t="inlineStr">
        <is>
          <t>32285001561082</t>
        </is>
      </c>
      <c r="BF302" t="inlineStr">
        <is>
          <t>893321839</t>
        </is>
      </c>
    </row>
    <row r="303">
      <c r="B303" t="inlineStr">
        <is>
          <t>CURAL</t>
        </is>
      </c>
      <c r="C303" t="inlineStr">
        <is>
          <t>SHELVES</t>
        </is>
      </c>
      <c r="D303" t="inlineStr">
        <is>
          <t>QP356.25 .R43 1996</t>
        </is>
      </c>
      <c r="E303" t="inlineStr">
        <is>
          <t>0                      QP 0356250R  43          1996</t>
        </is>
      </c>
      <c r="F303" t="inlineStr">
        <is>
          <t>Receptor dynamics in neural development / edited by Christopher A. Shaw.</t>
        </is>
      </c>
      <c r="H303" t="inlineStr">
        <is>
          <t>No</t>
        </is>
      </c>
      <c r="I303" t="inlineStr">
        <is>
          <t>1</t>
        </is>
      </c>
      <c r="J303" t="inlineStr">
        <is>
          <t>No</t>
        </is>
      </c>
      <c r="K303" t="inlineStr">
        <is>
          <t>No</t>
        </is>
      </c>
      <c r="L303" t="inlineStr">
        <is>
          <t>0</t>
        </is>
      </c>
      <c r="N303" t="inlineStr">
        <is>
          <t>Boca Raton : CRC Press, c1996.</t>
        </is>
      </c>
      <c r="O303" t="inlineStr">
        <is>
          <t>1996</t>
        </is>
      </c>
      <c r="Q303" t="inlineStr">
        <is>
          <t>eng</t>
        </is>
      </c>
      <c r="R303" t="inlineStr">
        <is>
          <t>flu</t>
        </is>
      </c>
      <c r="S303" t="inlineStr">
        <is>
          <t>Pharmacology and toxicology</t>
        </is>
      </c>
      <c r="T303" t="inlineStr">
        <is>
          <t xml:space="preserve">QP </t>
        </is>
      </c>
      <c r="U303" t="n">
        <v>4</v>
      </c>
      <c r="V303" t="n">
        <v>4</v>
      </c>
      <c r="W303" t="inlineStr">
        <is>
          <t>1997-02-19</t>
        </is>
      </c>
      <c r="X303" t="inlineStr">
        <is>
          <t>1997-02-19</t>
        </is>
      </c>
      <c r="Y303" t="inlineStr">
        <is>
          <t>1996-12-12</t>
        </is>
      </c>
      <c r="Z303" t="inlineStr">
        <is>
          <t>1996-12-12</t>
        </is>
      </c>
      <c r="AA303" t="n">
        <v>112</v>
      </c>
      <c r="AB303" t="n">
        <v>81</v>
      </c>
      <c r="AC303" t="n">
        <v>86</v>
      </c>
      <c r="AD303" t="n">
        <v>3</v>
      </c>
      <c r="AE303" t="n">
        <v>3</v>
      </c>
      <c r="AF303" t="n">
        <v>5</v>
      </c>
      <c r="AG303" t="n">
        <v>5</v>
      </c>
      <c r="AH303" t="n">
        <v>0</v>
      </c>
      <c r="AI303" t="n">
        <v>0</v>
      </c>
      <c r="AJ303" t="n">
        <v>3</v>
      </c>
      <c r="AK303" t="n">
        <v>3</v>
      </c>
      <c r="AL303" t="n">
        <v>2</v>
      </c>
      <c r="AM303" t="n">
        <v>2</v>
      </c>
      <c r="AN303" t="n">
        <v>2</v>
      </c>
      <c r="AO303" t="n">
        <v>2</v>
      </c>
      <c r="AP303" t="n">
        <v>0</v>
      </c>
      <c r="AQ303" t="n">
        <v>0</v>
      </c>
      <c r="AR303" t="inlineStr">
        <is>
          <t>No</t>
        </is>
      </c>
      <c r="AS303" t="inlineStr">
        <is>
          <t>No</t>
        </is>
      </c>
      <c r="AU303">
        <f>HYPERLINK("https://creighton-primo.hosted.exlibrisgroup.com/primo-explore/search?tab=default_tab&amp;search_scope=EVERYTHING&amp;vid=01CRU&amp;lang=en_US&amp;offset=0&amp;query=any,contains,991002558869702656","Catalog Record")</f>
        <v/>
      </c>
      <c r="AV303">
        <f>HYPERLINK("http://www.worldcat.org/oclc/33246835","WorldCat Record")</f>
        <v/>
      </c>
      <c r="AW303" t="inlineStr">
        <is>
          <t>138793427:eng</t>
        </is>
      </c>
      <c r="AX303" t="inlineStr">
        <is>
          <t>33246835</t>
        </is>
      </c>
      <c r="AY303" t="inlineStr">
        <is>
          <t>991002558869702656</t>
        </is>
      </c>
      <c r="AZ303" t="inlineStr">
        <is>
          <t>991002558869702656</t>
        </is>
      </c>
      <c r="BA303" t="inlineStr">
        <is>
          <t>2259397380002656</t>
        </is>
      </c>
      <c r="BB303" t="inlineStr">
        <is>
          <t>BOOK</t>
        </is>
      </c>
      <c r="BD303" t="inlineStr">
        <is>
          <t>9780849378171</t>
        </is>
      </c>
      <c r="BE303" t="inlineStr">
        <is>
          <t>32285002393212</t>
        </is>
      </c>
      <c r="BF303" t="inlineStr">
        <is>
          <t>893504526</t>
        </is>
      </c>
    </row>
    <row r="304">
      <c r="B304" t="inlineStr">
        <is>
          <t>CURAL</t>
        </is>
      </c>
      <c r="C304" t="inlineStr">
        <is>
          <t>SHELVES</t>
        </is>
      </c>
      <c r="D304" t="inlineStr">
        <is>
          <t>QP356.4 .B76 1994</t>
        </is>
      </c>
      <c r="E304" t="inlineStr">
        <is>
          <t>0                      QP 0356400B  76          1994</t>
        </is>
      </c>
      <c r="F304" t="inlineStr">
        <is>
          <t>An introduction to neuroendocrinology / Richard E. Brown.</t>
        </is>
      </c>
      <c r="H304" t="inlineStr">
        <is>
          <t>No</t>
        </is>
      </c>
      <c r="I304" t="inlineStr">
        <is>
          <t>1</t>
        </is>
      </c>
      <c r="J304" t="inlineStr">
        <is>
          <t>No</t>
        </is>
      </c>
      <c r="K304" t="inlineStr">
        <is>
          <t>No</t>
        </is>
      </c>
      <c r="L304" t="inlineStr">
        <is>
          <t>0</t>
        </is>
      </c>
      <c r="M304" t="inlineStr">
        <is>
          <t>Brown, Richard E.</t>
        </is>
      </c>
      <c r="N304" t="inlineStr">
        <is>
          <t>Cambridge ; New York : Cambridge University Press, c1994.</t>
        </is>
      </c>
      <c r="O304" t="inlineStr">
        <is>
          <t>1994</t>
        </is>
      </c>
      <c r="Q304" t="inlineStr">
        <is>
          <t>eng</t>
        </is>
      </c>
      <c r="R304" t="inlineStr">
        <is>
          <t>enk</t>
        </is>
      </c>
      <c r="T304" t="inlineStr">
        <is>
          <t xml:space="preserve">QP </t>
        </is>
      </c>
      <c r="U304" t="n">
        <v>2</v>
      </c>
      <c r="V304" t="n">
        <v>2</v>
      </c>
      <c r="W304" t="inlineStr">
        <is>
          <t>1997-02-28</t>
        </is>
      </c>
      <c r="X304" t="inlineStr">
        <is>
          <t>1997-02-28</t>
        </is>
      </c>
      <c r="Y304" t="inlineStr">
        <is>
          <t>1995-12-05</t>
        </is>
      </c>
      <c r="Z304" t="inlineStr">
        <is>
          <t>1995-12-05</t>
        </is>
      </c>
      <c r="AA304" t="n">
        <v>552</v>
      </c>
      <c r="AB304" t="n">
        <v>452</v>
      </c>
      <c r="AC304" t="n">
        <v>478</v>
      </c>
      <c r="AD304" t="n">
        <v>5</v>
      </c>
      <c r="AE304" t="n">
        <v>5</v>
      </c>
      <c r="AF304" t="n">
        <v>31</v>
      </c>
      <c r="AG304" t="n">
        <v>32</v>
      </c>
      <c r="AH304" t="n">
        <v>11</v>
      </c>
      <c r="AI304" t="n">
        <v>12</v>
      </c>
      <c r="AJ304" t="n">
        <v>8</v>
      </c>
      <c r="AK304" t="n">
        <v>8</v>
      </c>
      <c r="AL304" t="n">
        <v>16</v>
      </c>
      <c r="AM304" t="n">
        <v>17</v>
      </c>
      <c r="AN304" t="n">
        <v>4</v>
      </c>
      <c r="AO304" t="n">
        <v>4</v>
      </c>
      <c r="AP304" t="n">
        <v>0</v>
      </c>
      <c r="AQ304" t="n">
        <v>0</v>
      </c>
      <c r="AR304" t="inlineStr">
        <is>
          <t>No</t>
        </is>
      </c>
      <c r="AS304" t="inlineStr">
        <is>
          <t>No</t>
        </is>
      </c>
      <c r="AU304">
        <f>HYPERLINK("https://creighton-primo.hosted.exlibrisgroup.com/primo-explore/search?tab=default_tab&amp;search_scope=EVERYTHING&amp;vid=01CRU&amp;lang=en_US&amp;offset=0&amp;query=any,contains,991002152929702656","Catalog Record")</f>
        <v/>
      </c>
      <c r="AV304">
        <f>HYPERLINK("http://www.worldcat.org/oclc/27729242","WorldCat Record")</f>
        <v/>
      </c>
      <c r="AW304" t="inlineStr">
        <is>
          <t>342847:eng</t>
        </is>
      </c>
      <c r="AX304" t="inlineStr">
        <is>
          <t>27729242</t>
        </is>
      </c>
      <c r="AY304" t="inlineStr">
        <is>
          <t>991002152929702656</t>
        </is>
      </c>
      <c r="AZ304" t="inlineStr">
        <is>
          <t>991002152929702656</t>
        </is>
      </c>
      <c r="BA304" t="inlineStr">
        <is>
          <t>2265876830002656</t>
        </is>
      </c>
      <c r="BB304" t="inlineStr">
        <is>
          <t>BOOK</t>
        </is>
      </c>
      <c r="BD304" t="inlineStr">
        <is>
          <t>9780521416450</t>
        </is>
      </c>
      <c r="BE304" t="inlineStr">
        <is>
          <t>32285002108198</t>
        </is>
      </c>
      <c r="BF304" t="inlineStr">
        <is>
          <t>893433544</t>
        </is>
      </c>
    </row>
    <row r="305">
      <c r="B305" t="inlineStr">
        <is>
          <t>CURAL</t>
        </is>
      </c>
      <c r="C305" t="inlineStr">
        <is>
          <t>SHELVES</t>
        </is>
      </c>
      <c r="D305" t="inlineStr">
        <is>
          <t>QP356.4 .C45</t>
        </is>
      </c>
      <c r="E305" t="inlineStr">
        <is>
          <t>0                      QP 0356400C  45</t>
        </is>
      </c>
      <c r="F305" t="inlineStr">
        <is>
          <t>Central nervous system effects of hypothalmic hormones and other peptides / edited by Robert Collu ... [et al.].</t>
        </is>
      </c>
      <c r="H305" t="inlineStr">
        <is>
          <t>No</t>
        </is>
      </c>
      <c r="I305" t="inlineStr">
        <is>
          <t>1</t>
        </is>
      </c>
      <c r="J305" t="inlineStr">
        <is>
          <t>No</t>
        </is>
      </c>
      <c r="K305" t="inlineStr">
        <is>
          <t>No</t>
        </is>
      </c>
      <c r="L305" t="inlineStr">
        <is>
          <t>0</t>
        </is>
      </c>
      <c r="N305" t="inlineStr">
        <is>
          <t>New York : Raven Press, c1979.</t>
        </is>
      </c>
      <c r="O305" t="inlineStr">
        <is>
          <t>1979</t>
        </is>
      </c>
      <c r="Q305" t="inlineStr">
        <is>
          <t>eng</t>
        </is>
      </c>
      <c r="R305" t="inlineStr">
        <is>
          <t>nyu</t>
        </is>
      </c>
      <c r="T305" t="inlineStr">
        <is>
          <t xml:space="preserve">QP </t>
        </is>
      </c>
      <c r="U305" t="n">
        <v>2</v>
      </c>
      <c r="V305" t="n">
        <v>2</v>
      </c>
      <c r="W305" t="inlineStr">
        <is>
          <t>1994-01-31</t>
        </is>
      </c>
      <c r="X305" t="inlineStr">
        <is>
          <t>1994-01-31</t>
        </is>
      </c>
      <c r="Y305" t="inlineStr">
        <is>
          <t>1993-03-02</t>
        </is>
      </c>
      <c r="Z305" t="inlineStr">
        <is>
          <t>1993-03-02</t>
        </is>
      </c>
      <c r="AA305" t="n">
        <v>289</v>
      </c>
      <c r="AB305" t="n">
        <v>214</v>
      </c>
      <c r="AC305" t="n">
        <v>221</v>
      </c>
      <c r="AD305" t="n">
        <v>2</v>
      </c>
      <c r="AE305" t="n">
        <v>2</v>
      </c>
      <c r="AF305" t="n">
        <v>12</v>
      </c>
      <c r="AG305" t="n">
        <v>12</v>
      </c>
      <c r="AH305" t="n">
        <v>4</v>
      </c>
      <c r="AI305" t="n">
        <v>4</v>
      </c>
      <c r="AJ305" t="n">
        <v>5</v>
      </c>
      <c r="AK305" t="n">
        <v>5</v>
      </c>
      <c r="AL305" t="n">
        <v>6</v>
      </c>
      <c r="AM305" t="n">
        <v>6</v>
      </c>
      <c r="AN305" t="n">
        <v>1</v>
      </c>
      <c r="AO305" t="n">
        <v>1</v>
      </c>
      <c r="AP305" t="n">
        <v>0</v>
      </c>
      <c r="AQ305" t="n">
        <v>0</v>
      </c>
      <c r="AR305" t="inlineStr">
        <is>
          <t>No</t>
        </is>
      </c>
      <c r="AS305" t="inlineStr">
        <is>
          <t>Yes</t>
        </is>
      </c>
      <c r="AT305">
        <f>HYPERLINK("http://catalog.hathitrust.org/Record/009798699","HathiTrust Record")</f>
        <v/>
      </c>
      <c r="AU305">
        <f>HYPERLINK("https://creighton-primo.hosted.exlibrisgroup.com/primo-explore/search?tab=default_tab&amp;search_scope=EVERYTHING&amp;vid=01CRU&amp;lang=en_US&amp;offset=0&amp;query=any,contains,991005266129702656","Catalog Record")</f>
        <v/>
      </c>
      <c r="AV305">
        <f>HYPERLINK("http://www.worldcat.org/oclc/4499029","WorldCat Record")</f>
        <v/>
      </c>
      <c r="AW305" t="inlineStr">
        <is>
          <t>14784555:eng</t>
        </is>
      </c>
      <c r="AX305" t="inlineStr">
        <is>
          <t>4499029</t>
        </is>
      </c>
      <c r="AY305" t="inlineStr">
        <is>
          <t>991005266129702656</t>
        </is>
      </c>
      <c r="AZ305" t="inlineStr">
        <is>
          <t>991005266129702656</t>
        </is>
      </c>
      <c r="BA305" t="inlineStr">
        <is>
          <t>2262729320002656</t>
        </is>
      </c>
      <c r="BB305" t="inlineStr">
        <is>
          <t>BOOK</t>
        </is>
      </c>
      <c r="BD305" t="inlineStr">
        <is>
          <t>9780890043479</t>
        </is>
      </c>
      <c r="BE305" t="inlineStr">
        <is>
          <t>32285001561116</t>
        </is>
      </c>
      <c r="BF305" t="inlineStr">
        <is>
          <t>893902392</t>
        </is>
      </c>
    </row>
    <row r="306">
      <c r="B306" t="inlineStr">
        <is>
          <t>CURAL</t>
        </is>
      </c>
      <c r="C306" t="inlineStr">
        <is>
          <t>SHELVES</t>
        </is>
      </c>
      <c r="D306" t="inlineStr">
        <is>
          <t>QP356.4 .E44 1995</t>
        </is>
      </c>
      <c r="E306" t="inlineStr">
        <is>
          <t>0                      QP 0356400E  44          1995</t>
        </is>
      </c>
      <c r="F306" t="inlineStr">
        <is>
          <t>The electrophysiology of neuroendocrine cells / edited by Hans Scherübl, Jürgen Hescheler.</t>
        </is>
      </c>
      <c r="H306" t="inlineStr">
        <is>
          <t>No</t>
        </is>
      </c>
      <c r="I306" t="inlineStr">
        <is>
          <t>1</t>
        </is>
      </c>
      <c r="J306" t="inlineStr">
        <is>
          <t>No</t>
        </is>
      </c>
      <c r="K306" t="inlineStr">
        <is>
          <t>No</t>
        </is>
      </c>
      <c r="L306" t="inlineStr">
        <is>
          <t>0</t>
        </is>
      </c>
      <c r="N306" t="inlineStr">
        <is>
          <t>Boca Raton : CRC Press, c1995.</t>
        </is>
      </c>
      <c r="O306" t="inlineStr">
        <is>
          <t>1995</t>
        </is>
      </c>
      <c r="Q306" t="inlineStr">
        <is>
          <t>eng</t>
        </is>
      </c>
      <c r="R306" t="inlineStr">
        <is>
          <t>flu</t>
        </is>
      </c>
      <c r="T306" t="inlineStr">
        <is>
          <t xml:space="preserve">QP </t>
        </is>
      </c>
      <c r="U306" t="n">
        <v>1</v>
      </c>
      <c r="V306" t="n">
        <v>1</v>
      </c>
      <c r="W306" t="inlineStr">
        <is>
          <t>2001-06-04</t>
        </is>
      </c>
      <c r="X306" t="inlineStr">
        <is>
          <t>2001-06-04</t>
        </is>
      </c>
      <c r="Y306" t="inlineStr">
        <is>
          <t>2000-07-31</t>
        </is>
      </c>
      <c r="Z306" t="inlineStr">
        <is>
          <t>2000-07-31</t>
        </is>
      </c>
      <c r="AA306" t="n">
        <v>134</v>
      </c>
      <c r="AB306" t="n">
        <v>102</v>
      </c>
      <c r="AC306" t="n">
        <v>102</v>
      </c>
      <c r="AD306" t="n">
        <v>2</v>
      </c>
      <c r="AE306" t="n">
        <v>2</v>
      </c>
      <c r="AF306" t="n">
        <v>3</v>
      </c>
      <c r="AG306" t="n">
        <v>3</v>
      </c>
      <c r="AH306" t="n">
        <v>0</v>
      </c>
      <c r="AI306" t="n">
        <v>0</v>
      </c>
      <c r="AJ306" t="n">
        <v>2</v>
      </c>
      <c r="AK306" t="n">
        <v>2</v>
      </c>
      <c r="AL306" t="n">
        <v>2</v>
      </c>
      <c r="AM306" t="n">
        <v>2</v>
      </c>
      <c r="AN306" t="n">
        <v>1</v>
      </c>
      <c r="AO306" t="n">
        <v>1</v>
      </c>
      <c r="AP306" t="n">
        <v>0</v>
      </c>
      <c r="AQ306" t="n">
        <v>0</v>
      </c>
      <c r="AR306" t="inlineStr">
        <is>
          <t>No</t>
        </is>
      </c>
      <c r="AS306" t="inlineStr">
        <is>
          <t>No</t>
        </is>
      </c>
      <c r="AU306">
        <f>HYPERLINK("https://creighton-primo.hosted.exlibrisgroup.com/primo-explore/search?tab=default_tab&amp;search_scope=EVERYTHING&amp;vid=01CRU&amp;lang=en_US&amp;offset=0&amp;query=any,contains,991003224249702656","Catalog Record")</f>
        <v/>
      </c>
      <c r="AV306">
        <f>HYPERLINK("http://www.worldcat.org/oclc/31970181","WorldCat Record")</f>
        <v/>
      </c>
      <c r="AW306" t="inlineStr">
        <is>
          <t>353563246:eng</t>
        </is>
      </c>
      <c r="AX306" t="inlineStr">
        <is>
          <t>31970181</t>
        </is>
      </c>
      <c r="AY306" t="inlineStr">
        <is>
          <t>991003224249702656</t>
        </is>
      </c>
      <c r="AZ306" t="inlineStr">
        <is>
          <t>991003224249702656</t>
        </is>
      </c>
      <c r="BA306" t="inlineStr">
        <is>
          <t>2270018370002656</t>
        </is>
      </c>
      <c r="BB306" t="inlineStr">
        <is>
          <t>BOOK</t>
        </is>
      </c>
      <c r="BD306" t="inlineStr">
        <is>
          <t>9780849324772</t>
        </is>
      </c>
      <c r="BE306" t="inlineStr">
        <is>
          <t>32285003743712</t>
        </is>
      </c>
      <c r="BF306" t="inlineStr">
        <is>
          <t>893698778</t>
        </is>
      </c>
    </row>
    <row r="307">
      <c r="B307" t="inlineStr">
        <is>
          <t>CURAL</t>
        </is>
      </c>
      <c r="C307" t="inlineStr">
        <is>
          <t>SHELVES</t>
        </is>
      </c>
      <c r="D307" t="inlineStr">
        <is>
          <t>QP356.4 .N484</t>
        </is>
      </c>
      <c r="E307" t="inlineStr">
        <is>
          <t>0                      QP 0356400N  484</t>
        </is>
      </c>
      <c r="F307" t="inlineStr">
        <is>
          <t>Neuroendocrinology, the interrelationships of the body's two major integrative systems in normal physiology and in clinical disease / edited by Dorothy T. Krieger and Joan C. Hughes ; adapted from Hospital practice ; illustrated by Nancy Lou Gahan and Albert E. Miller (charts and graphs) and other contributing artists.</t>
        </is>
      </c>
      <c r="H307" t="inlineStr">
        <is>
          <t>No</t>
        </is>
      </c>
      <c r="I307" t="inlineStr">
        <is>
          <t>1</t>
        </is>
      </c>
      <c r="J307" t="inlineStr">
        <is>
          <t>No</t>
        </is>
      </c>
      <c r="K307" t="inlineStr">
        <is>
          <t>No</t>
        </is>
      </c>
      <c r="L307" t="inlineStr">
        <is>
          <t>0</t>
        </is>
      </c>
      <c r="N307" t="inlineStr">
        <is>
          <t>Sunderland, Mass. : Sinauer Associates, c1980.</t>
        </is>
      </c>
      <c r="O307" t="inlineStr">
        <is>
          <t>1980</t>
        </is>
      </c>
      <c r="Q307" t="inlineStr">
        <is>
          <t>eng</t>
        </is>
      </c>
      <c r="R307" t="inlineStr">
        <is>
          <t>mau</t>
        </is>
      </c>
      <c r="S307" t="inlineStr">
        <is>
          <t>A Hospital practice book</t>
        </is>
      </c>
      <c r="T307" t="inlineStr">
        <is>
          <t xml:space="preserve">QP </t>
        </is>
      </c>
      <c r="U307" t="n">
        <v>3</v>
      </c>
      <c r="V307" t="n">
        <v>3</v>
      </c>
      <c r="W307" t="inlineStr">
        <is>
          <t>1995-08-24</t>
        </is>
      </c>
      <c r="X307" t="inlineStr">
        <is>
          <t>1995-08-24</t>
        </is>
      </c>
      <c r="Y307" t="inlineStr">
        <is>
          <t>1995-08-14</t>
        </is>
      </c>
      <c r="Z307" t="inlineStr">
        <is>
          <t>1995-08-14</t>
        </is>
      </c>
      <c r="AA307" t="n">
        <v>259</v>
      </c>
      <c r="AB307" t="n">
        <v>218</v>
      </c>
      <c r="AC307" t="n">
        <v>225</v>
      </c>
      <c r="AD307" t="n">
        <v>2</v>
      </c>
      <c r="AE307" t="n">
        <v>2</v>
      </c>
      <c r="AF307" t="n">
        <v>9</v>
      </c>
      <c r="AG307" t="n">
        <v>9</v>
      </c>
      <c r="AH307" t="n">
        <v>5</v>
      </c>
      <c r="AI307" t="n">
        <v>5</v>
      </c>
      <c r="AJ307" t="n">
        <v>3</v>
      </c>
      <c r="AK307" t="n">
        <v>3</v>
      </c>
      <c r="AL307" t="n">
        <v>4</v>
      </c>
      <c r="AM307" t="n">
        <v>4</v>
      </c>
      <c r="AN307" t="n">
        <v>0</v>
      </c>
      <c r="AO307" t="n">
        <v>0</v>
      </c>
      <c r="AP307" t="n">
        <v>0</v>
      </c>
      <c r="AQ307" t="n">
        <v>0</v>
      </c>
      <c r="AR307" t="inlineStr">
        <is>
          <t>No</t>
        </is>
      </c>
      <c r="AS307" t="inlineStr">
        <is>
          <t>Yes</t>
        </is>
      </c>
      <c r="AT307">
        <f>HYPERLINK("http://catalog.hathitrust.org/Record/000694767","HathiTrust Record")</f>
        <v/>
      </c>
      <c r="AU307">
        <f>HYPERLINK("https://creighton-primo.hosted.exlibrisgroup.com/primo-explore/search?tab=default_tab&amp;search_scope=EVERYTHING&amp;vid=01CRU&amp;lang=en_US&amp;offset=0&amp;query=any,contains,991004884969702656","Catalog Record")</f>
        <v/>
      </c>
      <c r="AV307">
        <f>HYPERLINK("http://www.worldcat.org/oclc/5831324","WorldCat Record")</f>
        <v/>
      </c>
      <c r="AW307" t="inlineStr">
        <is>
          <t>539008:eng</t>
        </is>
      </c>
      <c r="AX307" t="inlineStr">
        <is>
          <t>5831324</t>
        </is>
      </c>
      <c r="AY307" t="inlineStr">
        <is>
          <t>991004884969702656</t>
        </is>
      </c>
      <c r="AZ307" t="inlineStr">
        <is>
          <t>991004884969702656</t>
        </is>
      </c>
      <c r="BA307" t="inlineStr">
        <is>
          <t>2263211930002656</t>
        </is>
      </c>
      <c r="BB307" t="inlineStr">
        <is>
          <t>BOOK</t>
        </is>
      </c>
      <c r="BD307" t="inlineStr">
        <is>
          <t>9780878934256</t>
        </is>
      </c>
      <c r="BE307" t="inlineStr">
        <is>
          <t>32285002064409</t>
        </is>
      </c>
      <c r="BF307" t="inlineStr">
        <is>
          <t>893430580</t>
        </is>
      </c>
    </row>
    <row r="308">
      <c r="B308" t="inlineStr">
        <is>
          <t>CURAL</t>
        </is>
      </c>
      <c r="C308" t="inlineStr">
        <is>
          <t>SHELVES</t>
        </is>
      </c>
      <c r="D308" t="inlineStr">
        <is>
          <t>QP356.4 .P37 1978</t>
        </is>
      </c>
      <c r="E308" t="inlineStr">
        <is>
          <t>0                      QP 0356400P  37          1978</t>
        </is>
      </c>
      <c r="F308" t="inlineStr">
        <is>
          <t>Perspectives in endocrine psychobiology / edited by F. Brambilla ... [et al.].</t>
        </is>
      </c>
      <c r="H308" t="inlineStr">
        <is>
          <t>No</t>
        </is>
      </c>
      <c r="I308" t="inlineStr">
        <is>
          <t>1</t>
        </is>
      </c>
      <c r="J308" t="inlineStr">
        <is>
          <t>No</t>
        </is>
      </c>
      <c r="K308" t="inlineStr">
        <is>
          <t>No</t>
        </is>
      </c>
      <c r="L308" t="inlineStr">
        <is>
          <t>0</t>
        </is>
      </c>
      <c r="N308" t="inlineStr">
        <is>
          <t>London ; New York : Wiley, c1978.</t>
        </is>
      </c>
      <c r="O308" t="inlineStr">
        <is>
          <t>1978</t>
        </is>
      </c>
      <c r="Q308" t="inlineStr">
        <is>
          <t>eng</t>
        </is>
      </c>
      <c r="R308" t="inlineStr">
        <is>
          <t>enk</t>
        </is>
      </c>
      <c r="T308" t="inlineStr">
        <is>
          <t xml:space="preserve">QP </t>
        </is>
      </c>
      <c r="U308" t="n">
        <v>2</v>
      </c>
      <c r="V308" t="n">
        <v>2</v>
      </c>
      <c r="W308" t="inlineStr">
        <is>
          <t>2000-11-20</t>
        </is>
      </c>
      <c r="X308" t="inlineStr">
        <is>
          <t>2000-11-20</t>
        </is>
      </c>
      <c r="Y308" t="inlineStr">
        <is>
          <t>1993-03-02</t>
        </is>
      </c>
      <c r="Z308" t="inlineStr">
        <is>
          <t>1993-03-02</t>
        </is>
      </c>
      <c r="AA308" t="n">
        <v>177</v>
      </c>
      <c r="AB308" t="n">
        <v>123</v>
      </c>
      <c r="AC308" t="n">
        <v>131</v>
      </c>
      <c r="AD308" t="n">
        <v>2</v>
      </c>
      <c r="AE308" t="n">
        <v>2</v>
      </c>
      <c r="AF308" t="n">
        <v>1</v>
      </c>
      <c r="AG308" t="n">
        <v>1</v>
      </c>
      <c r="AH308" t="n">
        <v>0</v>
      </c>
      <c r="AI308" t="n">
        <v>0</v>
      </c>
      <c r="AJ308" t="n">
        <v>0</v>
      </c>
      <c r="AK308" t="n">
        <v>0</v>
      </c>
      <c r="AL308" t="n">
        <v>0</v>
      </c>
      <c r="AM308" t="n">
        <v>0</v>
      </c>
      <c r="AN308" t="n">
        <v>1</v>
      </c>
      <c r="AO308" t="n">
        <v>1</v>
      </c>
      <c r="AP308" t="n">
        <v>0</v>
      </c>
      <c r="AQ308" t="n">
        <v>0</v>
      </c>
      <c r="AR308" t="inlineStr">
        <is>
          <t>No</t>
        </is>
      </c>
      <c r="AS308" t="inlineStr">
        <is>
          <t>Yes</t>
        </is>
      </c>
      <c r="AT308">
        <f>HYPERLINK("http://catalog.hathitrust.org/Record/000724240","HathiTrust Record")</f>
        <v/>
      </c>
      <c r="AU308">
        <f>HYPERLINK("https://creighton-primo.hosted.exlibrisgroup.com/primo-explore/search?tab=default_tab&amp;search_scope=EVERYTHING&amp;vid=01CRU&amp;lang=en_US&amp;offset=0&amp;query=any,contains,991004101919702656","Catalog Record")</f>
        <v/>
      </c>
      <c r="AV308">
        <f>HYPERLINK("http://www.worldcat.org/oclc/2372898","WorldCat Record")</f>
        <v/>
      </c>
      <c r="AW308" t="inlineStr">
        <is>
          <t>54468187:eng</t>
        </is>
      </c>
      <c r="AX308" t="inlineStr">
        <is>
          <t>2372898</t>
        </is>
      </c>
      <c r="AY308" t="inlineStr">
        <is>
          <t>991004101919702656</t>
        </is>
      </c>
      <c r="AZ308" t="inlineStr">
        <is>
          <t>991004101919702656</t>
        </is>
      </c>
      <c r="BA308" t="inlineStr">
        <is>
          <t>2255258880002656</t>
        </is>
      </c>
      <c r="BB308" t="inlineStr">
        <is>
          <t>BOOK</t>
        </is>
      </c>
      <c r="BD308" t="inlineStr">
        <is>
          <t>9780471994343</t>
        </is>
      </c>
      <c r="BE308" t="inlineStr">
        <is>
          <t>32285001561132</t>
        </is>
      </c>
      <c r="BF308" t="inlineStr">
        <is>
          <t>893525658</t>
        </is>
      </c>
    </row>
    <row r="309">
      <c r="B309" t="inlineStr">
        <is>
          <t>CURAL</t>
        </is>
      </c>
      <c r="C309" t="inlineStr">
        <is>
          <t>SHELVES</t>
        </is>
      </c>
      <c r="D309" t="inlineStr">
        <is>
          <t>QP356.4 .S37 1992</t>
        </is>
      </c>
      <c r="E309" t="inlineStr">
        <is>
          <t>0                      QP 0356400S  37          1992</t>
        </is>
      </c>
      <c r="F309" t="inlineStr">
        <is>
          <t>Stress, the aging brain, and the mechanisms of neuron death / Robert M. Sapolsky.</t>
        </is>
      </c>
      <c r="H309" t="inlineStr">
        <is>
          <t>No</t>
        </is>
      </c>
      <c r="I309" t="inlineStr">
        <is>
          <t>1</t>
        </is>
      </c>
      <c r="J309" t="inlineStr">
        <is>
          <t>No</t>
        </is>
      </c>
      <c r="K309" t="inlineStr">
        <is>
          <t>No</t>
        </is>
      </c>
      <c r="L309" t="inlineStr">
        <is>
          <t>0</t>
        </is>
      </c>
      <c r="M309" t="inlineStr">
        <is>
          <t>Sapolsky, Robert M.</t>
        </is>
      </c>
      <c r="N309" t="inlineStr">
        <is>
          <t>Cambridge, Mass. : MIT Press, c1992.</t>
        </is>
      </c>
      <c r="O309" t="inlineStr">
        <is>
          <t>1992</t>
        </is>
      </c>
      <c r="Q309" t="inlineStr">
        <is>
          <t>eng</t>
        </is>
      </c>
      <c r="R309" t="inlineStr">
        <is>
          <t>mau</t>
        </is>
      </c>
      <c r="T309" t="inlineStr">
        <is>
          <t xml:space="preserve">QP </t>
        </is>
      </c>
      <c r="U309" t="n">
        <v>6</v>
      </c>
      <c r="V309" t="n">
        <v>6</v>
      </c>
      <c r="W309" t="inlineStr">
        <is>
          <t>2006-03-17</t>
        </is>
      </c>
      <c r="X309" t="inlineStr">
        <is>
          <t>2006-03-17</t>
        </is>
      </c>
      <c r="Y309" t="inlineStr">
        <is>
          <t>1995-04-17</t>
        </is>
      </c>
      <c r="Z309" t="inlineStr">
        <is>
          <t>1995-04-17</t>
        </is>
      </c>
      <c r="AA309" t="n">
        <v>438</v>
      </c>
      <c r="AB309" t="n">
        <v>338</v>
      </c>
      <c r="AC309" t="n">
        <v>399</v>
      </c>
      <c r="AD309" t="n">
        <v>4</v>
      </c>
      <c r="AE309" t="n">
        <v>4</v>
      </c>
      <c r="AF309" t="n">
        <v>18</v>
      </c>
      <c r="AG309" t="n">
        <v>21</v>
      </c>
      <c r="AH309" t="n">
        <v>5</v>
      </c>
      <c r="AI309" t="n">
        <v>7</v>
      </c>
      <c r="AJ309" t="n">
        <v>5</v>
      </c>
      <c r="AK309" t="n">
        <v>6</v>
      </c>
      <c r="AL309" t="n">
        <v>9</v>
      </c>
      <c r="AM309" t="n">
        <v>11</v>
      </c>
      <c r="AN309" t="n">
        <v>3</v>
      </c>
      <c r="AO309" t="n">
        <v>3</v>
      </c>
      <c r="AP309" t="n">
        <v>0</v>
      </c>
      <c r="AQ309" t="n">
        <v>0</v>
      </c>
      <c r="AR309" t="inlineStr">
        <is>
          <t>No</t>
        </is>
      </c>
      <c r="AS309" t="inlineStr">
        <is>
          <t>Yes</t>
        </is>
      </c>
      <c r="AT309">
        <f>HYPERLINK("http://catalog.hathitrust.org/Record/002607825","HathiTrust Record")</f>
        <v/>
      </c>
      <c r="AU309">
        <f>HYPERLINK("https://creighton-primo.hosted.exlibrisgroup.com/primo-explore/search?tab=default_tab&amp;search_scope=EVERYTHING&amp;vid=01CRU&amp;lang=en_US&amp;offset=0&amp;query=any,contains,991001974789702656","Catalog Record")</f>
        <v/>
      </c>
      <c r="AV309">
        <f>HYPERLINK("http://www.worldcat.org/oclc/25048058","WorldCat Record")</f>
        <v/>
      </c>
      <c r="AW309" t="inlineStr">
        <is>
          <t>994223:eng</t>
        </is>
      </c>
      <c r="AX309" t="inlineStr">
        <is>
          <t>25048058</t>
        </is>
      </c>
      <c r="AY309" t="inlineStr">
        <is>
          <t>991001974789702656</t>
        </is>
      </c>
      <c r="AZ309" t="inlineStr">
        <is>
          <t>991001974789702656</t>
        </is>
      </c>
      <c r="BA309" t="inlineStr">
        <is>
          <t>2263758510002656</t>
        </is>
      </c>
      <c r="BB309" t="inlineStr">
        <is>
          <t>BOOK</t>
        </is>
      </c>
      <c r="BD309" t="inlineStr">
        <is>
          <t>9780262193207</t>
        </is>
      </c>
      <c r="BE309" t="inlineStr">
        <is>
          <t>32285002018363</t>
        </is>
      </c>
      <c r="BF309" t="inlineStr">
        <is>
          <t>893898241</t>
        </is>
      </c>
    </row>
    <row r="310">
      <c r="B310" t="inlineStr">
        <is>
          <t>CURAL</t>
        </is>
      </c>
      <c r="C310" t="inlineStr">
        <is>
          <t>SHELVES</t>
        </is>
      </c>
      <c r="D310" t="inlineStr">
        <is>
          <t>QP356.45 .H43 1990</t>
        </is>
      </c>
      <c r="E310" t="inlineStr">
        <is>
          <t>0                      QP 0356450H  43          1990</t>
        </is>
      </c>
      <c r="F310" t="inlineStr">
        <is>
          <t>The Healing brain : a scientific reader / edited by Robert Ornstein, Charles Swencionis.</t>
        </is>
      </c>
      <c r="H310" t="inlineStr">
        <is>
          <t>No</t>
        </is>
      </c>
      <c r="I310" t="inlineStr">
        <is>
          <t>1</t>
        </is>
      </c>
      <c r="J310" t="inlineStr">
        <is>
          <t>No</t>
        </is>
      </c>
      <c r="K310" t="inlineStr">
        <is>
          <t>No</t>
        </is>
      </c>
      <c r="L310" t="inlineStr">
        <is>
          <t>0</t>
        </is>
      </c>
      <c r="N310" t="inlineStr">
        <is>
          <t>New York : Guilford Press, 1990.</t>
        </is>
      </c>
      <c r="O310" t="inlineStr">
        <is>
          <t>1990</t>
        </is>
      </c>
      <c r="Q310" t="inlineStr">
        <is>
          <t>eng</t>
        </is>
      </c>
      <c r="R310" t="inlineStr">
        <is>
          <t>nyu</t>
        </is>
      </c>
      <c r="T310" t="inlineStr">
        <is>
          <t xml:space="preserve">QP </t>
        </is>
      </c>
      <c r="U310" t="n">
        <v>7</v>
      </c>
      <c r="V310" t="n">
        <v>7</v>
      </c>
      <c r="W310" t="inlineStr">
        <is>
          <t>1999-11-17</t>
        </is>
      </c>
      <c r="X310" t="inlineStr">
        <is>
          <t>1999-11-17</t>
        </is>
      </c>
      <c r="Y310" t="inlineStr">
        <is>
          <t>1993-02-01</t>
        </is>
      </c>
      <c r="Z310" t="inlineStr">
        <is>
          <t>1993-02-01</t>
        </is>
      </c>
      <c r="AA310" t="n">
        <v>578</v>
      </c>
      <c r="AB310" t="n">
        <v>505</v>
      </c>
      <c r="AC310" t="n">
        <v>511</v>
      </c>
      <c r="AD310" t="n">
        <v>2</v>
      </c>
      <c r="AE310" t="n">
        <v>2</v>
      </c>
      <c r="AF310" t="n">
        <v>20</v>
      </c>
      <c r="AG310" t="n">
        <v>20</v>
      </c>
      <c r="AH310" t="n">
        <v>9</v>
      </c>
      <c r="AI310" t="n">
        <v>9</v>
      </c>
      <c r="AJ310" t="n">
        <v>5</v>
      </c>
      <c r="AK310" t="n">
        <v>5</v>
      </c>
      <c r="AL310" t="n">
        <v>8</v>
      </c>
      <c r="AM310" t="n">
        <v>8</v>
      </c>
      <c r="AN310" t="n">
        <v>1</v>
      </c>
      <c r="AO310" t="n">
        <v>1</v>
      </c>
      <c r="AP310" t="n">
        <v>0</v>
      </c>
      <c r="AQ310" t="n">
        <v>0</v>
      </c>
      <c r="AR310" t="inlineStr">
        <is>
          <t>No</t>
        </is>
      </c>
      <c r="AS310" t="inlineStr">
        <is>
          <t>No</t>
        </is>
      </c>
      <c r="AU310">
        <f>HYPERLINK("https://creighton-primo.hosted.exlibrisgroup.com/primo-explore/search?tab=default_tab&amp;search_scope=EVERYTHING&amp;vid=01CRU&amp;lang=en_US&amp;offset=0&amp;query=any,contains,991001534109702656","Catalog Record")</f>
        <v/>
      </c>
      <c r="AV310">
        <f>HYPERLINK("http://www.worldcat.org/oclc/20057051","WorldCat Record")</f>
        <v/>
      </c>
      <c r="AW310" t="inlineStr">
        <is>
          <t>4061460730:eng</t>
        </is>
      </c>
      <c r="AX310" t="inlineStr">
        <is>
          <t>20057051</t>
        </is>
      </c>
      <c r="AY310" t="inlineStr">
        <is>
          <t>991001534109702656</t>
        </is>
      </c>
      <c r="AZ310" t="inlineStr">
        <is>
          <t>991001534109702656</t>
        </is>
      </c>
      <c r="BA310" t="inlineStr">
        <is>
          <t>2269924100002656</t>
        </is>
      </c>
      <c r="BB310" t="inlineStr">
        <is>
          <t>BOOK</t>
        </is>
      </c>
      <c r="BD310" t="inlineStr">
        <is>
          <t>9780898623949</t>
        </is>
      </c>
      <c r="BE310" t="inlineStr">
        <is>
          <t>32285001449007</t>
        </is>
      </c>
      <c r="BF310" t="inlineStr">
        <is>
          <t>893340499</t>
        </is>
      </c>
    </row>
    <row r="311">
      <c r="B311" t="inlineStr">
        <is>
          <t>CURAL</t>
        </is>
      </c>
      <c r="C311" t="inlineStr">
        <is>
          <t>SHELVES</t>
        </is>
      </c>
      <c r="D311" t="inlineStr">
        <is>
          <t>QP356.45 .S38 1999</t>
        </is>
      </c>
      <c r="E311" t="inlineStr">
        <is>
          <t>0                      QP 0356450S  38          1999</t>
        </is>
      </c>
      <c r="F311" t="inlineStr">
        <is>
          <t>Neuroendocrine regulation of behavior / Jay Schulkin.</t>
        </is>
      </c>
      <c r="H311" t="inlineStr">
        <is>
          <t>No</t>
        </is>
      </c>
      <c r="I311" t="inlineStr">
        <is>
          <t>1</t>
        </is>
      </c>
      <c r="J311" t="inlineStr">
        <is>
          <t>No</t>
        </is>
      </c>
      <c r="K311" t="inlineStr">
        <is>
          <t>No</t>
        </is>
      </c>
      <c r="L311" t="inlineStr">
        <is>
          <t>0</t>
        </is>
      </c>
      <c r="M311" t="inlineStr">
        <is>
          <t>Schulkin, Jay.</t>
        </is>
      </c>
      <c r="N311" t="inlineStr">
        <is>
          <t>Cambridge, UK ; New York, NY, USA : Cambridge University Press, 1999.</t>
        </is>
      </c>
      <c r="O311" t="inlineStr">
        <is>
          <t>1999</t>
        </is>
      </c>
      <c r="Q311" t="inlineStr">
        <is>
          <t>eng</t>
        </is>
      </c>
      <c r="R311" t="inlineStr">
        <is>
          <t>enk</t>
        </is>
      </c>
      <c r="T311" t="inlineStr">
        <is>
          <t xml:space="preserve">QP </t>
        </is>
      </c>
      <c r="U311" t="n">
        <v>3</v>
      </c>
      <c r="V311" t="n">
        <v>3</v>
      </c>
      <c r="W311" t="inlineStr">
        <is>
          <t>2005-01-25</t>
        </is>
      </c>
      <c r="X311" t="inlineStr">
        <is>
          <t>2005-01-25</t>
        </is>
      </c>
      <c r="Y311" t="inlineStr">
        <is>
          <t>2001-01-17</t>
        </is>
      </c>
      <c r="Z311" t="inlineStr">
        <is>
          <t>2001-01-17</t>
        </is>
      </c>
      <c r="AA311" t="n">
        <v>457</v>
      </c>
      <c r="AB311" t="n">
        <v>388</v>
      </c>
      <c r="AC311" t="n">
        <v>399</v>
      </c>
      <c r="AD311" t="n">
        <v>4</v>
      </c>
      <c r="AE311" t="n">
        <v>4</v>
      </c>
      <c r="AF311" t="n">
        <v>24</v>
      </c>
      <c r="AG311" t="n">
        <v>24</v>
      </c>
      <c r="AH311" t="n">
        <v>9</v>
      </c>
      <c r="AI311" t="n">
        <v>9</v>
      </c>
      <c r="AJ311" t="n">
        <v>7</v>
      </c>
      <c r="AK311" t="n">
        <v>7</v>
      </c>
      <c r="AL311" t="n">
        <v>12</v>
      </c>
      <c r="AM311" t="n">
        <v>12</v>
      </c>
      <c r="AN311" t="n">
        <v>3</v>
      </c>
      <c r="AO311" t="n">
        <v>3</v>
      </c>
      <c r="AP311" t="n">
        <v>0</v>
      </c>
      <c r="AQ311" t="n">
        <v>0</v>
      </c>
      <c r="AR311" t="inlineStr">
        <is>
          <t>No</t>
        </is>
      </c>
      <c r="AS311" t="inlineStr">
        <is>
          <t>No</t>
        </is>
      </c>
      <c r="AU311">
        <f>HYPERLINK("https://creighton-primo.hosted.exlibrisgroup.com/primo-explore/search?tab=default_tab&amp;search_scope=EVERYTHING&amp;vid=01CRU&amp;lang=en_US&amp;offset=0&amp;query=any,contains,991003355069702656","Catalog Record")</f>
        <v/>
      </c>
      <c r="AV311">
        <f>HYPERLINK("http://www.worldcat.org/oclc/37806139","WorldCat Record")</f>
        <v/>
      </c>
      <c r="AW311" t="inlineStr">
        <is>
          <t>555591:eng</t>
        </is>
      </c>
      <c r="AX311" t="inlineStr">
        <is>
          <t>37806139</t>
        </is>
      </c>
      <c r="AY311" t="inlineStr">
        <is>
          <t>991003355069702656</t>
        </is>
      </c>
      <c r="AZ311" t="inlineStr">
        <is>
          <t>991003355069702656</t>
        </is>
      </c>
      <c r="BA311" t="inlineStr">
        <is>
          <t>2259205920002656</t>
        </is>
      </c>
      <c r="BB311" t="inlineStr">
        <is>
          <t>BOOK</t>
        </is>
      </c>
      <c r="BD311" t="inlineStr">
        <is>
          <t>9780521453851</t>
        </is>
      </c>
      <c r="BE311" t="inlineStr">
        <is>
          <t>32285004284534</t>
        </is>
      </c>
      <c r="BF311" t="inlineStr">
        <is>
          <t>893240140</t>
        </is>
      </c>
    </row>
    <row r="312">
      <c r="B312" t="inlineStr">
        <is>
          <t>CURAL</t>
        </is>
      </c>
      <c r="C312" t="inlineStr">
        <is>
          <t>SHELVES</t>
        </is>
      </c>
      <c r="D312" t="inlineStr">
        <is>
          <t>QP360 .A53</t>
        </is>
      </c>
      <c r="E312" t="inlineStr">
        <is>
          <t>0                      QP 0360000A  53</t>
        </is>
      </c>
      <c r="F312" t="inlineStr">
        <is>
          <t>Psychophysiology : human behavior and physiological response / John L. Andreassi.</t>
        </is>
      </c>
      <c r="H312" t="inlineStr">
        <is>
          <t>No</t>
        </is>
      </c>
      <c r="I312" t="inlineStr">
        <is>
          <t>1</t>
        </is>
      </c>
      <c r="J312" t="inlineStr">
        <is>
          <t>No</t>
        </is>
      </c>
      <c r="K312" t="inlineStr">
        <is>
          <t>No</t>
        </is>
      </c>
      <c r="L312" t="inlineStr">
        <is>
          <t>0</t>
        </is>
      </c>
      <c r="M312" t="inlineStr">
        <is>
          <t>Andreassi, John L.</t>
        </is>
      </c>
      <c r="N312" t="inlineStr">
        <is>
          <t>New York : Oxford University Press, 1980.</t>
        </is>
      </c>
      <c r="O312" t="inlineStr">
        <is>
          <t>1980</t>
        </is>
      </c>
      <c r="Q312" t="inlineStr">
        <is>
          <t>eng</t>
        </is>
      </c>
      <c r="R312" t="inlineStr">
        <is>
          <t>nyu</t>
        </is>
      </c>
      <c r="T312" t="inlineStr">
        <is>
          <t xml:space="preserve">QP </t>
        </is>
      </c>
      <c r="U312" t="n">
        <v>2</v>
      </c>
      <c r="V312" t="n">
        <v>2</v>
      </c>
      <c r="W312" t="inlineStr">
        <is>
          <t>1994-10-11</t>
        </is>
      </c>
      <c r="X312" t="inlineStr">
        <is>
          <t>1994-10-11</t>
        </is>
      </c>
      <c r="Y312" t="inlineStr">
        <is>
          <t>1993-03-02</t>
        </is>
      </c>
      <c r="Z312" t="inlineStr">
        <is>
          <t>1993-03-02</t>
        </is>
      </c>
      <c r="AA312" t="n">
        <v>340</v>
      </c>
      <c r="AB312" t="n">
        <v>253</v>
      </c>
      <c r="AC312" t="n">
        <v>1281</v>
      </c>
      <c r="AD312" t="n">
        <v>4</v>
      </c>
      <c r="AE312" t="n">
        <v>29</v>
      </c>
      <c r="AF312" t="n">
        <v>13</v>
      </c>
      <c r="AG312" t="n">
        <v>52</v>
      </c>
      <c r="AH312" t="n">
        <v>4</v>
      </c>
      <c r="AI312" t="n">
        <v>21</v>
      </c>
      <c r="AJ312" t="n">
        <v>2</v>
      </c>
      <c r="AK312" t="n">
        <v>10</v>
      </c>
      <c r="AL312" t="n">
        <v>7</v>
      </c>
      <c r="AM312" t="n">
        <v>17</v>
      </c>
      <c r="AN312" t="n">
        <v>3</v>
      </c>
      <c r="AO312" t="n">
        <v>15</v>
      </c>
      <c r="AP312" t="n">
        <v>0</v>
      </c>
      <c r="AQ312" t="n">
        <v>0</v>
      </c>
      <c r="AR312" t="inlineStr">
        <is>
          <t>No</t>
        </is>
      </c>
      <c r="AS312" t="inlineStr">
        <is>
          <t>Yes</t>
        </is>
      </c>
      <c r="AT312">
        <f>HYPERLINK("http://catalog.hathitrust.org/Record/000031153","HathiTrust Record")</f>
        <v/>
      </c>
      <c r="AU312">
        <f>HYPERLINK("https://creighton-primo.hosted.exlibrisgroup.com/primo-explore/search?tab=default_tab&amp;search_scope=EVERYTHING&amp;vid=01CRU&amp;lang=en_US&amp;offset=0&amp;query=any,contains,991004688799702656","Catalog Record")</f>
        <v/>
      </c>
      <c r="AV312">
        <f>HYPERLINK("http://www.worldcat.org/oclc/4593795","WorldCat Record")</f>
        <v/>
      </c>
      <c r="AW312" t="inlineStr">
        <is>
          <t>792612639:eng</t>
        </is>
      </c>
      <c r="AX312" t="inlineStr">
        <is>
          <t>4593795</t>
        </is>
      </c>
      <c r="AY312" t="inlineStr">
        <is>
          <t>991004688799702656</t>
        </is>
      </c>
      <c r="AZ312" t="inlineStr">
        <is>
          <t>991004688799702656</t>
        </is>
      </c>
      <c r="BA312" t="inlineStr">
        <is>
          <t>2271332140002656</t>
        </is>
      </c>
      <c r="BB312" t="inlineStr">
        <is>
          <t>BOOK</t>
        </is>
      </c>
      <c r="BD312" t="inlineStr">
        <is>
          <t>9780195025811</t>
        </is>
      </c>
      <c r="BE312" t="inlineStr">
        <is>
          <t>32285001561157</t>
        </is>
      </c>
      <c r="BF312" t="inlineStr">
        <is>
          <t>893719240</t>
        </is>
      </c>
    </row>
    <row r="313">
      <c r="B313" t="inlineStr">
        <is>
          <t>CURAL</t>
        </is>
      </c>
      <c r="C313" t="inlineStr">
        <is>
          <t>SHELVES</t>
        </is>
      </c>
      <c r="D313" t="inlineStr">
        <is>
          <t>QP360 .B47</t>
        </is>
      </c>
      <c r="E313" t="inlineStr">
        <is>
          <t>0                      QP 0360000B  47</t>
        </is>
      </c>
      <c r="F313" t="inlineStr">
        <is>
          <t>Brain and behavior / Thomas L. Bennett.</t>
        </is>
      </c>
      <c r="H313" t="inlineStr">
        <is>
          <t>No</t>
        </is>
      </c>
      <c r="I313" t="inlineStr">
        <is>
          <t>1</t>
        </is>
      </c>
      <c r="J313" t="inlineStr">
        <is>
          <t>No</t>
        </is>
      </c>
      <c r="K313" t="inlineStr">
        <is>
          <t>No</t>
        </is>
      </c>
      <c r="L313" t="inlineStr">
        <is>
          <t>0</t>
        </is>
      </c>
      <c r="M313" t="inlineStr">
        <is>
          <t>Bennett, Thomas L.</t>
        </is>
      </c>
      <c r="N313" t="inlineStr">
        <is>
          <t>Monterey, Calif. : Brooks/Cole Pub. Co., [1977]</t>
        </is>
      </c>
      <c r="O313" t="inlineStr">
        <is>
          <t>1977</t>
        </is>
      </c>
      <c r="Q313" t="inlineStr">
        <is>
          <t>eng</t>
        </is>
      </c>
      <c r="R313" t="inlineStr">
        <is>
          <t>cau</t>
        </is>
      </c>
      <c r="T313" t="inlineStr">
        <is>
          <t xml:space="preserve">QP </t>
        </is>
      </c>
      <c r="U313" t="n">
        <v>3</v>
      </c>
      <c r="V313" t="n">
        <v>3</v>
      </c>
      <c r="W313" t="inlineStr">
        <is>
          <t>1995-04-17</t>
        </is>
      </c>
      <c r="X313" t="inlineStr">
        <is>
          <t>1995-04-17</t>
        </is>
      </c>
      <c r="Y313" t="inlineStr">
        <is>
          <t>1995-03-21</t>
        </is>
      </c>
      <c r="Z313" t="inlineStr">
        <is>
          <t>1995-03-21</t>
        </is>
      </c>
      <c r="AA313" t="n">
        <v>176</v>
      </c>
      <c r="AB313" t="n">
        <v>131</v>
      </c>
      <c r="AC313" t="n">
        <v>133</v>
      </c>
      <c r="AD313" t="n">
        <v>4</v>
      </c>
      <c r="AE313" t="n">
        <v>4</v>
      </c>
      <c r="AF313" t="n">
        <v>9</v>
      </c>
      <c r="AG313" t="n">
        <v>9</v>
      </c>
      <c r="AH313" t="n">
        <v>2</v>
      </c>
      <c r="AI313" t="n">
        <v>2</v>
      </c>
      <c r="AJ313" t="n">
        <v>1</v>
      </c>
      <c r="AK313" t="n">
        <v>1</v>
      </c>
      <c r="AL313" t="n">
        <v>5</v>
      </c>
      <c r="AM313" t="n">
        <v>5</v>
      </c>
      <c r="AN313" t="n">
        <v>3</v>
      </c>
      <c r="AO313" t="n">
        <v>3</v>
      </c>
      <c r="AP313" t="n">
        <v>0</v>
      </c>
      <c r="AQ313" t="n">
        <v>0</v>
      </c>
      <c r="AR313" t="inlineStr">
        <is>
          <t>No</t>
        </is>
      </c>
      <c r="AS313" t="inlineStr">
        <is>
          <t>Yes</t>
        </is>
      </c>
      <c r="AT313">
        <f>HYPERLINK("http://catalog.hathitrust.org/Record/000723663","HathiTrust Record")</f>
        <v/>
      </c>
      <c r="AU313">
        <f>HYPERLINK("https://creighton-primo.hosted.exlibrisgroup.com/primo-explore/search?tab=default_tab&amp;search_scope=EVERYTHING&amp;vid=01CRU&amp;lang=en_US&amp;offset=0&amp;query=any,contains,991004101519702656","Catalog Record")</f>
        <v/>
      </c>
      <c r="AV313">
        <f>HYPERLINK("http://www.worldcat.org/oclc/2372759","WorldCat Record")</f>
        <v/>
      </c>
      <c r="AW313" t="inlineStr">
        <is>
          <t>4748461:eng</t>
        </is>
      </c>
      <c r="AX313" t="inlineStr">
        <is>
          <t>2372759</t>
        </is>
      </c>
      <c r="AY313" t="inlineStr">
        <is>
          <t>991004101519702656</t>
        </is>
      </c>
      <c r="AZ313" t="inlineStr">
        <is>
          <t>991004101519702656</t>
        </is>
      </c>
      <c r="BA313" t="inlineStr">
        <is>
          <t>2256417680002656</t>
        </is>
      </c>
      <c r="BB313" t="inlineStr">
        <is>
          <t>BOOK</t>
        </is>
      </c>
      <c r="BD313" t="inlineStr">
        <is>
          <t>9780818502019</t>
        </is>
      </c>
      <c r="BE313" t="inlineStr">
        <is>
          <t>32285002012655</t>
        </is>
      </c>
      <c r="BF313" t="inlineStr">
        <is>
          <t>893519239</t>
        </is>
      </c>
    </row>
    <row r="314">
      <c r="B314" t="inlineStr">
        <is>
          <t>CURAL</t>
        </is>
      </c>
      <c r="C314" t="inlineStr">
        <is>
          <t>SHELVES</t>
        </is>
      </c>
      <c r="D314" t="inlineStr">
        <is>
          <t>QP360 .B585 1985</t>
        </is>
      </c>
      <c r="E314" t="inlineStr">
        <is>
          <t>0                      QP 0360000B  585         1985</t>
        </is>
      </c>
      <c r="F314" t="inlineStr">
        <is>
          <t>Brain, mind, and behavior / Floyd E. Bloom, Arlyne Lazerson, Laura Hofstadter.</t>
        </is>
      </c>
      <c r="H314" t="inlineStr">
        <is>
          <t>No</t>
        </is>
      </c>
      <c r="I314" t="inlineStr">
        <is>
          <t>1</t>
        </is>
      </c>
      <c r="J314" t="inlineStr">
        <is>
          <t>No</t>
        </is>
      </c>
      <c r="K314" t="inlineStr">
        <is>
          <t>Yes</t>
        </is>
      </c>
      <c r="L314" t="inlineStr">
        <is>
          <t>0</t>
        </is>
      </c>
      <c r="M314" t="inlineStr">
        <is>
          <t>Bloom, Floyd E.</t>
        </is>
      </c>
      <c r="N314" t="inlineStr">
        <is>
          <t>New York : W.H. Freeman, c1985.</t>
        </is>
      </c>
      <c r="O314" t="inlineStr">
        <is>
          <t>1985</t>
        </is>
      </c>
      <c r="Q314" t="inlineStr">
        <is>
          <t>eng</t>
        </is>
      </c>
      <c r="R314" t="inlineStr">
        <is>
          <t>nyu</t>
        </is>
      </c>
      <c r="T314" t="inlineStr">
        <is>
          <t xml:space="preserve">QP </t>
        </is>
      </c>
      <c r="U314" t="n">
        <v>4</v>
      </c>
      <c r="V314" t="n">
        <v>4</v>
      </c>
      <c r="W314" t="inlineStr">
        <is>
          <t>1995-04-17</t>
        </is>
      </c>
      <c r="X314" t="inlineStr">
        <is>
          <t>1995-04-17</t>
        </is>
      </c>
      <c r="Y314" t="inlineStr">
        <is>
          <t>1993-03-03</t>
        </is>
      </c>
      <c r="Z314" t="inlineStr">
        <is>
          <t>1993-03-03</t>
        </is>
      </c>
      <c r="AA314" t="n">
        <v>823</v>
      </c>
      <c r="AB314" t="n">
        <v>701</v>
      </c>
      <c r="AC314" t="n">
        <v>1084</v>
      </c>
      <c r="AD314" t="n">
        <v>7</v>
      </c>
      <c r="AE314" t="n">
        <v>9</v>
      </c>
      <c r="AF314" t="n">
        <v>23</v>
      </c>
      <c r="AG314" t="n">
        <v>34</v>
      </c>
      <c r="AH314" t="n">
        <v>11</v>
      </c>
      <c r="AI314" t="n">
        <v>16</v>
      </c>
      <c r="AJ314" t="n">
        <v>3</v>
      </c>
      <c r="AK314" t="n">
        <v>5</v>
      </c>
      <c r="AL314" t="n">
        <v>11</v>
      </c>
      <c r="AM314" t="n">
        <v>17</v>
      </c>
      <c r="AN314" t="n">
        <v>4</v>
      </c>
      <c r="AO314" t="n">
        <v>5</v>
      </c>
      <c r="AP314" t="n">
        <v>0</v>
      </c>
      <c r="AQ314" t="n">
        <v>0</v>
      </c>
      <c r="AR314" t="inlineStr">
        <is>
          <t>No</t>
        </is>
      </c>
      <c r="AS314" t="inlineStr">
        <is>
          <t>No</t>
        </is>
      </c>
      <c r="AU314">
        <f>HYPERLINK("https://creighton-primo.hosted.exlibrisgroup.com/primo-explore/search?tab=default_tab&amp;search_scope=EVERYTHING&amp;vid=01CRU&amp;lang=en_US&amp;offset=0&amp;query=any,contains,991000457019702656","Catalog Record")</f>
        <v/>
      </c>
      <c r="AV314">
        <f>HYPERLINK("http://www.worldcat.org/oclc/10914564","WorldCat Record")</f>
        <v/>
      </c>
      <c r="AW314" t="inlineStr">
        <is>
          <t>640407:eng</t>
        </is>
      </c>
      <c r="AX314" t="inlineStr">
        <is>
          <t>10914564</t>
        </is>
      </c>
      <c r="AY314" t="inlineStr">
        <is>
          <t>991000457019702656</t>
        </is>
      </c>
      <c r="AZ314" t="inlineStr">
        <is>
          <t>991000457019702656</t>
        </is>
      </c>
      <c r="BA314" t="inlineStr">
        <is>
          <t>2255722590002656</t>
        </is>
      </c>
      <c r="BB314" t="inlineStr">
        <is>
          <t>BOOK</t>
        </is>
      </c>
      <c r="BD314" t="inlineStr">
        <is>
          <t>9780716716372</t>
        </is>
      </c>
      <c r="BE314" t="inlineStr">
        <is>
          <t>32285001561330</t>
        </is>
      </c>
      <c r="BF314" t="inlineStr">
        <is>
          <t>893224993</t>
        </is>
      </c>
    </row>
    <row r="315">
      <c r="B315" t="inlineStr">
        <is>
          <t>CURAL</t>
        </is>
      </c>
      <c r="C315" t="inlineStr">
        <is>
          <t>SHELVES</t>
        </is>
      </c>
      <c r="D315" t="inlineStr">
        <is>
          <t>QP360 .B585 1988</t>
        </is>
      </c>
      <c r="E315" t="inlineStr">
        <is>
          <t>0                      QP 0360000B  585         1988</t>
        </is>
      </c>
      <c r="F315" t="inlineStr">
        <is>
          <t>Brain, mind, and behavior / Floyd E. Bloom, Arlyne Lazerson.</t>
        </is>
      </c>
      <c r="H315" t="inlineStr">
        <is>
          <t>No</t>
        </is>
      </c>
      <c r="I315" t="inlineStr">
        <is>
          <t>1</t>
        </is>
      </c>
      <c r="J315" t="inlineStr">
        <is>
          <t>No</t>
        </is>
      </c>
      <c r="K315" t="inlineStr">
        <is>
          <t>Yes</t>
        </is>
      </c>
      <c r="L315" t="inlineStr">
        <is>
          <t>0</t>
        </is>
      </c>
      <c r="M315" t="inlineStr">
        <is>
          <t>Bloom, Floyd E.</t>
        </is>
      </c>
      <c r="N315" t="inlineStr">
        <is>
          <t>New York : Freeman, c1988.</t>
        </is>
      </c>
      <c r="O315" t="inlineStr">
        <is>
          <t>1988</t>
        </is>
      </c>
      <c r="P315" t="inlineStr">
        <is>
          <t>2nd ed.</t>
        </is>
      </c>
      <c r="Q315" t="inlineStr">
        <is>
          <t>eng</t>
        </is>
      </c>
      <c r="R315" t="inlineStr">
        <is>
          <t>nyu</t>
        </is>
      </c>
      <c r="T315" t="inlineStr">
        <is>
          <t xml:space="preserve">QP </t>
        </is>
      </c>
      <c r="U315" t="n">
        <v>13</v>
      </c>
      <c r="V315" t="n">
        <v>13</v>
      </c>
      <c r="W315" t="inlineStr">
        <is>
          <t>1999-10-23</t>
        </is>
      </c>
      <c r="X315" t="inlineStr">
        <is>
          <t>1999-10-23</t>
        </is>
      </c>
      <c r="Y315" t="inlineStr">
        <is>
          <t>1989-10-23</t>
        </is>
      </c>
      <c r="Z315" t="inlineStr">
        <is>
          <t>1989-10-23</t>
        </is>
      </c>
      <c r="AA315" t="n">
        <v>618</v>
      </c>
      <c r="AB315" t="n">
        <v>431</v>
      </c>
      <c r="AC315" t="n">
        <v>1084</v>
      </c>
      <c r="AD315" t="n">
        <v>3</v>
      </c>
      <c r="AE315" t="n">
        <v>9</v>
      </c>
      <c r="AF315" t="n">
        <v>15</v>
      </c>
      <c r="AG315" t="n">
        <v>34</v>
      </c>
      <c r="AH315" t="n">
        <v>5</v>
      </c>
      <c r="AI315" t="n">
        <v>16</v>
      </c>
      <c r="AJ315" t="n">
        <v>3</v>
      </c>
      <c r="AK315" t="n">
        <v>5</v>
      </c>
      <c r="AL315" t="n">
        <v>9</v>
      </c>
      <c r="AM315" t="n">
        <v>17</v>
      </c>
      <c r="AN315" t="n">
        <v>1</v>
      </c>
      <c r="AO315" t="n">
        <v>5</v>
      </c>
      <c r="AP315" t="n">
        <v>0</v>
      </c>
      <c r="AQ315" t="n">
        <v>0</v>
      </c>
      <c r="AR315" t="inlineStr">
        <is>
          <t>No</t>
        </is>
      </c>
      <c r="AS315" t="inlineStr">
        <is>
          <t>No</t>
        </is>
      </c>
      <c r="AU315">
        <f>HYPERLINK("https://creighton-primo.hosted.exlibrisgroup.com/primo-explore/search?tab=default_tab&amp;search_scope=EVERYTHING&amp;vid=01CRU&amp;lang=en_US&amp;offset=0&amp;query=any,contains,991001191069702656","Catalog Record")</f>
        <v/>
      </c>
      <c r="AV315">
        <f>HYPERLINK("http://www.worldcat.org/oclc/17258720","WorldCat Record")</f>
        <v/>
      </c>
      <c r="AW315" t="inlineStr">
        <is>
          <t>640407:eng</t>
        </is>
      </c>
      <c r="AX315" t="inlineStr">
        <is>
          <t>17258720</t>
        </is>
      </c>
      <c r="AY315" t="inlineStr">
        <is>
          <t>991001191069702656</t>
        </is>
      </c>
      <c r="AZ315" t="inlineStr">
        <is>
          <t>991001191069702656</t>
        </is>
      </c>
      <c r="BA315" t="inlineStr">
        <is>
          <t>2264067280002656</t>
        </is>
      </c>
      <c r="BB315" t="inlineStr">
        <is>
          <t>BOOK</t>
        </is>
      </c>
      <c r="BD315" t="inlineStr">
        <is>
          <t>9780716718635</t>
        </is>
      </c>
      <c r="BE315" t="inlineStr">
        <is>
          <t>32285000004597</t>
        </is>
      </c>
      <c r="BF315" t="inlineStr">
        <is>
          <t>893225670</t>
        </is>
      </c>
    </row>
    <row r="316">
      <c r="B316" t="inlineStr">
        <is>
          <t>CURAL</t>
        </is>
      </c>
      <c r="C316" t="inlineStr">
        <is>
          <t>SHELVES</t>
        </is>
      </c>
      <c r="D316" t="inlineStr">
        <is>
          <t>QP360 .C34 1984</t>
        </is>
      </c>
      <c r="E316" t="inlineStr">
        <is>
          <t>0                      QP 0360000C  34          1984</t>
        </is>
      </c>
      <c r="F316" t="inlineStr">
        <is>
          <t>Neuroethology : nerve cells and the natural behavior of animals / Jeffrey M. Camhi.</t>
        </is>
      </c>
      <c r="H316" t="inlineStr">
        <is>
          <t>No</t>
        </is>
      </c>
      <c r="I316" t="inlineStr">
        <is>
          <t>1</t>
        </is>
      </c>
      <c r="J316" t="inlineStr">
        <is>
          <t>No</t>
        </is>
      </c>
      <c r="K316" t="inlineStr">
        <is>
          <t>No</t>
        </is>
      </c>
      <c r="L316" t="inlineStr">
        <is>
          <t>0</t>
        </is>
      </c>
      <c r="M316" t="inlineStr">
        <is>
          <t>Camhi, Jeffrey M., 1941-</t>
        </is>
      </c>
      <c r="N316" t="inlineStr">
        <is>
          <t>Sunderland, Mass. : Sinauer Associates, c1984.</t>
        </is>
      </c>
      <c r="O316" t="inlineStr">
        <is>
          <t>1984</t>
        </is>
      </c>
      <c r="Q316" t="inlineStr">
        <is>
          <t>eng</t>
        </is>
      </c>
      <c r="R316" t="inlineStr">
        <is>
          <t>mau</t>
        </is>
      </c>
      <c r="T316" t="inlineStr">
        <is>
          <t xml:space="preserve">QP </t>
        </is>
      </c>
      <c r="U316" t="n">
        <v>15</v>
      </c>
      <c r="V316" t="n">
        <v>15</v>
      </c>
      <c r="W316" t="inlineStr">
        <is>
          <t>2001-09-26</t>
        </is>
      </c>
      <c r="X316" t="inlineStr">
        <is>
          <t>2001-09-26</t>
        </is>
      </c>
      <c r="Y316" t="inlineStr">
        <is>
          <t>1993-03-02</t>
        </is>
      </c>
      <c r="Z316" t="inlineStr">
        <is>
          <t>1993-03-02</t>
        </is>
      </c>
      <c r="AA316" t="n">
        <v>571</v>
      </c>
      <c r="AB316" t="n">
        <v>468</v>
      </c>
      <c r="AC316" t="n">
        <v>475</v>
      </c>
      <c r="AD316" t="n">
        <v>3</v>
      </c>
      <c r="AE316" t="n">
        <v>3</v>
      </c>
      <c r="AF316" t="n">
        <v>24</v>
      </c>
      <c r="AG316" t="n">
        <v>24</v>
      </c>
      <c r="AH316" t="n">
        <v>7</v>
      </c>
      <c r="AI316" t="n">
        <v>7</v>
      </c>
      <c r="AJ316" t="n">
        <v>8</v>
      </c>
      <c r="AK316" t="n">
        <v>8</v>
      </c>
      <c r="AL316" t="n">
        <v>12</v>
      </c>
      <c r="AM316" t="n">
        <v>12</v>
      </c>
      <c r="AN316" t="n">
        <v>2</v>
      </c>
      <c r="AO316" t="n">
        <v>2</v>
      </c>
      <c r="AP316" t="n">
        <v>0</v>
      </c>
      <c r="AQ316" t="n">
        <v>0</v>
      </c>
      <c r="AR316" t="inlineStr">
        <is>
          <t>No</t>
        </is>
      </c>
      <c r="AS316" t="inlineStr">
        <is>
          <t>Yes</t>
        </is>
      </c>
      <c r="AT316">
        <f>HYPERLINK("http://catalog.hathitrust.org/Record/000245446","HathiTrust Record")</f>
        <v/>
      </c>
      <c r="AU316">
        <f>HYPERLINK("https://creighton-primo.hosted.exlibrisgroup.com/primo-explore/search?tab=default_tab&amp;search_scope=EVERYTHING&amp;vid=01CRU&amp;lang=en_US&amp;offset=0&amp;query=any,contains,991000259489702656","Catalog Record")</f>
        <v/>
      </c>
      <c r="AV316">
        <f>HYPERLINK("http://www.worldcat.org/oclc/9785746","WorldCat Record")</f>
        <v/>
      </c>
      <c r="AW316" t="inlineStr">
        <is>
          <t>43568403:eng</t>
        </is>
      </c>
      <c r="AX316" t="inlineStr">
        <is>
          <t>9785746</t>
        </is>
      </c>
      <c r="AY316" t="inlineStr">
        <is>
          <t>991000259489702656</t>
        </is>
      </c>
      <c r="AZ316" t="inlineStr">
        <is>
          <t>991000259489702656</t>
        </is>
      </c>
      <c r="BA316" t="inlineStr">
        <is>
          <t>2261817930002656</t>
        </is>
      </c>
      <c r="BB316" t="inlineStr">
        <is>
          <t>BOOK</t>
        </is>
      </c>
      <c r="BD316" t="inlineStr">
        <is>
          <t>9780878930753</t>
        </is>
      </c>
      <c r="BE316" t="inlineStr">
        <is>
          <t>32285001561181</t>
        </is>
      </c>
      <c r="BF316" t="inlineStr">
        <is>
          <t>893255296</t>
        </is>
      </c>
    </row>
    <row r="317">
      <c r="B317" t="inlineStr">
        <is>
          <t>CURAL</t>
        </is>
      </c>
      <c r="C317" t="inlineStr">
        <is>
          <t>SHELVES</t>
        </is>
      </c>
      <c r="D317" t="inlineStr">
        <is>
          <t>QP360 .C347 2000</t>
        </is>
      </c>
      <c r="E317" t="inlineStr">
        <is>
          <t>0                      QP 0360000C  347         2000</t>
        </is>
      </c>
      <c r="F317" t="inlineStr">
        <is>
          <t>Behavioral neurobiology : the cellular organization of natural behavior / Thomas J. Carew.</t>
        </is>
      </c>
      <c r="H317" t="inlineStr">
        <is>
          <t>No</t>
        </is>
      </c>
      <c r="I317" t="inlineStr">
        <is>
          <t>1</t>
        </is>
      </c>
      <c r="J317" t="inlineStr">
        <is>
          <t>No</t>
        </is>
      </c>
      <c r="K317" t="inlineStr">
        <is>
          <t>No</t>
        </is>
      </c>
      <c r="L317" t="inlineStr">
        <is>
          <t>0</t>
        </is>
      </c>
      <c r="M317" t="inlineStr">
        <is>
          <t>Carew, Thomas J.</t>
        </is>
      </c>
      <c r="N317" t="inlineStr">
        <is>
          <t>Sunderland, Mass. : Sinauer Associates Publishers, c2000.</t>
        </is>
      </c>
      <c r="O317" t="inlineStr">
        <is>
          <t>2000</t>
        </is>
      </c>
      <c r="Q317" t="inlineStr">
        <is>
          <t>eng</t>
        </is>
      </c>
      <c r="R317" t="inlineStr">
        <is>
          <t>mau</t>
        </is>
      </c>
      <c r="T317" t="inlineStr">
        <is>
          <t xml:space="preserve">QP </t>
        </is>
      </c>
      <c r="U317" t="n">
        <v>1</v>
      </c>
      <c r="V317" t="n">
        <v>1</v>
      </c>
      <c r="W317" t="inlineStr">
        <is>
          <t>2001-12-20</t>
        </is>
      </c>
      <c r="X317" t="inlineStr">
        <is>
          <t>2001-12-20</t>
        </is>
      </c>
      <c r="Y317" t="inlineStr">
        <is>
          <t>2001-12-20</t>
        </is>
      </c>
      <c r="Z317" t="inlineStr">
        <is>
          <t>2001-12-20</t>
        </is>
      </c>
      <c r="AA317" t="n">
        <v>442</v>
      </c>
      <c r="AB317" t="n">
        <v>329</v>
      </c>
      <c r="AC317" t="n">
        <v>329</v>
      </c>
      <c r="AD317" t="n">
        <v>3</v>
      </c>
      <c r="AE317" t="n">
        <v>3</v>
      </c>
      <c r="AF317" t="n">
        <v>15</v>
      </c>
      <c r="AG317" t="n">
        <v>15</v>
      </c>
      <c r="AH317" t="n">
        <v>7</v>
      </c>
      <c r="AI317" t="n">
        <v>7</v>
      </c>
      <c r="AJ317" t="n">
        <v>3</v>
      </c>
      <c r="AK317" t="n">
        <v>3</v>
      </c>
      <c r="AL317" t="n">
        <v>8</v>
      </c>
      <c r="AM317" t="n">
        <v>8</v>
      </c>
      <c r="AN317" t="n">
        <v>2</v>
      </c>
      <c r="AO317" t="n">
        <v>2</v>
      </c>
      <c r="AP317" t="n">
        <v>0</v>
      </c>
      <c r="AQ317" t="n">
        <v>0</v>
      </c>
      <c r="AR317" t="inlineStr">
        <is>
          <t>No</t>
        </is>
      </c>
      <c r="AS317" t="inlineStr">
        <is>
          <t>No</t>
        </is>
      </c>
      <c r="AU317">
        <f>HYPERLINK("https://creighton-primo.hosted.exlibrisgroup.com/primo-explore/search?tab=default_tab&amp;search_scope=EVERYTHING&amp;vid=01CRU&amp;lang=en_US&amp;offset=0&amp;query=any,contains,991003664299702656","Catalog Record")</f>
        <v/>
      </c>
      <c r="AV317">
        <f>HYPERLINK("http://www.worldcat.org/oclc/44502455","WorldCat Record")</f>
        <v/>
      </c>
      <c r="AW317" t="inlineStr">
        <is>
          <t>364691922:eng</t>
        </is>
      </c>
      <c r="AX317" t="inlineStr">
        <is>
          <t>44502455</t>
        </is>
      </c>
      <c r="AY317" t="inlineStr">
        <is>
          <t>991003664299702656</t>
        </is>
      </c>
      <c r="AZ317" t="inlineStr">
        <is>
          <t>991003664299702656</t>
        </is>
      </c>
      <c r="BA317" t="inlineStr">
        <is>
          <t>2263470890002656</t>
        </is>
      </c>
      <c r="BB317" t="inlineStr">
        <is>
          <t>BOOK</t>
        </is>
      </c>
      <c r="BD317" t="inlineStr">
        <is>
          <t>9780878930845</t>
        </is>
      </c>
      <c r="BE317" t="inlineStr">
        <is>
          <t>32285004429709</t>
        </is>
      </c>
      <c r="BF317" t="inlineStr">
        <is>
          <t>893717947</t>
        </is>
      </c>
    </row>
    <row r="318">
      <c r="B318" t="inlineStr">
        <is>
          <t>CURAL</t>
        </is>
      </c>
      <c r="C318" t="inlineStr">
        <is>
          <t>SHELVES</t>
        </is>
      </c>
      <c r="D318" t="inlineStr">
        <is>
          <t>QP360 .C35</t>
        </is>
      </c>
      <c r="E318" t="inlineStr">
        <is>
          <t>0                      QP 0360000C  35</t>
        </is>
      </c>
      <c r="F318" t="inlineStr">
        <is>
          <t>Physiology of behavior / Neil R. Carlson.</t>
        </is>
      </c>
      <c r="H318" t="inlineStr">
        <is>
          <t>No</t>
        </is>
      </c>
      <c r="I318" t="inlineStr">
        <is>
          <t>1</t>
        </is>
      </c>
      <c r="J318" t="inlineStr">
        <is>
          <t>No</t>
        </is>
      </c>
      <c r="K318" t="inlineStr">
        <is>
          <t>Yes</t>
        </is>
      </c>
      <c r="L318" t="inlineStr">
        <is>
          <t>0</t>
        </is>
      </c>
      <c r="M318" t="inlineStr">
        <is>
          <t>Carlson, Neil R., 1942-</t>
        </is>
      </c>
      <c r="N318" t="inlineStr">
        <is>
          <t>Boston : Allyn and Bacon, c1977.</t>
        </is>
      </c>
      <c r="O318" t="inlineStr">
        <is>
          <t>1977</t>
        </is>
      </c>
      <c r="Q318" t="inlineStr">
        <is>
          <t>eng</t>
        </is>
      </c>
      <c r="R318" t="inlineStr">
        <is>
          <t>mau</t>
        </is>
      </c>
      <c r="T318" t="inlineStr">
        <is>
          <t xml:space="preserve">QP </t>
        </is>
      </c>
      <c r="U318" t="n">
        <v>5</v>
      </c>
      <c r="V318" t="n">
        <v>5</v>
      </c>
      <c r="W318" t="inlineStr">
        <is>
          <t>1995-04-17</t>
        </is>
      </c>
      <c r="X318" t="inlineStr">
        <is>
          <t>1995-04-17</t>
        </is>
      </c>
      <c r="Y318" t="inlineStr">
        <is>
          <t>1991-11-19</t>
        </is>
      </c>
      <c r="Z318" t="inlineStr">
        <is>
          <t>1991-11-19</t>
        </is>
      </c>
      <c r="AA318" t="n">
        <v>306</v>
      </c>
      <c r="AB318" t="n">
        <v>213</v>
      </c>
      <c r="AC318" t="n">
        <v>768</v>
      </c>
      <c r="AD318" t="n">
        <v>2</v>
      </c>
      <c r="AE318" t="n">
        <v>5</v>
      </c>
      <c r="AF318" t="n">
        <v>10</v>
      </c>
      <c r="AG318" t="n">
        <v>28</v>
      </c>
      <c r="AH318" t="n">
        <v>4</v>
      </c>
      <c r="AI318" t="n">
        <v>10</v>
      </c>
      <c r="AJ318" t="n">
        <v>1</v>
      </c>
      <c r="AK318" t="n">
        <v>6</v>
      </c>
      <c r="AL318" t="n">
        <v>6</v>
      </c>
      <c r="AM318" t="n">
        <v>14</v>
      </c>
      <c r="AN318" t="n">
        <v>1</v>
      </c>
      <c r="AO318" t="n">
        <v>3</v>
      </c>
      <c r="AP318" t="n">
        <v>0</v>
      </c>
      <c r="AQ318" t="n">
        <v>0</v>
      </c>
      <c r="AR318" t="inlineStr">
        <is>
          <t>No</t>
        </is>
      </c>
      <c r="AS318" t="inlineStr">
        <is>
          <t>No</t>
        </is>
      </c>
      <c r="AU318">
        <f>HYPERLINK("https://creighton-primo.hosted.exlibrisgroup.com/primo-explore/search?tab=default_tab&amp;search_scope=EVERYTHING&amp;vid=01CRU&amp;lang=en_US&amp;offset=0&amp;query=any,contains,991004178779702656","Catalog Record")</f>
        <v/>
      </c>
      <c r="AV318">
        <f>HYPERLINK("http://www.worldcat.org/oclc/2598484","WorldCat Record")</f>
        <v/>
      </c>
      <c r="AW318" t="inlineStr">
        <is>
          <t>666131:eng</t>
        </is>
      </c>
      <c r="AX318" t="inlineStr">
        <is>
          <t>2598484</t>
        </is>
      </c>
      <c r="AY318" t="inlineStr">
        <is>
          <t>991004178779702656</t>
        </is>
      </c>
      <c r="AZ318" t="inlineStr">
        <is>
          <t>991004178779702656</t>
        </is>
      </c>
      <c r="BA318" t="inlineStr">
        <is>
          <t>2265990280002656</t>
        </is>
      </c>
      <c r="BB318" t="inlineStr">
        <is>
          <t>BOOK</t>
        </is>
      </c>
      <c r="BD318" t="inlineStr">
        <is>
          <t>9780205057061</t>
        </is>
      </c>
      <c r="BE318" t="inlineStr">
        <is>
          <t>32285000821529</t>
        </is>
      </c>
      <c r="BF318" t="inlineStr">
        <is>
          <t>893693634</t>
        </is>
      </c>
    </row>
    <row r="319">
      <c r="B319" t="inlineStr">
        <is>
          <t>CURAL</t>
        </is>
      </c>
      <c r="C319" t="inlineStr">
        <is>
          <t>SHELVES</t>
        </is>
      </c>
      <c r="D319" t="inlineStr">
        <is>
          <t>QP360 .C35 1991</t>
        </is>
      </c>
      <c r="E319" t="inlineStr">
        <is>
          <t>0                      QP 0360000C  35          1991</t>
        </is>
      </c>
      <c r="F319" t="inlineStr">
        <is>
          <t>Physiology of behavior / Neil R. Carlson.</t>
        </is>
      </c>
      <c r="H319" t="inlineStr">
        <is>
          <t>No</t>
        </is>
      </c>
      <c r="I319" t="inlineStr">
        <is>
          <t>1</t>
        </is>
      </c>
      <c r="J319" t="inlineStr">
        <is>
          <t>No</t>
        </is>
      </c>
      <c r="K319" t="inlineStr">
        <is>
          <t>Yes</t>
        </is>
      </c>
      <c r="L319" t="inlineStr">
        <is>
          <t>0</t>
        </is>
      </c>
      <c r="M319" t="inlineStr">
        <is>
          <t>Carlson, Neil R., 1942-</t>
        </is>
      </c>
      <c r="N319" t="inlineStr">
        <is>
          <t>Boston : Allyn and Bacon, c1991.</t>
        </is>
      </c>
      <c r="O319" t="inlineStr">
        <is>
          <t>1991</t>
        </is>
      </c>
      <c r="P319" t="inlineStr">
        <is>
          <t>4th ed.</t>
        </is>
      </c>
      <c r="Q319" t="inlineStr">
        <is>
          <t>eng</t>
        </is>
      </c>
      <c r="R319" t="inlineStr">
        <is>
          <t>mau</t>
        </is>
      </c>
      <c r="T319" t="inlineStr">
        <is>
          <t xml:space="preserve">QP </t>
        </is>
      </c>
      <c r="U319" t="n">
        <v>25</v>
      </c>
      <c r="V319" t="n">
        <v>25</v>
      </c>
      <c r="W319" t="inlineStr">
        <is>
          <t>2004-01-30</t>
        </is>
      </c>
      <c r="X319" t="inlineStr">
        <is>
          <t>2004-01-30</t>
        </is>
      </c>
      <c r="Y319" t="inlineStr">
        <is>
          <t>1992-06-10</t>
        </is>
      </c>
      <c r="Z319" t="inlineStr">
        <is>
          <t>1992-06-10</t>
        </is>
      </c>
      <c r="AA319" t="n">
        <v>208</v>
      </c>
      <c r="AB319" t="n">
        <v>110</v>
      </c>
      <c r="AC319" t="n">
        <v>768</v>
      </c>
      <c r="AD319" t="n">
        <v>1</v>
      </c>
      <c r="AE319" t="n">
        <v>5</v>
      </c>
      <c r="AF319" t="n">
        <v>3</v>
      </c>
      <c r="AG319" t="n">
        <v>28</v>
      </c>
      <c r="AH319" t="n">
        <v>2</v>
      </c>
      <c r="AI319" t="n">
        <v>10</v>
      </c>
      <c r="AJ319" t="n">
        <v>0</v>
      </c>
      <c r="AK319" t="n">
        <v>6</v>
      </c>
      <c r="AL319" t="n">
        <v>2</v>
      </c>
      <c r="AM319" t="n">
        <v>14</v>
      </c>
      <c r="AN319" t="n">
        <v>0</v>
      </c>
      <c r="AO319" t="n">
        <v>3</v>
      </c>
      <c r="AP319" t="n">
        <v>0</v>
      </c>
      <c r="AQ319" t="n">
        <v>0</v>
      </c>
      <c r="AR319" t="inlineStr">
        <is>
          <t>No</t>
        </is>
      </c>
      <c r="AS319" t="inlineStr">
        <is>
          <t>No</t>
        </is>
      </c>
      <c r="AU319">
        <f>HYPERLINK("https://creighton-primo.hosted.exlibrisgroup.com/primo-explore/search?tab=default_tab&amp;search_scope=EVERYTHING&amp;vid=01CRU&amp;lang=en_US&amp;offset=0&amp;query=any,contains,991001790379702656","Catalog Record")</f>
        <v/>
      </c>
      <c r="AV319">
        <f>HYPERLINK("http://www.worldcat.org/oclc/22542910","WorldCat Record")</f>
        <v/>
      </c>
      <c r="AW319" t="inlineStr">
        <is>
          <t>666131:eng</t>
        </is>
      </c>
      <c r="AX319" t="inlineStr">
        <is>
          <t>22542910</t>
        </is>
      </c>
      <c r="AY319" t="inlineStr">
        <is>
          <t>991001790379702656</t>
        </is>
      </c>
      <c r="AZ319" t="inlineStr">
        <is>
          <t>991001790379702656</t>
        </is>
      </c>
      <c r="BA319" t="inlineStr">
        <is>
          <t>2266628980002656</t>
        </is>
      </c>
      <c r="BB319" t="inlineStr">
        <is>
          <t>BOOK</t>
        </is>
      </c>
      <c r="BD319" t="inlineStr">
        <is>
          <t>9780205126385</t>
        </is>
      </c>
      <c r="BE319" t="inlineStr">
        <is>
          <t>32285001127025</t>
        </is>
      </c>
      <c r="BF319" t="inlineStr">
        <is>
          <t>893866483</t>
        </is>
      </c>
    </row>
    <row r="320">
      <c r="B320" t="inlineStr">
        <is>
          <t>CURAL</t>
        </is>
      </c>
      <c r="C320" t="inlineStr">
        <is>
          <t>SHELVES</t>
        </is>
      </c>
      <c r="D320" t="inlineStr">
        <is>
          <t>QP360 .C49 1989</t>
        </is>
      </c>
      <c r="E320" t="inlineStr">
        <is>
          <t>0                      QP 0360000C  49          1989</t>
        </is>
      </c>
      <c r="F320" t="inlineStr">
        <is>
          <t>Neurophilosophy : toward a unified science of the mind-brain / Patricia Smith Churchland.</t>
        </is>
      </c>
      <c r="H320" t="inlineStr">
        <is>
          <t>No</t>
        </is>
      </c>
      <c r="I320" t="inlineStr">
        <is>
          <t>1</t>
        </is>
      </c>
      <c r="J320" t="inlineStr">
        <is>
          <t>No</t>
        </is>
      </c>
      <c r="K320" t="inlineStr">
        <is>
          <t>No</t>
        </is>
      </c>
      <c r="L320" t="inlineStr">
        <is>
          <t>0</t>
        </is>
      </c>
      <c r="M320" t="inlineStr">
        <is>
          <t>Churchland, Patricia Smith.</t>
        </is>
      </c>
      <c r="N320" t="inlineStr">
        <is>
          <t>Cambridge, Mass. : MIT Press, 1989, c1986.</t>
        </is>
      </c>
      <c r="O320" t="inlineStr">
        <is>
          <t>1989</t>
        </is>
      </c>
      <c r="P320" t="inlineStr">
        <is>
          <t>1st MIT Press pbk. ed.</t>
        </is>
      </c>
      <c r="Q320" t="inlineStr">
        <is>
          <t>eng</t>
        </is>
      </c>
      <c r="R320" t="inlineStr">
        <is>
          <t>mau</t>
        </is>
      </c>
      <c r="S320" t="inlineStr">
        <is>
          <t>Computational models of cognition and perception</t>
        </is>
      </c>
      <c r="T320" t="inlineStr">
        <is>
          <t xml:space="preserve">QP </t>
        </is>
      </c>
      <c r="U320" t="n">
        <v>8</v>
      </c>
      <c r="V320" t="n">
        <v>8</v>
      </c>
      <c r="W320" t="inlineStr">
        <is>
          <t>2008-06-02</t>
        </is>
      </c>
      <c r="X320" t="inlineStr">
        <is>
          <t>2008-06-02</t>
        </is>
      </c>
      <c r="Y320" t="inlineStr">
        <is>
          <t>1991-06-24</t>
        </is>
      </c>
      <c r="Z320" t="inlineStr">
        <is>
          <t>1991-06-24</t>
        </is>
      </c>
      <c r="AA320" t="n">
        <v>946</v>
      </c>
      <c r="AB320" t="n">
        <v>742</v>
      </c>
      <c r="AC320" t="n">
        <v>819</v>
      </c>
      <c r="AD320" t="n">
        <v>4</v>
      </c>
      <c r="AE320" t="n">
        <v>4</v>
      </c>
      <c r="AF320" t="n">
        <v>37</v>
      </c>
      <c r="AG320" t="n">
        <v>41</v>
      </c>
      <c r="AH320" t="n">
        <v>15</v>
      </c>
      <c r="AI320" t="n">
        <v>17</v>
      </c>
      <c r="AJ320" t="n">
        <v>6</v>
      </c>
      <c r="AK320" t="n">
        <v>9</v>
      </c>
      <c r="AL320" t="n">
        <v>23</v>
      </c>
      <c r="AM320" t="n">
        <v>24</v>
      </c>
      <c r="AN320" t="n">
        <v>3</v>
      </c>
      <c r="AO320" t="n">
        <v>3</v>
      </c>
      <c r="AP320" t="n">
        <v>0</v>
      </c>
      <c r="AQ320" t="n">
        <v>0</v>
      </c>
      <c r="AR320" t="inlineStr">
        <is>
          <t>No</t>
        </is>
      </c>
      <c r="AS320" t="inlineStr">
        <is>
          <t>No</t>
        </is>
      </c>
      <c r="AU320">
        <f>HYPERLINK("https://creighton-primo.hosted.exlibrisgroup.com/primo-explore/search?tab=default_tab&amp;search_scope=EVERYTHING&amp;vid=01CRU&amp;lang=en_US&amp;offset=0&amp;query=any,contains,991000768729702656","Catalog Record")</f>
        <v/>
      </c>
      <c r="AV320">
        <f>HYPERLINK("http://www.worldcat.org/oclc/13008562","WorldCat Record")</f>
        <v/>
      </c>
      <c r="AW320" t="inlineStr">
        <is>
          <t>874785:eng</t>
        </is>
      </c>
      <c r="AX320" t="inlineStr">
        <is>
          <t>13008562</t>
        </is>
      </c>
      <c r="AY320" t="inlineStr">
        <is>
          <t>991000768729702656</t>
        </is>
      </c>
      <c r="AZ320" t="inlineStr">
        <is>
          <t>991000768729702656</t>
        </is>
      </c>
      <c r="BA320" t="inlineStr">
        <is>
          <t>2265488260002656</t>
        </is>
      </c>
      <c r="BB320" t="inlineStr">
        <is>
          <t>BOOK</t>
        </is>
      </c>
      <c r="BD320" t="inlineStr">
        <is>
          <t>9780262530859</t>
        </is>
      </c>
      <c r="BE320" t="inlineStr">
        <is>
          <t>32285000658475</t>
        </is>
      </c>
      <c r="BF320" t="inlineStr">
        <is>
          <t>893509090</t>
        </is>
      </c>
    </row>
    <row r="321">
      <c r="B321" t="inlineStr">
        <is>
          <t>CURAL</t>
        </is>
      </c>
      <c r="C321" t="inlineStr">
        <is>
          <t>SHELVES</t>
        </is>
      </c>
      <c r="D321" t="inlineStr">
        <is>
          <t>QP360 .C67</t>
        </is>
      </c>
      <c r="E321" t="inlineStr">
        <is>
          <t>0                      QP 0360000C  67</t>
        </is>
      </c>
      <c r="F321" t="inlineStr">
        <is>
          <t>Behavioral neuroscience : an introduction / Carl W. Cotman, James L. McGaugh.</t>
        </is>
      </c>
      <c r="H321" t="inlineStr">
        <is>
          <t>No</t>
        </is>
      </c>
      <c r="I321" t="inlineStr">
        <is>
          <t>1</t>
        </is>
      </c>
      <c r="J321" t="inlineStr">
        <is>
          <t>Yes</t>
        </is>
      </c>
      <c r="K321" t="inlineStr">
        <is>
          <t>No</t>
        </is>
      </c>
      <c r="L321" t="inlineStr">
        <is>
          <t>0</t>
        </is>
      </c>
      <c r="M321" t="inlineStr">
        <is>
          <t>Cotman, Carl W.</t>
        </is>
      </c>
      <c r="N321" t="inlineStr">
        <is>
          <t>New York : Academic Press, c1980.</t>
        </is>
      </c>
      <c r="O321" t="inlineStr">
        <is>
          <t>1980</t>
        </is>
      </c>
      <c r="Q321" t="inlineStr">
        <is>
          <t>eng</t>
        </is>
      </c>
      <c r="R321" t="inlineStr">
        <is>
          <t>nyu</t>
        </is>
      </c>
      <c r="T321" t="inlineStr">
        <is>
          <t xml:space="preserve">QP </t>
        </is>
      </c>
      <c r="U321" t="n">
        <v>6</v>
      </c>
      <c r="V321" t="n">
        <v>14</v>
      </c>
      <c r="W321" t="inlineStr">
        <is>
          <t>1997-03-19</t>
        </is>
      </c>
      <c r="X321" t="inlineStr">
        <is>
          <t>1997-03-19</t>
        </is>
      </c>
      <c r="Y321" t="inlineStr">
        <is>
          <t>1993-03-02</t>
        </is>
      </c>
      <c r="Z321" t="inlineStr">
        <is>
          <t>1993-03-02</t>
        </is>
      </c>
      <c r="AA321" t="n">
        <v>422</v>
      </c>
      <c r="AB321" t="n">
        <v>293</v>
      </c>
      <c r="AC321" t="n">
        <v>338</v>
      </c>
      <c r="AD321" t="n">
        <v>4</v>
      </c>
      <c r="AE321" t="n">
        <v>4</v>
      </c>
      <c r="AF321" t="n">
        <v>14</v>
      </c>
      <c r="AG321" t="n">
        <v>18</v>
      </c>
      <c r="AH321" t="n">
        <v>5</v>
      </c>
      <c r="AI321" t="n">
        <v>7</v>
      </c>
      <c r="AJ321" t="n">
        <v>4</v>
      </c>
      <c r="AK321" t="n">
        <v>5</v>
      </c>
      <c r="AL321" t="n">
        <v>8</v>
      </c>
      <c r="AM321" t="n">
        <v>10</v>
      </c>
      <c r="AN321" t="n">
        <v>2</v>
      </c>
      <c r="AO321" t="n">
        <v>2</v>
      </c>
      <c r="AP321" t="n">
        <v>0</v>
      </c>
      <c r="AQ321" t="n">
        <v>0</v>
      </c>
      <c r="AR321" t="inlineStr">
        <is>
          <t>No</t>
        </is>
      </c>
      <c r="AS321" t="inlineStr">
        <is>
          <t>Yes</t>
        </is>
      </c>
      <c r="AT321">
        <f>HYPERLINK("http://catalog.hathitrust.org/Record/000716579","HathiTrust Record")</f>
        <v/>
      </c>
      <c r="AU321">
        <f>HYPERLINK("https://creighton-primo.hosted.exlibrisgroup.com/primo-explore/search?tab=default_tab&amp;search_scope=EVERYTHING&amp;vid=01CRU&amp;lang=en_US&amp;offset=0&amp;query=any,contains,991001758429702656","Catalog Record")</f>
        <v/>
      </c>
      <c r="AV321">
        <f>HYPERLINK("http://www.worldcat.org/oclc/5008164","WorldCat Record")</f>
        <v/>
      </c>
      <c r="AW321" t="inlineStr">
        <is>
          <t>408801:eng</t>
        </is>
      </c>
      <c r="AX321" t="inlineStr">
        <is>
          <t>5008164</t>
        </is>
      </c>
      <c r="AY321" t="inlineStr">
        <is>
          <t>991001758429702656</t>
        </is>
      </c>
      <c r="AZ321" t="inlineStr">
        <is>
          <t>991001758429702656</t>
        </is>
      </c>
      <c r="BA321" t="inlineStr">
        <is>
          <t>2269277200002656</t>
        </is>
      </c>
      <c r="BB321" t="inlineStr">
        <is>
          <t>BOOK</t>
        </is>
      </c>
      <c r="BD321" t="inlineStr">
        <is>
          <t>9780121916503</t>
        </is>
      </c>
      <c r="BE321" t="inlineStr">
        <is>
          <t>32285001561199</t>
        </is>
      </c>
      <c r="BF321" t="inlineStr">
        <is>
          <t>893328349</t>
        </is>
      </c>
    </row>
    <row r="322">
      <c r="B322" t="inlineStr">
        <is>
          <t>CURAL</t>
        </is>
      </c>
      <c r="C322" t="inlineStr">
        <is>
          <t>SHELVES</t>
        </is>
      </c>
      <c r="D322" t="inlineStr">
        <is>
          <t>QP360 .E466 1995</t>
        </is>
      </c>
      <c r="E322" t="inlineStr">
        <is>
          <t>0                      QP 0360000E  466         1995</t>
        </is>
      </c>
      <c r="F322" t="inlineStr">
        <is>
          <t>Emotion, memory, and behavior : studies on human and nonhuman primates / edited by Teruo Nakajima and Taketoshi Ono.</t>
        </is>
      </c>
      <c r="H322" t="inlineStr">
        <is>
          <t>No</t>
        </is>
      </c>
      <c r="I322" t="inlineStr">
        <is>
          <t>1</t>
        </is>
      </c>
      <c r="J322" t="inlineStr">
        <is>
          <t>No</t>
        </is>
      </c>
      <c r="K322" t="inlineStr">
        <is>
          <t>No</t>
        </is>
      </c>
      <c r="L322" t="inlineStr">
        <is>
          <t>0</t>
        </is>
      </c>
      <c r="N322" t="inlineStr">
        <is>
          <t>Tokyo : Japan Scientific Societies Press ; Boca Raton : CRC Press, c1995.</t>
        </is>
      </c>
      <c r="O322" t="inlineStr">
        <is>
          <t>1995</t>
        </is>
      </c>
      <c r="Q322" t="inlineStr">
        <is>
          <t>eng</t>
        </is>
      </c>
      <c r="R322" t="inlineStr">
        <is>
          <t xml:space="preserve">ja </t>
        </is>
      </c>
      <c r="S322" t="inlineStr">
        <is>
          <t>Taniguchi symposia on brain sciences ; no. 18</t>
        </is>
      </c>
      <c r="T322" t="inlineStr">
        <is>
          <t xml:space="preserve">QP </t>
        </is>
      </c>
      <c r="U322" t="n">
        <v>2</v>
      </c>
      <c r="V322" t="n">
        <v>2</v>
      </c>
      <c r="W322" t="inlineStr">
        <is>
          <t>1997-03-06</t>
        </is>
      </c>
      <c r="X322" t="inlineStr">
        <is>
          <t>1997-03-06</t>
        </is>
      </c>
      <c r="Y322" t="inlineStr">
        <is>
          <t>1996-09-05</t>
        </is>
      </c>
      <c r="Z322" t="inlineStr">
        <is>
          <t>1996-09-05</t>
        </is>
      </c>
      <c r="AA322" t="n">
        <v>115</v>
      </c>
      <c r="AB322" t="n">
        <v>90</v>
      </c>
      <c r="AC322" t="n">
        <v>90</v>
      </c>
      <c r="AD322" t="n">
        <v>2</v>
      </c>
      <c r="AE322" t="n">
        <v>2</v>
      </c>
      <c r="AF322" t="n">
        <v>4</v>
      </c>
      <c r="AG322" t="n">
        <v>4</v>
      </c>
      <c r="AH322" t="n">
        <v>1</v>
      </c>
      <c r="AI322" t="n">
        <v>1</v>
      </c>
      <c r="AJ322" t="n">
        <v>2</v>
      </c>
      <c r="AK322" t="n">
        <v>2</v>
      </c>
      <c r="AL322" t="n">
        <v>2</v>
      </c>
      <c r="AM322" t="n">
        <v>2</v>
      </c>
      <c r="AN322" t="n">
        <v>1</v>
      </c>
      <c r="AO322" t="n">
        <v>1</v>
      </c>
      <c r="AP322" t="n">
        <v>0</v>
      </c>
      <c r="AQ322" t="n">
        <v>0</v>
      </c>
      <c r="AR322" t="inlineStr">
        <is>
          <t>No</t>
        </is>
      </c>
      <c r="AS322" t="inlineStr">
        <is>
          <t>No</t>
        </is>
      </c>
      <c r="AU322">
        <f>HYPERLINK("https://creighton-primo.hosted.exlibrisgroup.com/primo-explore/search?tab=default_tab&amp;search_scope=EVERYTHING&amp;vid=01CRU&amp;lang=en_US&amp;offset=0&amp;query=any,contains,991002533119702656","Catalog Record")</f>
        <v/>
      </c>
      <c r="AV322">
        <f>HYPERLINK("http://www.worldcat.org/oclc/32922779","WorldCat Record")</f>
        <v/>
      </c>
      <c r="AW322" t="inlineStr">
        <is>
          <t>836974674:eng</t>
        </is>
      </c>
      <c r="AX322" t="inlineStr">
        <is>
          <t>32922779</t>
        </is>
      </c>
      <c r="AY322" t="inlineStr">
        <is>
          <t>991002533119702656</t>
        </is>
      </c>
      <c r="AZ322" t="inlineStr">
        <is>
          <t>991002533119702656</t>
        </is>
      </c>
      <c r="BA322" t="inlineStr">
        <is>
          <t>2263999410002656</t>
        </is>
      </c>
      <c r="BB322" t="inlineStr">
        <is>
          <t>BOOK</t>
        </is>
      </c>
      <c r="BD322" t="inlineStr">
        <is>
          <t>9780849377778</t>
        </is>
      </c>
      <c r="BE322" t="inlineStr">
        <is>
          <t>32285002294683</t>
        </is>
      </c>
      <c r="BF322" t="inlineStr">
        <is>
          <t>893517401</t>
        </is>
      </c>
    </row>
    <row r="323">
      <c r="B323" t="inlineStr">
        <is>
          <t>CURAL</t>
        </is>
      </c>
      <c r="C323" t="inlineStr">
        <is>
          <t>SHELVES</t>
        </is>
      </c>
      <c r="D323" t="inlineStr">
        <is>
          <t>QP360 .E9313</t>
        </is>
      </c>
      <c r="E323" t="inlineStr">
        <is>
          <t>0                      QP 0360000E  9313</t>
        </is>
      </c>
      <c r="F323" t="inlineStr">
        <is>
          <t>Neuroethology : an introduction to the neurophysiological fundamentals of behavior / Jörg-Peter Ewert.</t>
        </is>
      </c>
      <c r="H323" t="inlineStr">
        <is>
          <t>No</t>
        </is>
      </c>
      <c r="I323" t="inlineStr">
        <is>
          <t>1</t>
        </is>
      </c>
      <c r="J323" t="inlineStr">
        <is>
          <t>No</t>
        </is>
      </c>
      <c r="K323" t="inlineStr">
        <is>
          <t>No</t>
        </is>
      </c>
      <c r="L323" t="inlineStr">
        <is>
          <t>0</t>
        </is>
      </c>
      <c r="M323" t="inlineStr">
        <is>
          <t>Ewert, Jörg-Peter, 1938-</t>
        </is>
      </c>
      <c r="N323" t="inlineStr">
        <is>
          <t>Berlin ; New York : Springer-Verlag, 1980.</t>
        </is>
      </c>
      <c r="O323" t="inlineStr">
        <is>
          <t>1980</t>
        </is>
      </c>
      <c r="Q323" t="inlineStr">
        <is>
          <t>eng</t>
        </is>
      </c>
      <c r="R323" t="inlineStr">
        <is>
          <t xml:space="preserve">gw </t>
        </is>
      </c>
      <c r="T323" t="inlineStr">
        <is>
          <t xml:space="preserve">QP </t>
        </is>
      </c>
      <c r="U323" t="n">
        <v>2</v>
      </c>
      <c r="V323" t="n">
        <v>2</v>
      </c>
      <c r="W323" t="inlineStr">
        <is>
          <t>1994-08-22</t>
        </is>
      </c>
      <c r="X323" t="inlineStr">
        <is>
          <t>1994-08-22</t>
        </is>
      </c>
      <c r="Y323" t="inlineStr">
        <is>
          <t>1994-03-01</t>
        </is>
      </c>
      <c r="Z323" t="inlineStr">
        <is>
          <t>1994-03-01</t>
        </is>
      </c>
      <c r="AA323" t="n">
        <v>332</v>
      </c>
      <c r="AB323" t="n">
        <v>249</v>
      </c>
      <c r="AC323" t="n">
        <v>268</v>
      </c>
      <c r="AD323" t="n">
        <v>2</v>
      </c>
      <c r="AE323" t="n">
        <v>2</v>
      </c>
      <c r="AF323" t="n">
        <v>12</v>
      </c>
      <c r="AG323" t="n">
        <v>12</v>
      </c>
      <c r="AH323" t="n">
        <v>2</v>
      </c>
      <c r="AI323" t="n">
        <v>2</v>
      </c>
      <c r="AJ323" t="n">
        <v>4</v>
      </c>
      <c r="AK323" t="n">
        <v>4</v>
      </c>
      <c r="AL323" t="n">
        <v>9</v>
      </c>
      <c r="AM323" t="n">
        <v>9</v>
      </c>
      <c r="AN323" t="n">
        <v>1</v>
      </c>
      <c r="AO323" t="n">
        <v>1</v>
      </c>
      <c r="AP323" t="n">
        <v>0</v>
      </c>
      <c r="AQ323" t="n">
        <v>0</v>
      </c>
      <c r="AR323" t="inlineStr">
        <is>
          <t>No</t>
        </is>
      </c>
      <c r="AS323" t="inlineStr">
        <is>
          <t>No</t>
        </is>
      </c>
      <c r="AU323">
        <f>HYPERLINK("https://creighton-primo.hosted.exlibrisgroup.com/primo-explore/search?tab=default_tab&amp;search_scope=EVERYTHING&amp;vid=01CRU&amp;lang=en_US&amp;offset=0&amp;query=any,contains,991004850809702656","Catalog Record")</f>
        <v/>
      </c>
      <c r="AV323">
        <f>HYPERLINK("http://www.worldcat.org/oclc/5608281","WorldCat Record")</f>
        <v/>
      </c>
      <c r="AW323" t="inlineStr">
        <is>
          <t>457188:eng</t>
        </is>
      </c>
      <c r="AX323" t="inlineStr">
        <is>
          <t>5608281</t>
        </is>
      </c>
      <c r="AY323" t="inlineStr">
        <is>
          <t>991004850809702656</t>
        </is>
      </c>
      <c r="AZ323" t="inlineStr">
        <is>
          <t>991004850809702656</t>
        </is>
      </c>
      <c r="BA323" t="inlineStr">
        <is>
          <t>2264501250002656</t>
        </is>
      </c>
      <c r="BB323" t="inlineStr">
        <is>
          <t>BOOK</t>
        </is>
      </c>
      <c r="BD323" t="inlineStr">
        <is>
          <t>9780387097909</t>
        </is>
      </c>
      <c r="BE323" t="inlineStr">
        <is>
          <t>32285001850733</t>
        </is>
      </c>
      <c r="BF323" t="inlineStr">
        <is>
          <t>893713130</t>
        </is>
      </c>
    </row>
    <row r="324">
      <c r="B324" t="inlineStr">
        <is>
          <t>CURAL</t>
        </is>
      </c>
      <c r="C324" t="inlineStr">
        <is>
          <t>SHELVES</t>
        </is>
      </c>
      <c r="D324" t="inlineStr">
        <is>
          <t>QP360 .E966 2003</t>
        </is>
      </c>
      <c r="E324" t="inlineStr">
        <is>
          <t>0                      QP 0360000E  966         2003</t>
        </is>
      </c>
      <c r="F324" t="inlineStr">
        <is>
          <t>Experimental methods in neuropsychology / edited by Kenneth Hugdahl.</t>
        </is>
      </c>
      <c r="H324" t="inlineStr">
        <is>
          <t>No</t>
        </is>
      </c>
      <c r="I324" t="inlineStr">
        <is>
          <t>1</t>
        </is>
      </c>
      <c r="J324" t="inlineStr">
        <is>
          <t>No</t>
        </is>
      </c>
      <c r="K324" t="inlineStr">
        <is>
          <t>No</t>
        </is>
      </c>
      <c r="L324" t="inlineStr">
        <is>
          <t>0</t>
        </is>
      </c>
      <c r="N324" t="inlineStr">
        <is>
          <t>Boston : Kluwer Academic Publishers, c2003.</t>
        </is>
      </c>
      <c r="O324" t="inlineStr">
        <is>
          <t>2003</t>
        </is>
      </c>
      <c r="Q324" t="inlineStr">
        <is>
          <t>eng</t>
        </is>
      </c>
      <c r="R324" t="inlineStr">
        <is>
          <t>mau</t>
        </is>
      </c>
      <c r="S324" t="inlineStr">
        <is>
          <t>Neuropsychology and cognition ; 21</t>
        </is>
      </c>
      <c r="T324" t="inlineStr">
        <is>
          <t xml:space="preserve">QP </t>
        </is>
      </c>
      <c r="U324" t="n">
        <v>2</v>
      </c>
      <c r="V324" t="n">
        <v>2</v>
      </c>
      <c r="W324" t="inlineStr">
        <is>
          <t>2003-03-20</t>
        </is>
      </c>
      <c r="X324" t="inlineStr">
        <is>
          <t>2003-03-20</t>
        </is>
      </c>
      <c r="Y324" t="inlineStr">
        <is>
          <t>2003-03-20</t>
        </is>
      </c>
      <c r="Z324" t="inlineStr">
        <is>
          <t>2003-03-20</t>
        </is>
      </c>
      <c r="AA324" t="n">
        <v>121</v>
      </c>
      <c r="AB324" t="n">
        <v>91</v>
      </c>
      <c r="AC324" t="n">
        <v>116</v>
      </c>
      <c r="AD324" t="n">
        <v>1</v>
      </c>
      <c r="AE324" t="n">
        <v>1</v>
      </c>
      <c r="AF324" t="n">
        <v>2</v>
      </c>
      <c r="AG324" t="n">
        <v>4</v>
      </c>
      <c r="AH324" t="n">
        <v>1</v>
      </c>
      <c r="AI324" t="n">
        <v>3</v>
      </c>
      <c r="AJ324" t="n">
        <v>1</v>
      </c>
      <c r="AK324" t="n">
        <v>1</v>
      </c>
      <c r="AL324" t="n">
        <v>2</v>
      </c>
      <c r="AM324" t="n">
        <v>3</v>
      </c>
      <c r="AN324" t="n">
        <v>0</v>
      </c>
      <c r="AO324" t="n">
        <v>0</v>
      </c>
      <c r="AP324" t="n">
        <v>0</v>
      </c>
      <c r="AQ324" t="n">
        <v>0</v>
      </c>
      <c r="AR324" t="inlineStr">
        <is>
          <t>No</t>
        </is>
      </c>
      <c r="AS324" t="inlineStr">
        <is>
          <t>No</t>
        </is>
      </c>
      <c r="AU324">
        <f>HYPERLINK("https://creighton-primo.hosted.exlibrisgroup.com/primo-explore/search?tab=default_tab&amp;search_scope=EVERYTHING&amp;vid=01CRU&amp;lang=en_US&amp;offset=0&amp;query=any,contains,991003989029702656","Catalog Record")</f>
        <v/>
      </c>
      <c r="AV324">
        <f>HYPERLINK("http://www.worldcat.org/oclc/50253182","WorldCat Record")</f>
        <v/>
      </c>
      <c r="AW324" t="inlineStr">
        <is>
          <t>990870:eng</t>
        </is>
      </c>
      <c r="AX324" t="inlineStr">
        <is>
          <t>50253182</t>
        </is>
      </c>
      <c r="AY324" t="inlineStr">
        <is>
          <t>991003989029702656</t>
        </is>
      </c>
      <c r="AZ324" t="inlineStr">
        <is>
          <t>991003989029702656</t>
        </is>
      </c>
      <c r="BA324" t="inlineStr">
        <is>
          <t>2268835780002656</t>
        </is>
      </c>
      <c r="BB324" t="inlineStr">
        <is>
          <t>BOOK</t>
        </is>
      </c>
      <c r="BD324" t="inlineStr">
        <is>
          <t>9781402072109</t>
        </is>
      </c>
      <c r="BE324" t="inlineStr">
        <is>
          <t>32285004685730</t>
        </is>
      </c>
      <c r="BF324" t="inlineStr">
        <is>
          <t>893423244</t>
        </is>
      </c>
    </row>
    <row r="325">
      <c r="B325" t="inlineStr">
        <is>
          <t>CURAL</t>
        </is>
      </c>
      <c r="C325" t="inlineStr">
        <is>
          <t>SHELVES</t>
        </is>
      </c>
      <c r="D325" t="inlineStr">
        <is>
          <t>QP360 .F715 1995</t>
        </is>
      </c>
      <c r="E325" t="inlineStr">
        <is>
          <t>0                      QP 0360000F  715         1995</t>
        </is>
      </c>
      <c r="F325" t="inlineStr">
        <is>
          <t>Societies of brains : a study in the neuroscience of love and hate / Walter J. Freeman.</t>
        </is>
      </c>
      <c r="H325" t="inlineStr">
        <is>
          <t>No</t>
        </is>
      </c>
      <c r="I325" t="inlineStr">
        <is>
          <t>1</t>
        </is>
      </c>
      <c r="J325" t="inlineStr">
        <is>
          <t>No</t>
        </is>
      </c>
      <c r="K325" t="inlineStr">
        <is>
          <t>No</t>
        </is>
      </c>
      <c r="L325" t="inlineStr">
        <is>
          <t>0</t>
        </is>
      </c>
      <c r="M325" t="inlineStr">
        <is>
          <t>Freeman, Walter J.</t>
        </is>
      </c>
      <c r="N325" t="inlineStr">
        <is>
          <t>Hillsdale, N.J. : Lawrence Erlbaum Associates, 1995.</t>
        </is>
      </c>
      <c r="O325" t="inlineStr">
        <is>
          <t>1995</t>
        </is>
      </c>
      <c r="Q325" t="inlineStr">
        <is>
          <t>eng</t>
        </is>
      </c>
      <c r="R325" t="inlineStr">
        <is>
          <t>nju</t>
        </is>
      </c>
      <c r="S325" t="inlineStr">
        <is>
          <t>The International Neural Networks Society series</t>
        </is>
      </c>
      <c r="T325" t="inlineStr">
        <is>
          <t xml:space="preserve">QP </t>
        </is>
      </c>
      <c r="U325" t="n">
        <v>15</v>
      </c>
      <c r="V325" t="n">
        <v>15</v>
      </c>
      <c r="W325" t="inlineStr">
        <is>
          <t>2007-10-31</t>
        </is>
      </c>
      <c r="X325" t="inlineStr">
        <is>
          <t>2007-10-31</t>
        </is>
      </c>
      <c r="Y325" t="inlineStr">
        <is>
          <t>1996-02-29</t>
        </is>
      </c>
      <c r="Z325" t="inlineStr">
        <is>
          <t>1996-02-29</t>
        </is>
      </c>
      <c r="AA325" t="n">
        <v>300</v>
      </c>
      <c r="AB325" t="n">
        <v>236</v>
      </c>
      <c r="AC325" t="n">
        <v>257</v>
      </c>
      <c r="AD325" t="n">
        <v>1</v>
      </c>
      <c r="AE325" t="n">
        <v>1</v>
      </c>
      <c r="AF325" t="n">
        <v>13</v>
      </c>
      <c r="AG325" t="n">
        <v>13</v>
      </c>
      <c r="AH325" t="n">
        <v>7</v>
      </c>
      <c r="AI325" t="n">
        <v>7</v>
      </c>
      <c r="AJ325" t="n">
        <v>3</v>
      </c>
      <c r="AK325" t="n">
        <v>3</v>
      </c>
      <c r="AL325" t="n">
        <v>8</v>
      </c>
      <c r="AM325" t="n">
        <v>8</v>
      </c>
      <c r="AN325" t="n">
        <v>0</v>
      </c>
      <c r="AO325" t="n">
        <v>0</v>
      </c>
      <c r="AP325" t="n">
        <v>0</v>
      </c>
      <c r="AQ325" t="n">
        <v>0</v>
      </c>
      <c r="AR325" t="inlineStr">
        <is>
          <t>No</t>
        </is>
      </c>
      <c r="AS325" t="inlineStr">
        <is>
          <t>Yes</t>
        </is>
      </c>
      <c r="AT325">
        <f>HYPERLINK("http://catalog.hathitrust.org/Record/003044997","HathiTrust Record")</f>
        <v/>
      </c>
      <c r="AU325">
        <f>HYPERLINK("https://creighton-primo.hosted.exlibrisgroup.com/primo-explore/search?tab=default_tab&amp;search_scope=EVERYTHING&amp;vid=01CRU&amp;lang=en_US&amp;offset=0&amp;query=any,contains,991002460789702656","Catalog Record")</f>
        <v/>
      </c>
      <c r="AV325">
        <f>HYPERLINK("http://www.worldcat.org/oclc/32052881","WorldCat Record")</f>
        <v/>
      </c>
      <c r="AW325" t="inlineStr">
        <is>
          <t>836994016:eng</t>
        </is>
      </c>
      <c r="AX325" t="inlineStr">
        <is>
          <t>32052881</t>
        </is>
      </c>
      <c r="AY325" t="inlineStr">
        <is>
          <t>991002460789702656</t>
        </is>
      </c>
      <c r="AZ325" t="inlineStr">
        <is>
          <t>991002460789702656</t>
        </is>
      </c>
      <c r="BA325" t="inlineStr">
        <is>
          <t>2267069980002656</t>
        </is>
      </c>
      <c r="BB325" t="inlineStr">
        <is>
          <t>BOOK</t>
        </is>
      </c>
      <c r="BD325" t="inlineStr">
        <is>
          <t>9780805820164</t>
        </is>
      </c>
      <c r="BE325" t="inlineStr">
        <is>
          <t>32285002138641</t>
        </is>
      </c>
      <c r="BF325" t="inlineStr">
        <is>
          <t>893798616</t>
        </is>
      </c>
    </row>
    <row r="326">
      <c r="B326" t="inlineStr">
        <is>
          <t>CURAL</t>
        </is>
      </c>
      <c r="C326" t="inlineStr">
        <is>
          <t>SHELVES</t>
        </is>
      </c>
      <c r="D326" t="inlineStr">
        <is>
          <t>QP360 .G55 1989</t>
        </is>
      </c>
      <c r="E326" t="inlineStr">
        <is>
          <t>0                      QP 0360000G  55          1989</t>
        </is>
      </c>
      <c r="F326" t="inlineStr">
        <is>
          <t>Human nature and suffering / Paul Gilbert.</t>
        </is>
      </c>
      <c r="H326" t="inlineStr">
        <is>
          <t>No</t>
        </is>
      </c>
      <c r="I326" t="inlineStr">
        <is>
          <t>1</t>
        </is>
      </c>
      <c r="J326" t="inlineStr">
        <is>
          <t>No</t>
        </is>
      </c>
      <c r="K326" t="inlineStr">
        <is>
          <t>No</t>
        </is>
      </c>
      <c r="L326" t="inlineStr">
        <is>
          <t>0</t>
        </is>
      </c>
      <c r="M326" t="inlineStr">
        <is>
          <t>Gilbert, Paul, 1951 June 20-</t>
        </is>
      </c>
      <c r="N326" t="inlineStr">
        <is>
          <t>Hove : Erlbaum, c1989.</t>
        </is>
      </c>
      <c r="O326" t="inlineStr">
        <is>
          <t>1989</t>
        </is>
      </c>
      <c r="Q326" t="inlineStr">
        <is>
          <t>eng</t>
        </is>
      </c>
      <c r="R326" t="inlineStr">
        <is>
          <t>enk</t>
        </is>
      </c>
      <c r="T326" t="inlineStr">
        <is>
          <t xml:space="preserve">QP </t>
        </is>
      </c>
      <c r="U326" t="n">
        <v>1</v>
      </c>
      <c r="V326" t="n">
        <v>1</v>
      </c>
      <c r="W326" t="inlineStr">
        <is>
          <t>1997-09-29</t>
        </is>
      </c>
      <c r="X326" t="inlineStr">
        <is>
          <t>1997-09-29</t>
        </is>
      </c>
      <c r="Y326" t="inlineStr">
        <is>
          <t>1991-07-17</t>
        </is>
      </c>
      <c r="Z326" t="inlineStr">
        <is>
          <t>1991-07-17</t>
        </is>
      </c>
      <c r="AA326" t="n">
        <v>262</v>
      </c>
      <c r="AB326" t="n">
        <v>182</v>
      </c>
      <c r="AC326" t="n">
        <v>294</v>
      </c>
      <c r="AD326" t="n">
        <v>3</v>
      </c>
      <c r="AE326" t="n">
        <v>3</v>
      </c>
      <c r="AF326" t="n">
        <v>9</v>
      </c>
      <c r="AG326" t="n">
        <v>12</v>
      </c>
      <c r="AH326" t="n">
        <v>2</v>
      </c>
      <c r="AI326" t="n">
        <v>3</v>
      </c>
      <c r="AJ326" t="n">
        <v>1</v>
      </c>
      <c r="AK326" t="n">
        <v>2</v>
      </c>
      <c r="AL326" t="n">
        <v>4</v>
      </c>
      <c r="AM326" t="n">
        <v>7</v>
      </c>
      <c r="AN326" t="n">
        <v>2</v>
      </c>
      <c r="AO326" t="n">
        <v>2</v>
      </c>
      <c r="AP326" t="n">
        <v>0</v>
      </c>
      <c r="AQ326" t="n">
        <v>0</v>
      </c>
      <c r="AR326" t="inlineStr">
        <is>
          <t>No</t>
        </is>
      </c>
      <c r="AS326" t="inlineStr">
        <is>
          <t>No</t>
        </is>
      </c>
      <c r="AU326">
        <f>HYPERLINK("https://creighton-primo.hosted.exlibrisgroup.com/primo-explore/search?tab=default_tab&amp;search_scope=EVERYTHING&amp;vid=01CRU&amp;lang=en_US&amp;offset=0&amp;query=any,contains,991001377729702656","Catalog Record")</f>
        <v/>
      </c>
      <c r="AV326">
        <f>HYPERLINK("http://www.worldcat.org/oclc/18628797","WorldCat Record")</f>
        <v/>
      </c>
      <c r="AW326" t="inlineStr">
        <is>
          <t>17787533:eng</t>
        </is>
      </c>
      <c r="AX326" t="inlineStr">
        <is>
          <t>18628797</t>
        </is>
      </c>
      <c r="AY326" t="inlineStr">
        <is>
          <t>991001377729702656</t>
        </is>
      </c>
      <c r="AZ326" t="inlineStr">
        <is>
          <t>991001377729702656</t>
        </is>
      </c>
      <c r="BA326" t="inlineStr">
        <is>
          <t>2268196870002656</t>
        </is>
      </c>
      <c r="BB326" t="inlineStr">
        <is>
          <t>BOOK</t>
        </is>
      </c>
      <c r="BD326" t="inlineStr">
        <is>
          <t>9780863771163</t>
        </is>
      </c>
      <c r="BE326" t="inlineStr">
        <is>
          <t>32285000661453</t>
        </is>
      </c>
      <c r="BF326" t="inlineStr">
        <is>
          <t>893709211</t>
        </is>
      </c>
    </row>
    <row r="327">
      <c r="B327" t="inlineStr">
        <is>
          <t>CURAL</t>
        </is>
      </c>
      <c r="C327" t="inlineStr">
        <is>
          <t>SHELVES</t>
        </is>
      </c>
      <c r="D327" t="inlineStr">
        <is>
          <t>QP360 .G595 1999</t>
        </is>
      </c>
      <c r="E327" t="inlineStr">
        <is>
          <t>0                      QP 0360000G  595         1999</t>
        </is>
      </c>
      <c r="F327" t="inlineStr">
        <is>
          <t>An anatomy of thought : the origin and machinery of the mind / Ian Glynn.</t>
        </is>
      </c>
      <c r="H327" t="inlineStr">
        <is>
          <t>No</t>
        </is>
      </c>
      <c r="I327" t="inlineStr">
        <is>
          <t>1</t>
        </is>
      </c>
      <c r="J327" t="inlineStr">
        <is>
          <t>No</t>
        </is>
      </c>
      <c r="K327" t="inlineStr">
        <is>
          <t>No</t>
        </is>
      </c>
      <c r="L327" t="inlineStr">
        <is>
          <t>0</t>
        </is>
      </c>
      <c r="M327" t="inlineStr">
        <is>
          <t>Glynn, Ian.</t>
        </is>
      </c>
      <c r="N327" t="inlineStr">
        <is>
          <t>Oxford ; New York : Oxford University Press, c1999.</t>
        </is>
      </c>
      <c r="O327" t="inlineStr">
        <is>
          <t>1999</t>
        </is>
      </c>
      <c r="Q327" t="inlineStr">
        <is>
          <t>eng</t>
        </is>
      </c>
      <c r="R327" t="inlineStr">
        <is>
          <t>enk</t>
        </is>
      </c>
      <c r="T327" t="inlineStr">
        <is>
          <t xml:space="preserve">QP </t>
        </is>
      </c>
      <c r="U327" t="n">
        <v>5</v>
      </c>
      <c r="V327" t="n">
        <v>5</v>
      </c>
      <c r="W327" t="inlineStr">
        <is>
          <t>2003-01-28</t>
        </is>
      </c>
      <c r="X327" t="inlineStr">
        <is>
          <t>2003-01-28</t>
        </is>
      </c>
      <c r="Y327" t="inlineStr">
        <is>
          <t>2000-09-13</t>
        </is>
      </c>
      <c r="Z327" t="inlineStr">
        <is>
          <t>2000-09-13</t>
        </is>
      </c>
      <c r="AA327" t="n">
        <v>540</v>
      </c>
      <c r="AB327" t="n">
        <v>502</v>
      </c>
      <c r="AC327" t="n">
        <v>772</v>
      </c>
      <c r="AD327" t="n">
        <v>4</v>
      </c>
      <c r="AE327" t="n">
        <v>6</v>
      </c>
      <c r="AF327" t="n">
        <v>18</v>
      </c>
      <c r="AG327" t="n">
        <v>22</v>
      </c>
      <c r="AH327" t="n">
        <v>6</v>
      </c>
      <c r="AI327" t="n">
        <v>6</v>
      </c>
      <c r="AJ327" t="n">
        <v>4</v>
      </c>
      <c r="AK327" t="n">
        <v>5</v>
      </c>
      <c r="AL327" t="n">
        <v>11</v>
      </c>
      <c r="AM327" t="n">
        <v>12</v>
      </c>
      <c r="AN327" t="n">
        <v>3</v>
      </c>
      <c r="AO327" t="n">
        <v>5</v>
      </c>
      <c r="AP327" t="n">
        <v>0</v>
      </c>
      <c r="AQ327" t="n">
        <v>0</v>
      </c>
      <c r="AR327" t="inlineStr">
        <is>
          <t>No</t>
        </is>
      </c>
      <c r="AS327" t="inlineStr">
        <is>
          <t>Yes</t>
        </is>
      </c>
      <c r="AT327">
        <f>HYPERLINK("http://catalog.hathitrust.org/Record/004092635","HathiTrust Record")</f>
        <v/>
      </c>
      <c r="AU327">
        <f>HYPERLINK("https://creighton-primo.hosted.exlibrisgroup.com/primo-explore/search?tab=default_tab&amp;search_scope=EVERYTHING&amp;vid=01CRU&amp;lang=en_US&amp;offset=0&amp;query=any,contains,991003249379702656","Catalog Record")</f>
        <v/>
      </c>
      <c r="AV327">
        <f>HYPERLINK("http://www.worldcat.org/oclc/42049228","WorldCat Record")</f>
        <v/>
      </c>
      <c r="AW327" t="inlineStr">
        <is>
          <t>801616296:eng</t>
        </is>
      </c>
      <c r="AX327" t="inlineStr">
        <is>
          <t>42049228</t>
        </is>
      </c>
      <c r="AY327" t="inlineStr">
        <is>
          <t>991003249379702656</t>
        </is>
      </c>
      <c r="AZ327" t="inlineStr">
        <is>
          <t>991003249379702656</t>
        </is>
      </c>
      <c r="BA327" t="inlineStr">
        <is>
          <t>2272002880002656</t>
        </is>
      </c>
      <c r="BB327" t="inlineStr">
        <is>
          <t>BOOK</t>
        </is>
      </c>
      <c r="BD327" t="inlineStr">
        <is>
          <t>9780195136968</t>
        </is>
      </c>
      <c r="BE327" t="inlineStr">
        <is>
          <t>32285003761789</t>
        </is>
      </c>
      <c r="BF327" t="inlineStr">
        <is>
          <t>893780763</t>
        </is>
      </c>
    </row>
    <row r="328">
      <c r="B328" t="inlineStr">
        <is>
          <t>CURAL</t>
        </is>
      </c>
      <c r="C328" t="inlineStr">
        <is>
          <t>SHELVES</t>
        </is>
      </c>
      <c r="D328" t="inlineStr">
        <is>
          <t>QP360 .G73 1994</t>
        </is>
      </c>
      <c r="E328" t="inlineStr">
        <is>
          <t>0                      QP 0360000G  73          1994</t>
        </is>
      </c>
      <c r="F328" t="inlineStr">
        <is>
          <t>Principles of biopsychology / Simon Green.</t>
        </is>
      </c>
      <c r="H328" t="inlineStr">
        <is>
          <t>No</t>
        </is>
      </c>
      <c r="I328" t="inlineStr">
        <is>
          <t>1</t>
        </is>
      </c>
      <c r="J328" t="inlineStr">
        <is>
          <t>No</t>
        </is>
      </c>
      <c r="K328" t="inlineStr">
        <is>
          <t>No</t>
        </is>
      </c>
      <c r="L328" t="inlineStr">
        <is>
          <t>0</t>
        </is>
      </c>
      <c r="M328" t="inlineStr">
        <is>
          <t>Green, Simon, 1947-</t>
        </is>
      </c>
      <c r="N328" t="inlineStr">
        <is>
          <t>Hove : Erlbaum, c1994.</t>
        </is>
      </c>
      <c r="O328" t="inlineStr">
        <is>
          <t>1994</t>
        </is>
      </c>
      <c r="Q328" t="inlineStr">
        <is>
          <t>eng</t>
        </is>
      </c>
      <c r="R328" t="inlineStr">
        <is>
          <t>enk</t>
        </is>
      </c>
      <c r="S328" t="inlineStr">
        <is>
          <t>Principles of psychology</t>
        </is>
      </c>
      <c r="T328" t="inlineStr">
        <is>
          <t xml:space="preserve">QP </t>
        </is>
      </c>
      <c r="U328" t="n">
        <v>13</v>
      </c>
      <c r="V328" t="n">
        <v>13</v>
      </c>
      <c r="W328" t="inlineStr">
        <is>
          <t>2000-04-24</t>
        </is>
      </c>
      <c r="X328" t="inlineStr">
        <is>
          <t>2000-04-24</t>
        </is>
      </c>
      <c r="Y328" t="inlineStr">
        <is>
          <t>1995-05-10</t>
        </is>
      </c>
      <c r="Z328" t="inlineStr">
        <is>
          <t>1995-05-10</t>
        </is>
      </c>
      <c r="AA328" t="n">
        <v>324</v>
      </c>
      <c r="AB328" t="n">
        <v>212</v>
      </c>
      <c r="AC328" t="n">
        <v>236</v>
      </c>
      <c r="AD328" t="n">
        <v>2</v>
      </c>
      <c r="AE328" t="n">
        <v>2</v>
      </c>
      <c r="AF328" t="n">
        <v>11</v>
      </c>
      <c r="AG328" t="n">
        <v>11</v>
      </c>
      <c r="AH328" t="n">
        <v>4</v>
      </c>
      <c r="AI328" t="n">
        <v>4</v>
      </c>
      <c r="AJ328" t="n">
        <v>2</v>
      </c>
      <c r="AK328" t="n">
        <v>2</v>
      </c>
      <c r="AL328" t="n">
        <v>5</v>
      </c>
      <c r="AM328" t="n">
        <v>5</v>
      </c>
      <c r="AN328" t="n">
        <v>1</v>
      </c>
      <c r="AO328" t="n">
        <v>1</v>
      </c>
      <c r="AP328" t="n">
        <v>1</v>
      </c>
      <c r="AQ328" t="n">
        <v>1</v>
      </c>
      <c r="AR328" t="inlineStr">
        <is>
          <t>No</t>
        </is>
      </c>
      <c r="AS328" t="inlineStr">
        <is>
          <t>No</t>
        </is>
      </c>
      <c r="AU328">
        <f>HYPERLINK("https://creighton-primo.hosted.exlibrisgroup.com/primo-explore/search?tab=default_tab&amp;search_scope=EVERYTHING&amp;vid=01CRU&amp;lang=en_US&amp;offset=0&amp;query=any,contains,991002379289702656","Catalog Record")</f>
        <v/>
      </c>
      <c r="AV328">
        <f>HYPERLINK("http://www.worldcat.org/oclc/31902853","WorldCat Record")</f>
        <v/>
      </c>
      <c r="AW328" t="inlineStr">
        <is>
          <t>353628687:eng</t>
        </is>
      </c>
      <c r="AX328" t="inlineStr">
        <is>
          <t>31902853</t>
        </is>
      </c>
      <c r="AY328" t="inlineStr">
        <is>
          <t>991002379289702656</t>
        </is>
      </c>
      <c r="AZ328" t="inlineStr">
        <is>
          <t>991002379289702656</t>
        </is>
      </c>
      <c r="BA328" t="inlineStr">
        <is>
          <t>2272537220002656</t>
        </is>
      </c>
      <c r="BB328" t="inlineStr">
        <is>
          <t>BOOK</t>
        </is>
      </c>
      <c r="BD328" t="inlineStr">
        <is>
          <t>9780863772818</t>
        </is>
      </c>
      <c r="BE328" t="inlineStr">
        <is>
          <t>32285002039310</t>
        </is>
      </c>
      <c r="BF328" t="inlineStr">
        <is>
          <t>893721431</t>
        </is>
      </c>
    </row>
    <row r="329">
      <c r="B329" t="inlineStr">
        <is>
          <t>CURAL</t>
        </is>
      </c>
      <c r="C329" t="inlineStr">
        <is>
          <t>SHELVES</t>
        </is>
      </c>
      <c r="D329" t="inlineStr">
        <is>
          <t>QP360 .G87</t>
        </is>
      </c>
      <c r="E329" t="inlineStr">
        <is>
          <t>0                      QP 0360000G  87</t>
        </is>
      </c>
      <c r="F329" t="inlineStr">
        <is>
          <t>Neuroethology : an introduction / D.M. Guthrie.</t>
        </is>
      </c>
      <c r="H329" t="inlineStr">
        <is>
          <t>No</t>
        </is>
      </c>
      <c r="I329" t="inlineStr">
        <is>
          <t>1</t>
        </is>
      </c>
      <c r="J329" t="inlineStr">
        <is>
          <t>No</t>
        </is>
      </c>
      <c r="K329" t="inlineStr">
        <is>
          <t>No</t>
        </is>
      </c>
      <c r="L329" t="inlineStr">
        <is>
          <t>0</t>
        </is>
      </c>
      <c r="M329" t="inlineStr">
        <is>
          <t>Guthrie, D. M. (David Maltby)</t>
        </is>
      </c>
      <c r="N329" t="inlineStr">
        <is>
          <t>New York : Wiley, 1980.</t>
        </is>
      </c>
      <c r="O329" t="inlineStr">
        <is>
          <t>1980</t>
        </is>
      </c>
      <c r="Q329" t="inlineStr">
        <is>
          <t>eng</t>
        </is>
      </c>
      <c r="R329" t="inlineStr">
        <is>
          <t>nyu</t>
        </is>
      </c>
      <c r="T329" t="inlineStr">
        <is>
          <t xml:space="preserve">QP </t>
        </is>
      </c>
      <c r="U329" t="n">
        <v>14</v>
      </c>
      <c r="V329" t="n">
        <v>14</v>
      </c>
      <c r="W329" t="inlineStr">
        <is>
          <t>1998-11-15</t>
        </is>
      </c>
      <c r="X329" t="inlineStr">
        <is>
          <t>1998-11-15</t>
        </is>
      </c>
      <c r="Y329" t="inlineStr">
        <is>
          <t>1993-03-02</t>
        </is>
      </c>
      <c r="Z329" t="inlineStr">
        <is>
          <t>1993-03-02</t>
        </is>
      </c>
      <c r="AA329" t="n">
        <v>253</v>
      </c>
      <c r="AB329" t="n">
        <v>230</v>
      </c>
      <c r="AC329" t="n">
        <v>256</v>
      </c>
      <c r="AD329" t="n">
        <v>2</v>
      </c>
      <c r="AE329" t="n">
        <v>3</v>
      </c>
      <c r="AF329" t="n">
        <v>11</v>
      </c>
      <c r="AG329" t="n">
        <v>13</v>
      </c>
      <c r="AH329" t="n">
        <v>4</v>
      </c>
      <c r="AI329" t="n">
        <v>4</v>
      </c>
      <c r="AJ329" t="n">
        <v>2</v>
      </c>
      <c r="AK329" t="n">
        <v>2</v>
      </c>
      <c r="AL329" t="n">
        <v>7</v>
      </c>
      <c r="AM329" t="n">
        <v>8</v>
      </c>
      <c r="AN329" t="n">
        <v>1</v>
      </c>
      <c r="AO329" t="n">
        <v>2</v>
      </c>
      <c r="AP329" t="n">
        <v>0</v>
      </c>
      <c r="AQ329" t="n">
        <v>0</v>
      </c>
      <c r="AR329" t="inlineStr">
        <is>
          <t>No</t>
        </is>
      </c>
      <c r="AS329" t="inlineStr">
        <is>
          <t>Yes</t>
        </is>
      </c>
      <c r="AT329">
        <f>HYPERLINK("http://catalog.hathitrust.org/Record/000225269","HathiTrust Record")</f>
        <v/>
      </c>
      <c r="AU329">
        <f>HYPERLINK("https://creighton-primo.hosted.exlibrisgroup.com/primo-explore/search?tab=default_tab&amp;search_scope=EVERYTHING&amp;vid=01CRU&amp;lang=en_US&amp;offset=0&amp;query=any,contains,991005092469702656","Catalog Record")</f>
        <v/>
      </c>
      <c r="AV329">
        <f>HYPERLINK("http://www.worldcat.org/oclc/7245324","WorldCat Record")</f>
        <v/>
      </c>
      <c r="AW329" t="inlineStr">
        <is>
          <t>26266165:eng</t>
        </is>
      </c>
      <c r="AX329" t="inlineStr">
        <is>
          <t>7245324</t>
        </is>
      </c>
      <c r="AY329" t="inlineStr">
        <is>
          <t>991005092469702656</t>
        </is>
      </c>
      <c r="AZ329" t="inlineStr">
        <is>
          <t>991005092469702656</t>
        </is>
      </c>
      <c r="BA329" t="inlineStr">
        <is>
          <t>2269205110002656</t>
        </is>
      </c>
      <c r="BB329" t="inlineStr">
        <is>
          <t>BOOK</t>
        </is>
      </c>
      <c r="BD329" t="inlineStr">
        <is>
          <t>9780470269930</t>
        </is>
      </c>
      <c r="BE329" t="inlineStr">
        <is>
          <t>32285001561223</t>
        </is>
      </c>
      <c r="BF329" t="inlineStr">
        <is>
          <t>893446554</t>
        </is>
      </c>
    </row>
    <row r="330">
      <c r="B330" t="inlineStr">
        <is>
          <t>CURAL</t>
        </is>
      </c>
      <c r="C330" t="inlineStr">
        <is>
          <t>SHELVES</t>
        </is>
      </c>
      <c r="D330" t="inlineStr">
        <is>
          <t>QP360 .H56 2004</t>
        </is>
      </c>
      <c r="E330" t="inlineStr">
        <is>
          <t>0                      QP 0360000H  56          2004</t>
        </is>
      </c>
      <c r="F330" t="inlineStr">
        <is>
          <t>Brain gender / Melissa Hines.</t>
        </is>
      </c>
      <c r="H330" t="inlineStr">
        <is>
          <t>No</t>
        </is>
      </c>
      <c r="I330" t="inlineStr">
        <is>
          <t>1</t>
        </is>
      </c>
      <c r="J330" t="inlineStr">
        <is>
          <t>No</t>
        </is>
      </c>
      <c r="K330" t="inlineStr">
        <is>
          <t>No</t>
        </is>
      </c>
      <c r="L330" t="inlineStr">
        <is>
          <t>0</t>
        </is>
      </c>
      <c r="M330" t="inlineStr">
        <is>
          <t>Hines, Melissa.</t>
        </is>
      </c>
      <c r="N330" t="inlineStr">
        <is>
          <t>New York : Oxford University Press, 2004.</t>
        </is>
      </c>
      <c r="O330" t="inlineStr">
        <is>
          <t>2004</t>
        </is>
      </c>
      <c r="Q330" t="inlineStr">
        <is>
          <t>eng</t>
        </is>
      </c>
      <c r="R330" t="inlineStr">
        <is>
          <t>enk</t>
        </is>
      </c>
      <c r="T330" t="inlineStr">
        <is>
          <t xml:space="preserve">QP </t>
        </is>
      </c>
      <c r="U330" t="n">
        <v>4</v>
      </c>
      <c r="V330" t="n">
        <v>4</v>
      </c>
      <c r="W330" t="inlineStr">
        <is>
          <t>2008-11-18</t>
        </is>
      </c>
      <c r="X330" t="inlineStr">
        <is>
          <t>2008-11-18</t>
        </is>
      </c>
      <c r="Y330" t="inlineStr">
        <is>
          <t>2003-12-08</t>
        </is>
      </c>
      <c r="Z330" t="inlineStr">
        <is>
          <t>2003-12-08</t>
        </is>
      </c>
      <c r="AA330" t="n">
        <v>421</v>
      </c>
      <c r="AB330" t="n">
        <v>310</v>
      </c>
      <c r="AC330" t="n">
        <v>623</v>
      </c>
      <c r="AD330" t="n">
        <v>3</v>
      </c>
      <c r="AE330" t="n">
        <v>13</v>
      </c>
      <c r="AF330" t="n">
        <v>17</v>
      </c>
      <c r="AG330" t="n">
        <v>32</v>
      </c>
      <c r="AH330" t="n">
        <v>6</v>
      </c>
      <c r="AI330" t="n">
        <v>9</v>
      </c>
      <c r="AJ330" t="n">
        <v>4</v>
      </c>
      <c r="AK330" t="n">
        <v>8</v>
      </c>
      <c r="AL330" t="n">
        <v>8</v>
      </c>
      <c r="AM330" t="n">
        <v>9</v>
      </c>
      <c r="AN330" t="n">
        <v>2</v>
      </c>
      <c r="AO330" t="n">
        <v>10</v>
      </c>
      <c r="AP330" t="n">
        <v>0</v>
      </c>
      <c r="AQ330" t="n">
        <v>0</v>
      </c>
      <c r="AR330" t="inlineStr">
        <is>
          <t>No</t>
        </is>
      </c>
      <c r="AS330" t="inlineStr">
        <is>
          <t>No</t>
        </is>
      </c>
      <c r="AU330">
        <f>HYPERLINK("https://creighton-primo.hosted.exlibrisgroup.com/primo-explore/search?tab=default_tab&amp;search_scope=EVERYTHING&amp;vid=01CRU&amp;lang=en_US&amp;offset=0&amp;query=any,contains,991004162849702656","Catalog Record")</f>
        <v/>
      </c>
      <c r="AV330">
        <f>HYPERLINK("http://www.worldcat.org/oclc/51804960","WorldCat Record")</f>
        <v/>
      </c>
      <c r="AW330" t="inlineStr">
        <is>
          <t>661269:eng</t>
        </is>
      </c>
      <c r="AX330" t="inlineStr">
        <is>
          <t>51804960</t>
        </is>
      </c>
      <c r="AY330" t="inlineStr">
        <is>
          <t>991004162849702656</t>
        </is>
      </c>
      <c r="AZ330" t="inlineStr">
        <is>
          <t>991004162849702656</t>
        </is>
      </c>
      <c r="BA330" t="inlineStr">
        <is>
          <t>2270880540002656</t>
        </is>
      </c>
      <c r="BB330" t="inlineStr">
        <is>
          <t>BOOK</t>
        </is>
      </c>
      <c r="BD330" t="inlineStr">
        <is>
          <t>9780195084108</t>
        </is>
      </c>
      <c r="BE330" t="inlineStr">
        <is>
          <t>32285004845136</t>
        </is>
      </c>
      <c r="BF330" t="inlineStr">
        <is>
          <t>893500200</t>
        </is>
      </c>
    </row>
    <row r="331">
      <c r="B331" t="inlineStr">
        <is>
          <t>CURAL</t>
        </is>
      </c>
      <c r="C331" t="inlineStr">
        <is>
          <t>SHELVES</t>
        </is>
      </c>
      <c r="D331" t="inlineStr">
        <is>
          <t>QP360 .J664 1993</t>
        </is>
      </c>
      <c r="E331" t="inlineStr">
        <is>
          <t>0                      QP 0360000J  664         1993</t>
        </is>
      </c>
      <c r="F331" t="inlineStr">
        <is>
          <t>The naked neuron : evolution and the languages of the body and brain / R. Joseph.</t>
        </is>
      </c>
      <c r="H331" t="inlineStr">
        <is>
          <t>No</t>
        </is>
      </c>
      <c r="I331" t="inlineStr">
        <is>
          <t>1</t>
        </is>
      </c>
      <c r="J331" t="inlineStr">
        <is>
          <t>No</t>
        </is>
      </c>
      <c r="K331" t="inlineStr">
        <is>
          <t>No</t>
        </is>
      </c>
      <c r="L331" t="inlineStr">
        <is>
          <t>0</t>
        </is>
      </c>
      <c r="M331" t="inlineStr">
        <is>
          <t>Joseph, Rhawn.</t>
        </is>
      </c>
      <c r="N331" t="inlineStr">
        <is>
          <t>New York : Plenum, c1993.</t>
        </is>
      </c>
      <c r="O331" t="inlineStr">
        <is>
          <t>1993</t>
        </is>
      </c>
      <c r="Q331" t="inlineStr">
        <is>
          <t>eng</t>
        </is>
      </c>
      <c r="R331" t="inlineStr">
        <is>
          <t>nyu</t>
        </is>
      </c>
      <c r="T331" t="inlineStr">
        <is>
          <t xml:space="preserve">QP </t>
        </is>
      </c>
      <c r="U331" t="n">
        <v>6</v>
      </c>
      <c r="V331" t="n">
        <v>6</v>
      </c>
      <c r="W331" t="inlineStr">
        <is>
          <t>1999-10-23</t>
        </is>
      </c>
      <c r="X331" t="inlineStr">
        <is>
          <t>1999-10-23</t>
        </is>
      </c>
      <c r="Y331" t="inlineStr">
        <is>
          <t>1993-12-10</t>
        </is>
      </c>
      <c r="Z331" t="inlineStr">
        <is>
          <t>1993-12-10</t>
        </is>
      </c>
      <c r="AA331" t="n">
        <v>574</v>
      </c>
      <c r="AB331" t="n">
        <v>490</v>
      </c>
      <c r="AC331" t="n">
        <v>514</v>
      </c>
      <c r="AD331" t="n">
        <v>4</v>
      </c>
      <c r="AE331" t="n">
        <v>4</v>
      </c>
      <c r="AF331" t="n">
        <v>20</v>
      </c>
      <c r="AG331" t="n">
        <v>21</v>
      </c>
      <c r="AH331" t="n">
        <v>6</v>
      </c>
      <c r="AI331" t="n">
        <v>7</v>
      </c>
      <c r="AJ331" t="n">
        <v>5</v>
      </c>
      <c r="AK331" t="n">
        <v>5</v>
      </c>
      <c r="AL331" t="n">
        <v>10</v>
      </c>
      <c r="AM331" t="n">
        <v>11</v>
      </c>
      <c r="AN331" t="n">
        <v>3</v>
      </c>
      <c r="AO331" t="n">
        <v>3</v>
      </c>
      <c r="AP331" t="n">
        <v>0</v>
      </c>
      <c r="AQ331" t="n">
        <v>0</v>
      </c>
      <c r="AR331" t="inlineStr">
        <is>
          <t>No</t>
        </is>
      </c>
      <c r="AS331" t="inlineStr">
        <is>
          <t>Yes</t>
        </is>
      </c>
      <c r="AT331">
        <f>HYPERLINK("http://catalog.hathitrust.org/Record/002718287","HathiTrust Record")</f>
        <v/>
      </c>
      <c r="AU331">
        <f>HYPERLINK("https://creighton-primo.hosted.exlibrisgroup.com/primo-explore/search?tab=default_tab&amp;search_scope=EVERYTHING&amp;vid=01CRU&amp;lang=en_US&amp;offset=0&amp;query=any,contains,991002203879702656","Catalog Record")</f>
        <v/>
      </c>
      <c r="AV331">
        <f>HYPERLINK("http://www.worldcat.org/oclc/28345809","WorldCat Record")</f>
        <v/>
      </c>
      <c r="AW331" t="inlineStr">
        <is>
          <t>836839285:eng</t>
        </is>
      </c>
      <c r="AX331" t="inlineStr">
        <is>
          <t>28345809</t>
        </is>
      </c>
      <c r="AY331" t="inlineStr">
        <is>
          <t>991002203879702656</t>
        </is>
      </c>
      <c r="AZ331" t="inlineStr">
        <is>
          <t>991002203879702656</t>
        </is>
      </c>
      <c r="BA331" t="inlineStr">
        <is>
          <t>2262772360002656</t>
        </is>
      </c>
      <c r="BB331" t="inlineStr">
        <is>
          <t>BOOK</t>
        </is>
      </c>
      <c r="BD331" t="inlineStr">
        <is>
          <t>9780306445101</t>
        </is>
      </c>
      <c r="BE331" t="inlineStr">
        <is>
          <t>32285001815041</t>
        </is>
      </c>
      <c r="BF331" t="inlineStr">
        <is>
          <t>893238766</t>
        </is>
      </c>
    </row>
    <row r="332">
      <c r="B332" t="inlineStr">
        <is>
          <t>CURAL</t>
        </is>
      </c>
      <c r="C332" t="inlineStr">
        <is>
          <t>SHELVES</t>
        </is>
      </c>
      <c r="D332" t="inlineStr">
        <is>
          <t>QP360 .K37</t>
        </is>
      </c>
      <c r="E332" t="inlineStr">
        <is>
          <t>0                      QP 0360000K  37</t>
        </is>
      </c>
      <c r="F332" t="inlineStr">
        <is>
          <t>Cellular basis of behavior : an introduction to behavioral neurobiology / Eric R. Kandel.</t>
        </is>
      </c>
      <c r="H332" t="inlineStr">
        <is>
          <t>No</t>
        </is>
      </c>
      <c r="I332" t="inlineStr">
        <is>
          <t>1</t>
        </is>
      </c>
      <c r="J332" t="inlineStr">
        <is>
          <t>No</t>
        </is>
      </c>
      <c r="K332" t="inlineStr">
        <is>
          <t>No</t>
        </is>
      </c>
      <c r="L332" t="inlineStr">
        <is>
          <t>0</t>
        </is>
      </c>
      <c r="M332" t="inlineStr">
        <is>
          <t>Kandel, Eric R.</t>
        </is>
      </c>
      <c r="N332" t="inlineStr">
        <is>
          <t>San Francisco : W. H. Freeman, c1976.</t>
        </is>
      </c>
      <c r="O332" t="inlineStr">
        <is>
          <t>1976</t>
        </is>
      </c>
      <c r="Q332" t="inlineStr">
        <is>
          <t>eng</t>
        </is>
      </c>
      <c r="R332" t="inlineStr">
        <is>
          <t>cau</t>
        </is>
      </c>
      <c r="S332" t="inlineStr">
        <is>
          <t>A Series of books in psychology</t>
        </is>
      </c>
      <c r="T332" t="inlineStr">
        <is>
          <t xml:space="preserve">QP </t>
        </is>
      </c>
      <c r="U332" t="n">
        <v>2</v>
      </c>
      <c r="V332" t="n">
        <v>2</v>
      </c>
      <c r="W332" t="inlineStr">
        <is>
          <t>1997-09-29</t>
        </is>
      </c>
      <c r="X332" t="inlineStr">
        <is>
          <t>1997-09-29</t>
        </is>
      </c>
      <c r="Y332" t="inlineStr">
        <is>
          <t>1997-08-06</t>
        </is>
      </c>
      <c r="Z332" t="inlineStr">
        <is>
          <t>1997-08-06</t>
        </is>
      </c>
      <c r="AA332" t="n">
        <v>683</v>
      </c>
      <c r="AB332" t="n">
        <v>532</v>
      </c>
      <c r="AC332" t="n">
        <v>533</v>
      </c>
      <c r="AD332" t="n">
        <v>4</v>
      </c>
      <c r="AE332" t="n">
        <v>4</v>
      </c>
      <c r="AF332" t="n">
        <v>30</v>
      </c>
      <c r="AG332" t="n">
        <v>30</v>
      </c>
      <c r="AH332" t="n">
        <v>11</v>
      </c>
      <c r="AI332" t="n">
        <v>11</v>
      </c>
      <c r="AJ332" t="n">
        <v>7</v>
      </c>
      <c r="AK332" t="n">
        <v>7</v>
      </c>
      <c r="AL332" t="n">
        <v>16</v>
      </c>
      <c r="AM332" t="n">
        <v>16</v>
      </c>
      <c r="AN332" t="n">
        <v>3</v>
      </c>
      <c r="AO332" t="n">
        <v>3</v>
      </c>
      <c r="AP332" t="n">
        <v>0</v>
      </c>
      <c r="AQ332" t="n">
        <v>0</v>
      </c>
      <c r="AR332" t="inlineStr">
        <is>
          <t>No</t>
        </is>
      </c>
      <c r="AS332" t="inlineStr">
        <is>
          <t>No</t>
        </is>
      </c>
      <c r="AU332">
        <f>HYPERLINK("https://creighton-primo.hosted.exlibrisgroup.com/primo-explore/search?tab=default_tab&amp;search_scope=EVERYTHING&amp;vid=01CRU&amp;lang=en_US&amp;offset=0&amp;query=any,contains,991004011859702656","Catalog Record")</f>
        <v/>
      </c>
      <c r="AV332">
        <f>HYPERLINK("http://www.worldcat.org/oclc/2091665","WorldCat Record")</f>
        <v/>
      </c>
      <c r="AW332" t="inlineStr">
        <is>
          <t>180098417:eng</t>
        </is>
      </c>
      <c r="AX332" t="inlineStr">
        <is>
          <t>2091665</t>
        </is>
      </c>
      <c r="AY332" t="inlineStr">
        <is>
          <t>991004011859702656</t>
        </is>
      </c>
      <c r="AZ332" t="inlineStr">
        <is>
          <t>991004011859702656</t>
        </is>
      </c>
      <c r="BA332" t="inlineStr">
        <is>
          <t>2269304450002656</t>
        </is>
      </c>
      <c r="BB332" t="inlineStr">
        <is>
          <t>BOOK</t>
        </is>
      </c>
      <c r="BD332" t="inlineStr">
        <is>
          <t>9780716705239</t>
        </is>
      </c>
      <c r="BE332" t="inlineStr">
        <is>
          <t>32285003014270</t>
        </is>
      </c>
      <c r="BF332" t="inlineStr">
        <is>
          <t>893718357</t>
        </is>
      </c>
    </row>
    <row r="333">
      <c r="B333" t="inlineStr">
        <is>
          <t>CURAL</t>
        </is>
      </c>
      <c r="C333" t="inlineStr">
        <is>
          <t>SHELVES</t>
        </is>
      </c>
      <c r="D333" t="inlineStr">
        <is>
          <t>QP360 .K49 1988</t>
        </is>
      </c>
      <c r="E333" t="inlineStr">
        <is>
          <t>0                      QP 0360000K  49          1988</t>
        </is>
      </c>
      <c r="F333" t="inlineStr">
        <is>
          <t>Biological psychology / Daniel P. Kimble.</t>
        </is>
      </c>
      <c r="H333" t="inlineStr">
        <is>
          <t>No</t>
        </is>
      </c>
      <c r="I333" t="inlineStr">
        <is>
          <t>1</t>
        </is>
      </c>
      <c r="J333" t="inlineStr">
        <is>
          <t>No</t>
        </is>
      </c>
      <c r="K333" t="inlineStr">
        <is>
          <t>No</t>
        </is>
      </c>
      <c r="L333" t="inlineStr">
        <is>
          <t>0</t>
        </is>
      </c>
      <c r="M333" t="inlineStr">
        <is>
          <t>Kimble, Daniel P. (Daniel Porter)</t>
        </is>
      </c>
      <c r="N333" t="inlineStr">
        <is>
          <t>New York : Holt, Rinehart and Winston, c1988.</t>
        </is>
      </c>
      <c r="O333" t="inlineStr">
        <is>
          <t>1988</t>
        </is>
      </c>
      <c r="Q333" t="inlineStr">
        <is>
          <t>eng</t>
        </is>
      </c>
      <c r="R333" t="inlineStr">
        <is>
          <t>nyu</t>
        </is>
      </c>
      <c r="T333" t="inlineStr">
        <is>
          <t xml:space="preserve">QP </t>
        </is>
      </c>
      <c r="U333" t="n">
        <v>7</v>
      </c>
      <c r="V333" t="n">
        <v>7</v>
      </c>
      <c r="W333" t="inlineStr">
        <is>
          <t>1999-11-03</t>
        </is>
      </c>
      <c r="X333" t="inlineStr">
        <is>
          <t>1999-11-03</t>
        </is>
      </c>
      <c r="Y333" t="inlineStr">
        <is>
          <t>1991-11-12</t>
        </is>
      </c>
      <c r="Z333" t="inlineStr">
        <is>
          <t>1991-11-12</t>
        </is>
      </c>
      <c r="AA333" t="n">
        <v>162</v>
      </c>
      <c r="AB333" t="n">
        <v>104</v>
      </c>
      <c r="AC333" t="n">
        <v>165</v>
      </c>
      <c r="AD333" t="n">
        <v>1</v>
      </c>
      <c r="AE333" t="n">
        <v>1</v>
      </c>
      <c r="AF333" t="n">
        <v>4</v>
      </c>
      <c r="AG333" t="n">
        <v>6</v>
      </c>
      <c r="AH333" t="n">
        <v>1</v>
      </c>
      <c r="AI333" t="n">
        <v>3</v>
      </c>
      <c r="AJ333" t="n">
        <v>1</v>
      </c>
      <c r="AK333" t="n">
        <v>1</v>
      </c>
      <c r="AL333" t="n">
        <v>3</v>
      </c>
      <c r="AM333" t="n">
        <v>4</v>
      </c>
      <c r="AN333" t="n">
        <v>0</v>
      </c>
      <c r="AO333" t="n">
        <v>0</v>
      </c>
      <c r="AP333" t="n">
        <v>0</v>
      </c>
      <c r="AQ333" t="n">
        <v>0</v>
      </c>
      <c r="AR333" t="inlineStr">
        <is>
          <t>No</t>
        </is>
      </c>
      <c r="AS333" t="inlineStr">
        <is>
          <t>No</t>
        </is>
      </c>
      <c r="AU333">
        <f>HYPERLINK("https://creighton-primo.hosted.exlibrisgroup.com/primo-explore/search?tab=default_tab&amp;search_scope=EVERYTHING&amp;vid=01CRU&amp;lang=en_US&amp;offset=0&amp;query=any,contains,991001080209702656","Catalog Record")</f>
        <v/>
      </c>
      <c r="AV333">
        <f>HYPERLINK("http://www.worldcat.org/oclc/16085508","WorldCat Record")</f>
        <v/>
      </c>
      <c r="AW333" t="inlineStr">
        <is>
          <t>3901116768:eng</t>
        </is>
      </c>
      <c r="AX333" t="inlineStr">
        <is>
          <t>16085508</t>
        </is>
      </c>
      <c r="AY333" t="inlineStr">
        <is>
          <t>991001080209702656</t>
        </is>
      </c>
      <c r="AZ333" t="inlineStr">
        <is>
          <t>991001080209702656</t>
        </is>
      </c>
      <c r="BA333" t="inlineStr">
        <is>
          <t>2259290130002656</t>
        </is>
      </c>
      <c r="BB333" t="inlineStr">
        <is>
          <t>BOOK</t>
        </is>
      </c>
      <c r="BD333" t="inlineStr">
        <is>
          <t>9780030696367</t>
        </is>
      </c>
      <c r="BE333" t="inlineStr">
        <is>
          <t>32285000821511</t>
        </is>
      </c>
      <c r="BF333" t="inlineStr">
        <is>
          <t>893346225</t>
        </is>
      </c>
    </row>
    <row r="334">
      <c r="B334" t="inlineStr">
        <is>
          <t>CURAL</t>
        </is>
      </c>
      <c r="C334" t="inlineStr">
        <is>
          <t>SHELVES</t>
        </is>
      </c>
      <c r="D334" t="inlineStr">
        <is>
          <t>QP360 .K64 1985</t>
        </is>
      </c>
      <c r="E334" t="inlineStr">
        <is>
          <t>0                      QP 0360000K  64          1985</t>
        </is>
      </c>
      <c r="F334" t="inlineStr">
        <is>
          <t>Fundamentals of human neuropsychology / Bryan Kolb and Ian Q. Whishaw.</t>
        </is>
      </c>
      <c r="H334" t="inlineStr">
        <is>
          <t>No</t>
        </is>
      </c>
      <c r="I334" t="inlineStr">
        <is>
          <t>1</t>
        </is>
      </c>
      <c r="J334" t="inlineStr">
        <is>
          <t>No</t>
        </is>
      </c>
      <c r="K334" t="inlineStr">
        <is>
          <t>No</t>
        </is>
      </c>
      <c r="L334" t="inlineStr">
        <is>
          <t>0</t>
        </is>
      </c>
      <c r="M334" t="inlineStr">
        <is>
          <t>Kolb, Bryan, 1947-</t>
        </is>
      </c>
      <c r="N334" t="inlineStr">
        <is>
          <t>New York : Freeman, c1985.</t>
        </is>
      </c>
      <c r="O334" t="inlineStr">
        <is>
          <t>1985</t>
        </is>
      </c>
      <c r="P334" t="inlineStr">
        <is>
          <t>2nd ed.</t>
        </is>
      </c>
      <c r="Q334" t="inlineStr">
        <is>
          <t>eng</t>
        </is>
      </c>
      <c r="R334" t="inlineStr">
        <is>
          <t>nyu</t>
        </is>
      </c>
      <c r="S334" t="inlineStr">
        <is>
          <t>A Series of books in psychology</t>
        </is>
      </c>
      <c r="T334" t="inlineStr">
        <is>
          <t xml:space="preserve">QP </t>
        </is>
      </c>
      <c r="U334" t="n">
        <v>3</v>
      </c>
      <c r="V334" t="n">
        <v>3</v>
      </c>
      <c r="W334" t="inlineStr">
        <is>
          <t>2001-09-26</t>
        </is>
      </c>
      <c r="X334" t="inlineStr">
        <is>
          <t>2001-09-26</t>
        </is>
      </c>
      <c r="Y334" t="inlineStr">
        <is>
          <t>1991-11-12</t>
        </is>
      </c>
      <c r="Z334" t="inlineStr">
        <is>
          <t>1991-11-12</t>
        </is>
      </c>
      <c r="AA334" t="n">
        <v>387</v>
      </c>
      <c r="AB334" t="n">
        <v>267</v>
      </c>
      <c r="AC334" t="n">
        <v>785</v>
      </c>
      <c r="AD334" t="n">
        <v>1</v>
      </c>
      <c r="AE334" t="n">
        <v>3</v>
      </c>
      <c r="AF334" t="n">
        <v>14</v>
      </c>
      <c r="AG334" t="n">
        <v>36</v>
      </c>
      <c r="AH334" t="n">
        <v>6</v>
      </c>
      <c r="AI334" t="n">
        <v>19</v>
      </c>
      <c r="AJ334" t="n">
        <v>6</v>
      </c>
      <c r="AK334" t="n">
        <v>7</v>
      </c>
      <c r="AL334" t="n">
        <v>6</v>
      </c>
      <c r="AM334" t="n">
        <v>16</v>
      </c>
      <c r="AN334" t="n">
        <v>0</v>
      </c>
      <c r="AO334" t="n">
        <v>2</v>
      </c>
      <c r="AP334" t="n">
        <v>0</v>
      </c>
      <c r="AQ334" t="n">
        <v>0</v>
      </c>
      <c r="AR334" t="inlineStr">
        <is>
          <t>No</t>
        </is>
      </c>
      <c r="AS334" t="inlineStr">
        <is>
          <t>No</t>
        </is>
      </c>
      <c r="AU334">
        <f>HYPERLINK("https://creighton-primo.hosted.exlibrisgroup.com/primo-explore/search?tab=default_tab&amp;search_scope=EVERYTHING&amp;vid=01CRU&amp;lang=en_US&amp;offset=0&amp;query=any,contains,991000526449702656","Catalog Record")</f>
        <v/>
      </c>
      <c r="AV334">
        <f>HYPERLINK("http://www.worldcat.org/oclc/11371091","WorldCat Record")</f>
        <v/>
      </c>
      <c r="AW334" t="inlineStr">
        <is>
          <t>3907487:eng</t>
        </is>
      </c>
      <c r="AX334" t="inlineStr">
        <is>
          <t>11371091</t>
        </is>
      </c>
      <c r="AY334" t="inlineStr">
        <is>
          <t>991000526449702656</t>
        </is>
      </c>
      <c r="AZ334" t="inlineStr">
        <is>
          <t>991000526449702656</t>
        </is>
      </c>
      <c r="BA334" t="inlineStr">
        <is>
          <t>2258965150002656</t>
        </is>
      </c>
      <c r="BB334" t="inlineStr">
        <is>
          <t>BOOK</t>
        </is>
      </c>
      <c r="BD334" t="inlineStr">
        <is>
          <t>9780716716723</t>
        </is>
      </c>
      <c r="BE334" t="inlineStr">
        <is>
          <t>32285000821610</t>
        </is>
      </c>
      <c r="BF334" t="inlineStr">
        <is>
          <t>893333551</t>
        </is>
      </c>
    </row>
    <row r="335">
      <c r="B335" t="inlineStr">
        <is>
          <t>CURAL</t>
        </is>
      </c>
      <c r="C335" t="inlineStr">
        <is>
          <t>SHELVES</t>
        </is>
      </c>
      <c r="D335" t="inlineStr">
        <is>
          <t>QP360 .M6</t>
        </is>
      </c>
      <c r="E335" t="inlineStr">
        <is>
          <t>0                      QP 0360000M  6</t>
        </is>
      </c>
      <c r="F335" t="inlineStr">
        <is>
          <t>The neurobiology of behavior : an introduction / Gordon J. Mogenson.</t>
        </is>
      </c>
      <c r="H335" t="inlineStr">
        <is>
          <t>No</t>
        </is>
      </c>
      <c r="I335" t="inlineStr">
        <is>
          <t>1</t>
        </is>
      </c>
      <c r="J335" t="inlineStr">
        <is>
          <t>No</t>
        </is>
      </c>
      <c r="K335" t="inlineStr">
        <is>
          <t>No</t>
        </is>
      </c>
      <c r="L335" t="inlineStr">
        <is>
          <t>0</t>
        </is>
      </c>
      <c r="M335" t="inlineStr">
        <is>
          <t>Mogenson, Gordon J., 1931-</t>
        </is>
      </c>
      <c r="N335" t="inlineStr">
        <is>
          <t>Hillsdale, N.J. : L. Erlbaum Associates ; New York : distributed by Halsted Press, 1977.</t>
        </is>
      </c>
      <c r="O335" t="inlineStr">
        <is>
          <t>1977</t>
        </is>
      </c>
      <c r="Q335" t="inlineStr">
        <is>
          <t>eng</t>
        </is>
      </c>
      <c r="R335" t="inlineStr">
        <is>
          <t>nju</t>
        </is>
      </c>
      <c r="T335" t="inlineStr">
        <is>
          <t xml:space="preserve">QP </t>
        </is>
      </c>
      <c r="U335" t="n">
        <v>5</v>
      </c>
      <c r="V335" t="n">
        <v>5</v>
      </c>
      <c r="W335" t="inlineStr">
        <is>
          <t>2003-10-15</t>
        </is>
      </c>
      <c r="X335" t="inlineStr">
        <is>
          <t>2003-10-15</t>
        </is>
      </c>
      <c r="Y335" t="inlineStr">
        <is>
          <t>1994-03-11</t>
        </is>
      </c>
      <c r="Z335" t="inlineStr">
        <is>
          <t>1994-03-11</t>
        </is>
      </c>
      <c r="AA335" t="n">
        <v>367</v>
      </c>
      <c r="AB335" t="n">
        <v>285</v>
      </c>
      <c r="AC335" t="n">
        <v>313</v>
      </c>
      <c r="AD335" t="n">
        <v>2</v>
      </c>
      <c r="AE335" t="n">
        <v>2</v>
      </c>
      <c r="AF335" t="n">
        <v>10</v>
      </c>
      <c r="AG335" t="n">
        <v>10</v>
      </c>
      <c r="AH335" t="n">
        <v>3</v>
      </c>
      <c r="AI335" t="n">
        <v>3</v>
      </c>
      <c r="AJ335" t="n">
        <v>2</v>
      </c>
      <c r="AK335" t="n">
        <v>2</v>
      </c>
      <c r="AL335" t="n">
        <v>8</v>
      </c>
      <c r="AM335" t="n">
        <v>8</v>
      </c>
      <c r="AN335" t="n">
        <v>1</v>
      </c>
      <c r="AO335" t="n">
        <v>1</v>
      </c>
      <c r="AP335" t="n">
        <v>0</v>
      </c>
      <c r="AQ335" t="n">
        <v>0</v>
      </c>
      <c r="AR335" t="inlineStr">
        <is>
          <t>No</t>
        </is>
      </c>
      <c r="AS335" t="inlineStr">
        <is>
          <t>Yes</t>
        </is>
      </c>
      <c r="AT335">
        <f>HYPERLINK("http://catalog.hathitrust.org/Record/000087525","HathiTrust Record")</f>
        <v/>
      </c>
      <c r="AU335">
        <f>HYPERLINK("https://creighton-primo.hosted.exlibrisgroup.com/primo-explore/search?tab=default_tab&amp;search_scope=EVERYTHING&amp;vid=01CRU&amp;lang=en_US&amp;offset=0&amp;query=any,contains,991004446539702656","Catalog Record")</f>
        <v/>
      </c>
      <c r="AV335">
        <f>HYPERLINK("http://www.worldcat.org/oclc/3482004","WorldCat Record")</f>
        <v/>
      </c>
      <c r="AW335" t="inlineStr">
        <is>
          <t>10559760:eng</t>
        </is>
      </c>
      <c r="AX335" t="inlineStr">
        <is>
          <t>3482004</t>
        </is>
      </c>
      <c r="AY335" t="inlineStr">
        <is>
          <t>991004446539702656</t>
        </is>
      </c>
      <c r="AZ335" t="inlineStr">
        <is>
          <t>991004446539702656</t>
        </is>
      </c>
      <c r="BA335" t="inlineStr">
        <is>
          <t>2266331630002656</t>
        </is>
      </c>
      <c r="BB335" t="inlineStr">
        <is>
          <t>BOOK</t>
        </is>
      </c>
      <c r="BD335" t="inlineStr">
        <is>
          <t>9780470993415</t>
        </is>
      </c>
      <c r="BE335" t="inlineStr">
        <is>
          <t>32285001852838</t>
        </is>
      </c>
      <c r="BF335" t="inlineStr">
        <is>
          <t>893325394</t>
        </is>
      </c>
    </row>
    <row r="336">
      <c r="B336" t="inlineStr">
        <is>
          <t>CURAL</t>
        </is>
      </c>
      <c r="C336" t="inlineStr">
        <is>
          <t>SHELVES</t>
        </is>
      </c>
      <c r="D336" t="inlineStr">
        <is>
          <t>QP360 .N4936 1989</t>
        </is>
      </c>
      <c r="E336" t="inlineStr">
        <is>
          <t>0                      QP 0360000N  4936        1989</t>
        </is>
      </c>
      <c r="F336" t="inlineStr">
        <is>
          <t>Neuropsychological function and brain imaging / edited by Erin D. Bigler, Ronald A. Yeo, and Eric Turkheimer.</t>
        </is>
      </c>
      <c r="H336" t="inlineStr">
        <is>
          <t>No</t>
        </is>
      </c>
      <c r="I336" t="inlineStr">
        <is>
          <t>1</t>
        </is>
      </c>
      <c r="J336" t="inlineStr">
        <is>
          <t>No</t>
        </is>
      </c>
      <c r="K336" t="inlineStr">
        <is>
          <t>No</t>
        </is>
      </c>
      <c r="L336" t="inlineStr">
        <is>
          <t>0</t>
        </is>
      </c>
      <c r="N336" t="inlineStr">
        <is>
          <t>New York : Plenum Press, c1989.</t>
        </is>
      </c>
      <c r="O336" t="inlineStr">
        <is>
          <t>1989</t>
        </is>
      </c>
      <c r="Q336" t="inlineStr">
        <is>
          <t>eng</t>
        </is>
      </c>
      <c r="R336" t="inlineStr">
        <is>
          <t>nyu</t>
        </is>
      </c>
      <c r="S336" t="inlineStr">
        <is>
          <t>Critical issues in neuropsychology</t>
        </is>
      </c>
      <c r="T336" t="inlineStr">
        <is>
          <t xml:space="preserve">QP </t>
        </is>
      </c>
      <c r="U336" t="n">
        <v>3</v>
      </c>
      <c r="V336" t="n">
        <v>3</v>
      </c>
      <c r="W336" t="inlineStr">
        <is>
          <t>2004-11-12</t>
        </is>
      </c>
      <c r="X336" t="inlineStr">
        <is>
          <t>2004-11-12</t>
        </is>
      </c>
      <c r="Y336" t="inlineStr">
        <is>
          <t>1990-05-10</t>
        </is>
      </c>
      <c r="Z336" t="inlineStr">
        <is>
          <t>1990-05-10</t>
        </is>
      </c>
      <c r="AA336" t="n">
        <v>271</v>
      </c>
      <c r="AB336" t="n">
        <v>175</v>
      </c>
      <c r="AC336" t="n">
        <v>193</v>
      </c>
      <c r="AD336" t="n">
        <v>2</v>
      </c>
      <c r="AE336" t="n">
        <v>2</v>
      </c>
      <c r="AF336" t="n">
        <v>9</v>
      </c>
      <c r="AG336" t="n">
        <v>9</v>
      </c>
      <c r="AH336" t="n">
        <v>3</v>
      </c>
      <c r="AI336" t="n">
        <v>3</v>
      </c>
      <c r="AJ336" t="n">
        <v>3</v>
      </c>
      <c r="AK336" t="n">
        <v>3</v>
      </c>
      <c r="AL336" t="n">
        <v>5</v>
      </c>
      <c r="AM336" t="n">
        <v>5</v>
      </c>
      <c r="AN336" t="n">
        <v>1</v>
      </c>
      <c r="AO336" t="n">
        <v>1</v>
      </c>
      <c r="AP336" t="n">
        <v>0</v>
      </c>
      <c r="AQ336" t="n">
        <v>0</v>
      </c>
      <c r="AR336" t="inlineStr">
        <is>
          <t>No</t>
        </is>
      </c>
      <c r="AS336" t="inlineStr">
        <is>
          <t>Yes</t>
        </is>
      </c>
      <c r="AT336">
        <f>HYPERLINK("http://catalog.hathitrust.org/Record/002237760","HathiTrust Record")</f>
        <v/>
      </c>
      <c r="AU336">
        <f>HYPERLINK("https://creighton-primo.hosted.exlibrisgroup.com/primo-explore/search?tab=default_tab&amp;search_scope=EVERYTHING&amp;vid=01CRU&amp;lang=en_US&amp;offset=0&amp;query=any,contains,991001416969702656","Catalog Record")</f>
        <v/>
      </c>
      <c r="AV336">
        <f>HYPERLINK("http://www.worldcat.org/oclc/18950152","WorldCat Record")</f>
        <v/>
      </c>
      <c r="AW336" t="inlineStr">
        <is>
          <t>365444294:eng</t>
        </is>
      </c>
      <c r="AX336" t="inlineStr">
        <is>
          <t>18950152</t>
        </is>
      </c>
      <c r="AY336" t="inlineStr">
        <is>
          <t>991001416969702656</t>
        </is>
      </c>
      <c r="AZ336" t="inlineStr">
        <is>
          <t>991001416969702656</t>
        </is>
      </c>
      <c r="BA336" t="inlineStr">
        <is>
          <t>2262485900002656</t>
        </is>
      </c>
      <c r="BB336" t="inlineStr">
        <is>
          <t>BOOK</t>
        </is>
      </c>
      <c r="BD336" t="inlineStr">
        <is>
          <t>9780306430459</t>
        </is>
      </c>
      <c r="BE336" t="inlineStr">
        <is>
          <t>32285000135896</t>
        </is>
      </c>
      <c r="BF336" t="inlineStr">
        <is>
          <t>893244124</t>
        </is>
      </c>
    </row>
    <row r="337">
      <c r="B337" t="inlineStr">
        <is>
          <t>CURAL</t>
        </is>
      </c>
      <c r="C337" t="inlineStr">
        <is>
          <t>SHELVES</t>
        </is>
      </c>
      <c r="D337" t="inlineStr">
        <is>
          <t>QP360 .N4939 1994</t>
        </is>
      </c>
      <c r="E337" t="inlineStr">
        <is>
          <t>0                      QP 0360000N  4939        1994</t>
        </is>
      </c>
      <c r="F337" t="inlineStr">
        <is>
          <t>Neuropsychology / edited by Dahlia W. Zaidel.</t>
        </is>
      </c>
      <c r="H337" t="inlineStr">
        <is>
          <t>No</t>
        </is>
      </c>
      <c r="I337" t="inlineStr">
        <is>
          <t>1</t>
        </is>
      </c>
      <c r="J337" t="inlineStr">
        <is>
          <t>No</t>
        </is>
      </c>
      <c r="K337" t="inlineStr">
        <is>
          <t>No</t>
        </is>
      </c>
      <c r="L337" t="inlineStr">
        <is>
          <t>0</t>
        </is>
      </c>
      <c r="N337" t="inlineStr">
        <is>
          <t>San Diego : Academic Press, c1994.</t>
        </is>
      </c>
      <c r="O337" t="inlineStr">
        <is>
          <t>1994</t>
        </is>
      </c>
      <c r="Q337" t="inlineStr">
        <is>
          <t>eng</t>
        </is>
      </c>
      <c r="R337" t="inlineStr">
        <is>
          <t>cau</t>
        </is>
      </c>
      <c r="S337" t="inlineStr">
        <is>
          <t>Handbook of perception and cognition (2nd ed.)</t>
        </is>
      </c>
      <c r="T337" t="inlineStr">
        <is>
          <t xml:space="preserve">QP </t>
        </is>
      </c>
      <c r="U337" t="n">
        <v>6</v>
      </c>
      <c r="V337" t="n">
        <v>6</v>
      </c>
      <c r="W337" t="inlineStr">
        <is>
          <t>2008-04-01</t>
        </is>
      </c>
      <c r="X337" t="inlineStr">
        <is>
          <t>2008-04-01</t>
        </is>
      </c>
      <c r="Y337" t="inlineStr">
        <is>
          <t>1996-12-12</t>
        </is>
      </c>
      <c r="Z337" t="inlineStr">
        <is>
          <t>1996-12-12</t>
        </is>
      </c>
      <c r="AA337" t="n">
        <v>280</v>
      </c>
      <c r="AB337" t="n">
        <v>192</v>
      </c>
      <c r="AC337" t="n">
        <v>232</v>
      </c>
      <c r="AD337" t="n">
        <v>1</v>
      </c>
      <c r="AE337" t="n">
        <v>2</v>
      </c>
      <c r="AF337" t="n">
        <v>7</v>
      </c>
      <c r="AG337" t="n">
        <v>11</v>
      </c>
      <c r="AH337" t="n">
        <v>2</v>
      </c>
      <c r="AI337" t="n">
        <v>4</v>
      </c>
      <c r="AJ337" t="n">
        <v>3</v>
      </c>
      <c r="AK337" t="n">
        <v>5</v>
      </c>
      <c r="AL337" t="n">
        <v>4</v>
      </c>
      <c r="AM337" t="n">
        <v>4</v>
      </c>
      <c r="AN337" t="n">
        <v>0</v>
      </c>
      <c r="AO337" t="n">
        <v>1</v>
      </c>
      <c r="AP337" t="n">
        <v>0</v>
      </c>
      <c r="AQ337" t="n">
        <v>0</v>
      </c>
      <c r="AR337" t="inlineStr">
        <is>
          <t>No</t>
        </is>
      </c>
      <c r="AS337" t="inlineStr">
        <is>
          <t>Yes</t>
        </is>
      </c>
      <c r="AT337">
        <f>HYPERLINK("http://catalog.hathitrust.org/Record/002905573","HathiTrust Record")</f>
        <v/>
      </c>
      <c r="AU337">
        <f>HYPERLINK("https://creighton-primo.hosted.exlibrisgroup.com/primo-explore/search?tab=default_tab&amp;search_scope=EVERYTHING&amp;vid=01CRU&amp;lang=en_US&amp;offset=0&amp;query=any,contains,991002321809702656","Catalog Record")</f>
        <v/>
      </c>
      <c r="AV337">
        <f>HYPERLINK("http://www.worldcat.org/oclc/30110474","WorldCat Record")</f>
        <v/>
      </c>
      <c r="AW337" t="inlineStr">
        <is>
          <t>55807213:eng</t>
        </is>
      </c>
      <c r="AX337" t="inlineStr">
        <is>
          <t>30110474</t>
        </is>
      </c>
      <c r="AY337" t="inlineStr">
        <is>
          <t>991002321809702656</t>
        </is>
      </c>
      <c r="AZ337" t="inlineStr">
        <is>
          <t>991002321809702656</t>
        </is>
      </c>
      <c r="BA337" t="inlineStr">
        <is>
          <t>2255669720002656</t>
        </is>
      </c>
      <c r="BB337" t="inlineStr">
        <is>
          <t>BOOK</t>
        </is>
      </c>
      <c r="BD337" t="inlineStr">
        <is>
          <t>9780127752907</t>
        </is>
      </c>
      <c r="BE337" t="inlineStr">
        <is>
          <t>32285002393030</t>
        </is>
      </c>
      <c r="BF337" t="inlineStr">
        <is>
          <t>893873368</t>
        </is>
      </c>
    </row>
    <row r="338">
      <c r="B338" t="inlineStr">
        <is>
          <t>CURAL</t>
        </is>
      </c>
      <c r="C338" t="inlineStr">
        <is>
          <t>SHELVES</t>
        </is>
      </c>
      <c r="D338" t="inlineStr">
        <is>
          <t>QP360 .N496 1985</t>
        </is>
      </c>
      <c r="E338" t="inlineStr">
        <is>
          <t>0                      QP 0360000N  496         1985</t>
        </is>
      </c>
      <c r="F338" t="inlineStr">
        <is>
          <t>The Neuropsychology of individual differences : a developmental perspective / edited by Lawrence C. Hartlage and Cathy F. Telzrow.</t>
        </is>
      </c>
      <c r="H338" t="inlineStr">
        <is>
          <t>No</t>
        </is>
      </c>
      <c r="I338" t="inlineStr">
        <is>
          <t>1</t>
        </is>
      </c>
      <c r="J338" t="inlineStr">
        <is>
          <t>No</t>
        </is>
      </c>
      <c r="K338" t="inlineStr">
        <is>
          <t>No</t>
        </is>
      </c>
      <c r="L338" t="inlineStr">
        <is>
          <t>0</t>
        </is>
      </c>
      <c r="N338" t="inlineStr">
        <is>
          <t>New York : Plenum Press, c1985.</t>
        </is>
      </c>
      <c r="O338" t="inlineStr">
        <is>
          <t>1985</t>
        </is>
      </c>
      <c r="Q338" t="inlineStr">
        <is>
          <t>eng</t>
        </is>
      </c>
      <c r="R338" t="inlineStr">
        <is>
          <t>nyu</t>
        </is>
      </c>
      <c r="S338" t="inlineStr">
        <is>
          <t>Perspectives on individual differences</t>
        </is>
      </c>
      <c r="T338" t="inlineStr">
        <is>
          <t xml:space="preserve">QP </t>
        </is>
      </c>
      <c r="U338" t="n">
        <v>1</v>
      </c>
      <c r="V338" t="n">
        <v>1</v>
      </c>
      <c r="W338" t="inlineStr">
        <is>
          <t>1996-11-05</t>
        </is>
      </c>
      <c r="X338" t="inlineStr">
        <is>
          <t>1996-11-05</t>
        </is>
      </c>
      <c r="Y338" t="inlineStr">
        <is>
          <t>1993-03-03</t>
        </is>
      </c>
      <c r="Z338" t="inlineStr">
        <is>
          <t>1993-03-03</t>
        </is>
      </c>
      <c r="AA338" t="n">
        <v>400</v>
      </c>
      <c r="AB338" t="n">
        <v>305</v>
      </c>
      <c r="AC338" t="n">
        <v>319</v>
      </c>
      <c r="AD338" t="n">
        <v>4</v>
      </c>
      <c r="AE338" t="n">
        <v>4</v>
      </c>
      <c r="AF338" t="n">
        <v>14</v>
      </c>
      <c r="AG338" t="n">
        <v>16</v>
      </c>
      <c r="AH338" t="n">
        <v>5</v>
      </c>
      <c r="AI338" t="n">
        <v>7</v>
      </c>
      <c r="AJ338" t="n">
        <v>4</v>
      </c>
      <c r="AK338" t="n">
        <v>4</v>
      </c>
      <c r="AL338" t="n">
        <v>6</v>
      </c>
      <c r="AM338" t="n">
        <v>7</v>
      </c>
      <c r="AN338" t="n">
        <v>3</v>
      </c>
      <c r="AO338" t="n">
        <v>3</v>
      </c>
      <c r="AP338" t="n">
        <v>0</v>
      </c>
      <c r="AQ338" t="n">
        <v>0</v>
      </c>
      <c r="AR338" t="inlineStr">
        <is>
          <t>No</t>
        </is>
      </c>
      <c r="AS338" t="inlineStr">
        <is>
          <t>Yes</t>
        </is>
      </c>
      <c r="AT338">
        <f>HYPERLINK("http://catalog.hathitrust.org/Record/000418596","HathiTrust Record")</f>
        <v/>
      </c>
      <c r="AU338">
        <f>HYPERLINK("https://creighton-primo.hosted.exlibrisgroup.com/primo-explore/search?tab=default_tab&amp;search_scope=EVERYTHING&amp;vid=01CRU&amp;lang=en_US&amp;offset=0&amp;query=any,contains,991000664669702656","Catalog Record")</f>
        <v/>
      </c>
      <c r="AV338">
        <f>HYPERLINK("http://www.worldcat.org/oclc/12262942","WorldCat Record")</f>
        <v/>
      </c>
      <c r="AW338" t="inlineStr">
        <is>
          <t>836721542:eng</t>
        </is>
      </c>
      <c r="AX338" t="inlineStr">
        <is>
          <t>12262942</t>
        </is>
      </c>
      <c r="AY338" t="inlineStr">
        <is>
          <t>991000664669702656</t>
        </is>
      </c>
      <c r="AZ338" t="inlineStr">
        <is>
          <t>991000664669702656</t>
        </is>
      </c>
      <c r="BA338" t="inlineStr">
        <is>
          <t>2270840580002656</t>
        </is>
      </c>
      <c r="BB338" t="inlineStr">
        <is>
          <t>BOOK</t>
        </is>
      </c>
      <c r="BD338" t="inlineStr">
        <is>
          <t>9780306419867</t>
        </is>
      </c>
      <c r="BE338" t="inlineStr">
        <is>
          <t>32285001561355</t>
        </is>
      </c>
      <c r="BF338" t="inlineStr">
        <is>
          <t>893339765</t>
        </is>
      </c>
    </row>
    <row r="339">
      <c r="B339" t="inlineStr">
        <is>
          <t>CURAL</t>
        </is>
      </c>
      <c r="C339" t="inlineStr">
        <is>
          <t>SHELVES</t>
        </is>
      </c>
      <c r="D339" t="inlineStr">
        <is>
          <t>QP360 .R45</t>
        </is>
      </c>
      <c r="E339" t="inlineStr">
        <is>
          <t>0                      QP 0360000R  45</t>
        </is>
      </c>
      <c r="F339" t="inlineStr">
        <is>
          <t>Research in the psychobiology of human behavior / edited by Eugene Meyer III and Joseph V. Brady.</t>
        </is>
      </c>
      <c r="H339" t="inlineStr">
        <is>
          <t>No</t>
        </is>
      </c>
      <c r="I339" t="inlineStr">
        <is>
          <t>1</t>
        </is>
      </c>
      <c r="J339" t="inlineStr">
        <is>
          <t>No</t>
        </is>
      </c>
      <c r="K339" t="inlineStr">
        <is>
          <t>No</t>
        </is>
      </c>
      <c r="L339" t="inlineStr">
        <is>
          <t>0</t>
        </is>
      </c>
      <c r="N339" t="inlineStr">
        <is>
          <t>Baltimore : Johns Hopkins University Press, c1979.</t>
        </is>
      </c>
      <c r="O339" t="inlineStr">
        <is>
          <t>1979</t>
        </is>
      </c>
      <c r="Q339" t="inlineStr">
        <is>
          <t>eng</t>
        </is>
      </c>
      <c r="R339" t="inlineStr">
        <is>
          <t>mdu</t>
        </is>
      </c>
      <c r="T339" t="inlineStr">
        <is>
          <t xml:space="preserve">QP </t>
        </is>
      </c>
      <c r="U339" t="n">
        <v>5</v>
      </c>
      <c r="V339" t="n">
        <v>5</v>
      </c>
      <c r="W339" t="inlineStr">
        <is>
          <t>2005-08-05</t>
        </is>
      </c>
      <c r="X339" t="inlineStr">
        <is>
          <t>2005-08-05</t>
        </is>
      </c>
      <c r="Y339" t="inlineStr">
        <is>
          <t>1993-03-03</t>
        </is>
      </c>
      <c r="Z339" t="inlineStr">
        <is>
          <t>1993-03-03</t>
        </is>
      </c>
      <c r="AA339" t="n">
        <v>258</v>
      </c>
      <c r="AB339" t="n">
        <v>212</v>
      </c>
      <c r="AC339" t="n">
        <v>215</v>
      </c>
      <c r="AD339" t="n">
        <v>2</v>
      </c>
      <c r="AE339" t="n">
        <v>2</v>
      </c>
      <c r="AF339" t="n">
        <v>7</v>
      </c>
      <c r="AG339" t="n">
        <v>7</v>
      </c>
      <c r="AH339" t="n">
        <v>2</v>
      </c>
      <c r="AI339" t="n">
        <v>2</v>
      </c>
      <c r="AJ339" t="n">
        <v>2</v>
      </c>
      <c r="AK339" t="n">
        <v>2</v>
      </c>
      <c r="AL339" t="n">
        <v>5</v>
      </c>
      <c r="AM339" t="n">
        <v>5</v>
      </c>
      <c r="AN339" t="n">
        <v>1</v>
      </c>
      <c r="AO339" t="n">
        <v>1</v>
      </c>
      <c r="AP339" t="n">
        <v>0</v>
      </c>
      <c r="AQ339" t="n">
        <v>0</v>
      </c>
      <c r="AR339" t="inlineStr">
        <is>
          <t>No</t>
        </is>
      </c>
      <c r="AS339" t="inlineStr">
        <is>
          <t>Yes</t>
        </is>
      </c>
      <c r="AT339">
        <f>HYPERLINK("http://catalog.hathitrust.org/Record/000024932","HathiTrust Record")</f>
        <v/>
      </c>
      <c r="AU339">
        <f>HYPERLINK("https://creighton-primo.hosted.exlibrisgroup.com/primo-explore/search?tab=default_tab&amp;search_scope=EVERYTHING&amp;vid=01CRU&amp;lang=en_US&amp;offset=0&amp;query=any,contains,991004745369702656","Catalog Record")</f>
        <v/>
      </c>
      <c r="AV339">
        <f>HYPERLINK("http://www.worldcat.org/oclc/4907818","WorldCat Record")</f>
        <v/>
      </c>
      <c r="AW339" t="inlineStr">
        <is>
          <t>917829462:eng</t>
        </is>
      </c>
      <c r="AX339" t="inlineStr">
        <is>
          <t>4907818</t>
        </is>
      </c>
      <c r="AY339" t="inlineStr">
        <is>
          <t>991004745369702656</t>
        </is>
      </c>
      <c r="AZ339" t="inlineStr">
        <is>
          <t>991004745369702656</t>
        </is>
      </c>
      <c r="BA339" t="inlineStr">
        <is>
          <t>2258733060002656</t>
        </is>
      </c>
      <c r="BB339" t="inlineStr">
        <is>
          <t>BOOK</t>
        </is>
      </c>
      <c r="BD339" t="inlineStr">
        <is>
          <t>9780801822384</t>
        </is>
      </c>
      <c r="BE339" t="inlineStr">
        <is>
          <t>32285001561389</t>
        </is>
      </c>
      <c r="BF339" t="inlineStr">
        <is>
          <t>893882881</t>
        </is>
      </c>
    </row>
    <row r="340">
      <c r="B340" t="inlineStr">
        <is>
          <t>CURAL</t>
        </is>
      </c>
      <c r="C340" t="inlineStr">
        <is>
          <t>SHELVES</t>
        </is>
      </c>
      <c r="D340" t="inlineStr">
        <is>
          <t>QP360 .R48 1982</t>
        </is>
      </c>
      <c r="E340" t="inlineStr">
        <is>
          <t>0                      QP 0360000R  48          1982</t>
        </is>
      </c>
      <c r="F340" t="inlineStr">
        <is>
          <t>Rhythmic aspects of behavior / edited by Frederick M. Brown and R. Curtis Graeber.</t>
        </is>
      </c>
      <c r="H340" t="inlineStr">
        <is>
          <t>No</t>
        </is>
      </c>
      <c r="I340" t="inlineStr">
        <is>
          <t>1</t>
        </is>
      </c>
      <c r="J340" t="inlineStr">
        <is>
          <t>No</t>
        </is>
      </c>
      <c r="K340" t="inlineStr">
        <is>
          <t>No</t>
        </is>
      </c>
      <c r="L340" t="inlineStr">
        <is>
          <t>0</t>
        </is>
      </c>
      <c r="N340" t="inlineStr">
        <is>
          <t>Hillsdale, N.J. : Lawrence Erlbaum Associates, c1982.</t>
        </is>
      </c>
      <c r="O340" t="inlineStr">
        <is>
          <t>1982</t>
        </is>
      </c>
      <c r="Q340" t="inlineStr">
        <is>
          <t>eng</t>
        </is>
      </c>
      <c r="R340" t="inlineStr">
        <is>
          <t>nju</t>
        </is>
      </c>
      <c r="T340" t="inlineStr">
        <is>
          <t xml:space="preserve">QP </t>
        </is>
      </c>
      <c r="U340" t="n">
        <v>3</v>
      </c>
      <c r="V340" t="n">
        <v>3</v>
      </c>
      <c r="W340" t="inlineStr">
        <is>
          <t>1994-04-27</t>
        </is>
      </c>
      <c r="X340" t="inlineStr">
        <is>
          <t>1994-04-27</t>
        </is>
      </c>
      <c r="Y340" t="inlineStr">
        <is>
          <t>1993-03-03</t>
        </is>
      </c>
      <c r="Z340" t="inlineStr">
        <is>
          <t>1993-03-03</t>
        </is>
      </c>
      <c r="AA340" t="n">
        <v>407</v>
      </c>
      <c r="AB340" t="n">
        <v>327</v>
      </c>
      <c r="AC340" t="n">
        <v>355</v>
      </c>
      <c r="AD340" t="n">
        <v>4</v>
      </c>
      <c r="AE340" t="n">
        <v>4</v>
      </c>
      <c r="AF340" t="n">
        <v>19</v>
      </c>
      <c r="AG340" t="n">
        <v>19</v>
      </c>
      <c r="AH340" t="n">
        <v>8</v>
      </c>
      <c r="AI340" t="n">
        <v>8</v>
      </c>
      <c r="AJ340" t="n">
        <v>6</v>
      </c>
      <c r="AK340" t="n">
        <v>6</v>
      </c>
      <c r="AL340" t="n">
        <v>9</v>
      </c>
      <c r="AM340" t="n">
        <v>9</v>
      </c>
      <c r="AN340" t="n">
        <v>3</v>
      </c>
      <c r="AO340" t="n">
        <v>3</v>
      </c>
      <c r="AP340" t="n">
        <v>0</v>
      </c>
      <c r="AQ340" t="n">
        <v>0</v>
      </c>
      <c r="AR340" t="inlineStr">
        <is>
          <t>No</t>
        </is>
      </c>
      <c r="AS340" t="inlineStr">
        <is>
          <t>Yes</t>
        </is>
      </c>
      <c r="AT340">
        <f>HYPERLINK("http://catalog.hathitrust.org/Record/000272446","HathiTrust Record")</f>
        <v/>
      </c>
      <c r="AU340">
        <f>HYPERLINK("https://creighton-primo.hosted.exlibrisgroup.com/primo-explore/search?tab=default_tab&amp;search_scope=EVERYTHING&amp;vid=01CRU&amp;lang=en_US&amp;offset=0&amp;query=any,contains,991005219789702656","Catalog Record")</f>
        <v/>
      </c>
      <c r="AV340">
        <f>HYPERLINK("http://www.worldcat.org/oclc/8220218","WorldCat Record")</f>
        <v/>
      </c>
      <c r="AW340" t="inlineStr">
        <is>
          <t>351001216:eng</t>
        </is>
      </c>
      <c r="AX340" t="inlineStr">
        <is>
          <t>8220218</t>
        </is>
      </c>
      <c r="AY340" t="inlineStr">
        <is>
          <t>991005219789702656</t>
        </is>
      </c>
      <c r="AZ340" t="inlineStr">
        <is>
          <t>991005219789702656</t>
        </is>
      </c>
      <c r="BA340" t="inlineStr">
        <is>
          <t>2268116840002656</t>
        </is>
      </c>
      <c r="BB340" t="inlineStr">
        <is>
          <t>BOOK</t>
        </is>
      </c>
      <c r="BD340" t="inlineStr">
        <is>
          <t>9780898591682</t>
        </is>
      </c>
      <c r="BE340" t="inlineStr">
        <is>
          <t>32285001561397</t>
        </is>
      </c>
      <c r="BF340" t="inlineStr">
        <is>
          <t>893254668</t>
        </is>
      </c>
    </row>
    <row r="341">
      <c r="B341" t="inlineStr">
        <is>
          <t>CURAL</t>
        </is>
      </c>
      <c r="C341" t="inlineStr">
        <is>
          <t>SHELVES</t>
        </is>
      </c>
      <c r="D341" t="inlineStr">
        <is>
          <t>QP360 .R658 1996</t>
        </is>
      </c>
      <c r="E341" t="inlineStr">
        <is>
          <t>0                      QP 0360000R  658         1996</t>
        </is>
      </c>
      <c r="F341" t="inlineStr">
        <is>
          <t>Biological psychology / Mark R. Rosenzweig, Arnold L. Leiman, S. Marc Breedlove.</t>
        </is>
      </c>
      <c r="H341" t="inlineStr">
        <is>
          <t>No</t>
        </is>
      </c>
      <c r="I341" t="inlineStr">
        <is>
          <t>1</t>
        </is>
      </c>
      <c r="J341" t="inlineStr">
        <is>
          <t>No</t>
        </is>
      </c>
      <c r="K341" t="inlineStr">
        <is>
          <t>Yes</t>
        </is>
      </c>
      <c r="L341" t="inlineStr">
        <is>
          <t>0</t>
        </is>
      </c>
      <c r="M341" t="inlineStr">
        <is>
          <t>Rosenzweig, Mark R.</t>
        </is>
      </c>
      <c r="N341" t="inlineStr">
        <is>
          <t>Sunderland, Mass. : Sinauer Associates, c1996.</t>
        </is>
      </c>
      <c r="O341" t="inlineStr">
        <is>
          <t>1996</t>
        </is>
      </c>
      <c r="Q341" t="inlineStr">
        <is>
          <t>eng</t>
        </is>
      </c>
      <c r="R341" t="inlineStr">
        <is>
          <t>mau</t>
        </is>
      </c>
      <c r="T341" t="inlineStr">
        <is>
          <t xml:space="preserve">QP </t>
        </is>
      </c>
      <c r="U341" t="n">
        <v>7</v>
      </c>
      <c r="V341" t="n">
        <v>7</v>
      </c>
      <c r="W341" t="inlineStr">
        <is>
          <t>2006-12-04</t>
        </is>
      </c>
      <c r="X341" t="inlineStr">
        <is>
          <t>2006-12-04</t>
        </is>
      </c>
      <c r="Y341" t="inlineStr">
        <is>
          <t>1996-05-29</t>
        </is>
      </c>
      <c r="Z341" t="inlineStr">
        <is>
          <t>1996-05-29</t>
        </is>
      </c>
      <c r="AA341" t="n">
        <v>183</v>
      </c>
      <c r="AB341" t="n">
        <v>118</v>
      </c>
      <c r="AC341" t="n">
        <v>449</v>
      </c>
      <c r="AD341" t="n">
        <v>1</v>
      </c>
      <c r="AE341" t="n">
        <v>4</v>
      </c>
      <c r="AF341" t="n">
        <v>8</v>
      </c>
      <c r="AG341" t="n">
        <v>15</v>
      </c>
      <c r="AH341" t="n">
        <v>2</v>
      </c>
      <c r="AI341" t="n">
        <v>3</v>
      </c>
      <c r="AJ341" t="n">
        <v>2</v>
      </c>
      <c r="AK341" t="n">
        <v>3</v>
      </c>
      <c r="AL341" t="n">
        <v>6</v>
      </c>
      <c r="AM341" t="n">
        <v>8</v>
      </c>
      <c r="AN341" t="n">
        <v>0</v>
      </c>
      <c r="AO341" t="n">
        <v>3</v>
      </c>
      <c r="AP341" t="n">
        <v>0</v>
      </c>
      <c r="AQ341" t="n">
        <v>0</v>
      </c>
      <c r="AR341" t="inlineStr">
        <is>
          <t>No</t>
        </is>
      </c>
      <c r="AS341" t="inlineStr">
        <is>
          <t>Yes</t>
        </is>
      </c>
      <c r="AT341">
        <f>HYPERLINK("http://catalog.hathitrust.org/Record/003062578","HathiTrust Record")</f>
        <v/>
      </c>
      <c r="AU341">
        <f>HYPERLINK("https://creighton-primo.hosted.exlibrisgroup.com/primo-explore/search?tab=default_tab&amp;search_scope=EVERYTHING&amp;vid=01CRU&amp;lang=en_US&amp;offset=0&amp;query=any,contains,991002591579702656","Catalog Record")</f>
        <v/>
      </c>
      <c r="AV341">
        <f>HYPERLINK("http://www.worldcat.org/oclc/33948955","WorldCat Record")</f>
        <v/>
      </c>
      <c r="AW341" t="inlineStr">
        <is>
          <t>15396790:eng</t>
        </is>
      </c>
      <c r="AX341" t="inlineStr">
        <is>
          <t>33948955</t>
        </is>
      </c>
      <c r="AY341" t="inlineStr">
        <is>
          <t>991002591579702656</t>
        </is>
      </c>
      <c r="AZ341" t="inlineStr">
        <is>
          <t>991002591579702656</t>
        </is>
      </c>
      <c r="BA341" t="inlineStr">
        <is>
          <t>2260769680002656</t>
        </is>
      </c>
      <c r="BB341" t="inlineStr">
        <is>
          <t>BOOK</t>
        </is>
      </c>
      <c r="BD341" t="inlineStr">
        <is>
          <t>9780878937752</t>
        </is>
      </c>
      <c r="BE341" t="inlineStr">
        <is>
          <t>32285002179181</t>
        </is>
      </c>
      <c r="BF341" t="inlineStr">
        <is>
          <t>893251418</t>
        </is>
      </c>
    </row>
    <row r="342">
      <c r="B342" t="inlineStr">
        <is>
          <t>CURAL</t>
        </is>
      </c>
      <c r="C342" t="inlineStr">
        <is>
          <t>SHELVES</t>
        </is>
      </c>
      <c r="D342" t="inlineStr">
        <is>
          <t>QP360 .R658 2002</t>
        </is>
      </c>
      <c r="E342" t="inlineStr">
        <is>
          <t>0                      QP 0360000R  658         2002</t>
        </is>
      </c>
      <c r="F342" t="inlineStr">
        <is>
          <t>Biological psychology : an introduction to behavioral, cognitive, and clinical neuroscience / Mark R. Rosenzweig, S. Marc Breedlove, Arnold L. Leiman.</t>
        </is>
      </c>
      <c r="H342" t="inlineStr">
        <is>
          <t>No</t>
        </is>
      </c>
      <c r="I342" t="inlineStr">
        <is>
          <t>1</t>
        </is>
      </c>
      <c r="J342" t="inlineStr">
        <is>
          <t>No</t>
        </is>
      </c>
      <c r="K342" t="inlineStr">
        <is>
          <t>Yes</t>
        </is>
      </c>
      <c r="L342" t="inlineStr">
        <is>
          <t>0</t>
        </is>
      </c>
      <c r="M342" t="inlineStr">
        <is>
          <t>Rosenzweig, Mark R.</t>
        </is>
      </c>
      <c r="N342" t="inlineStr">
        <is>
          <t>Sunderland, Mass. : Sinauer, c2002.</t>
        </is>
      </c>
      <c r="O342" t="inlineStr">
        <is>
          <t>2002</t>
        </is>
      </c>
      <c r="P342" t="inlineStr">
        <is>
          <t>3rd ed.</t>
        </is>
      </c>
      <c r="Q342" t="inlineStr">
        <is>
          <t>eng</t>
        </is>
      </c>
      <c r="R342" t="inlineStr">
        <is>
          <t>mau</t>
        </is>
      </c>
      <c r="T342" t="inlineStr">
        <is>
          <t xml:space="preserve">QP </t>
        </is>
      </c>
      <c r="U342" t="n">
        <v>9</v>
      </c>
      <c r="V342" t="n">
        <v>9</v>
      </c>
      <c r="W342" t="inlineStr">
        <is>
          <t>2009-08-12</t>
        </is>
      </c>
      <c r="X342" t="inlineStr">
        <is>
          <t>2009-08-12</t>
        </is>
      </c>
      <c r="Y342" t="inlineStr">
        <is>
          <t>2002-11-04</t>
        </is>
      </c>
      <c r="Z342" t="inlineStr">
        <is>
          <t>2002-11-04</t>
        </is>
      </c>
      <c r="AA342" t="n">
        <v>184</v>
      </c>
      <c r="AB342" t="n">
        <v>104</v>
      </c>
      <c r="AC342" t="n">
        <v>449</v>
      </c>
      <c r="AD342" t="n">
        <v>1</v>
      </c>
      <c r="AE342" t="n">
        <v>4</v>
      </c>
      <c r="AF342" t="n">
        <v>2</v>
      </c>
      <c r="AG342" t="n">
        <v>15</v>
      </c>
      <c r="AH342" t="n">
        <v>0</v>
      </c>
      <c r="AI342" t="n">
        <v>3</v>
      </c>
      <c r="AJ342" t="n">
        <v>1</v>
      </c>
      <c r="AK342" t="n">
        <v>3</v>
      </c>
      <c r="AL342" t="n">
        <v>2</v>
      </c>
      <c r="AM342" t="n">
        <v>8</v>
      </c>
      <c r="AN342" t="n">
        <v>0</v>
      </c>
      <c r="AO342" t="n">
        <v>3</v>
      </c>
      <c r="AP342" t="n">
        <v>0</v>
      </c>
      <c r="AQ342" t="n">
        <v>0</v>
      </c>
      <c r="AR342" t="inlineStr">
        <is>
          <t>No</t>
        </is>
      </c>
      <c r="AS342" t="inlineStr">
        <is>
          <t>No</t>
        </is>
      </c>
      <c r="AU342">
        <f>HYPERLINK("https://creighton-primo.hosted.exlibrisgroup.com/primo-explore/search?tab=default_tab&amp;search_scope=EVERYTHING&amp;vid=01CRU&amp;lang=en_US&amp;offset=0&amp;query=any,contains,991003860119702656","Catalog Record")</f>
        <v/>
      </c>
      <c r="AV342">
        <f>HYPERLINK("http://www.worldcat.org/oclc/47119598","WorldCat Record")</f>
        <v/>
      </c>
      <c r="AW342" t="inlineStr">
        <is>
          <t>15396790:eng</t>
        </is>
      </c>
      <c r="AX342" t="inlineStr">
        <is>
          <t>47119598</t>
        </is>
      </c>
      <c r="AY342" t="inlineStr">
        <is>
          <t>991003860119702656</t>
        </is>
      </c>
      <c r="AZ342" t="inlineStr">
        <is>
          <t>991003860119702656</t>
        </is>
      </c>
      <c r="BA342" t="inlineStr">
        <is>
          <t>2256004460002656</t>
        </is>
      </c>
      <c r="BB342" t="inlineStr">
        <is>
          <t>BOOK</t>
        </is>
      </c>
      <c r="BD342" t="inlineStr">
        <is>
          <t>9780878937097</t>
        </is>
      </c>
      <c r="BE342" t="inlineStr">
        <is>
          <t>32285004736814</t>
        </is>
      </c>
      <c r="BF342" t="inlineStr">
        <is>
          <t>893349288</t>
        </is>
      </c>
    </row>
    <row r="343">
      <c r="B343" t="inlineStr">
        <is>
          <t>CURAL</t>
        </is>
      </c>
      <c r="C343" t="inlineStr">
        <is>
          <t>SHELVES</t>
        </is>
      </c>
      <c r="D343" t="inlineStr">
        <is>
          <t>QP360 .Y68 1987</t>
        </is>
      </c>
      <c r="E343" t="inlineStr">
        <is>
          <t>0                      QP 0360000Y  68          1987</t>
        </is>
      </c>
      <c r="F343" t="inlineStr">
        <is>
          <t>Philosophy and the brain / J.Z. Young.</t>
        </is>
      </c>
      <c r="H343" t="inlineStr">
        <is>
          <t>No</t>
        </is>
      </c>
      <c r="I343" t="inlineStr">
        <is>
          <t>1</t>
        </is>
      </c>
      <c r="J343" t="inlineStr">
        <is>
          <t>No</t>
        </is>
      </c>
      <c r="K343" t="inlineStr">
        <is>
          <t>No</t>
        </is>
      </c>
      <c r="L343" t="inlineStr">
        <is>
          <t>0</t>
        </is>
      </c>
      <c r="M343" t="inlineStr">
        <is>
          <t>Young, J. Z. (John Zachary), 1907-1997.</t>
        </is>
      </c>
      <c r="N343" t="inlineStr">
        <is>
          <t>Oxford [Oxfordshire] ; New York : Oxford University Press, 1987.</t>
        </is>
      </c>
      <c r="O343" t="inlineStr">
        <is>
          <t>1987</t>
        </is>
      </c>
      <c r="Q343" t="inlineStr">
        <is>
          <t>eng</t>
        </is>
      </c>
      <c r="R343" t="inlineStr">
        <is>
          <t>enk</t>
        </is>
      </c>
      <c r="S343" t="inlineStr">
        <is>
          <t>An OPUS book</t>
        </is>
      </c>
      <c r="T343" t="inlineStr">
        <is>
          <t xml:space="preserve">QP </t>
        </is>
      </c>
      <c r="U343" t="n">
        <v>4</v>
      </c>
      <c r="V343" t="n">
        <v>4</v>
      </c>
      <c r="W343" t="inlineStr">
        <is>
          <t>2003-05-04</t>
        </is>
      </c>
      <c r="X343" t="inlineStr">
        <is>
          <t>2003-05-04</t>
        </is>
      </c>
      <c r="Y343" t="inlineStr">
        <is>
          <t>1993-03-03</t>
        </is>
      </c>
      <c r="Z343" t="inlineStr">
        <is>
          <t>1993-03-03</t>
        </is>
      </c>
      <c r="AA343" t="n">
        <v>568</v>
      </c>
      <c r="AB343" t="n">
        <v>427</v>
      </c>
      <c r="AC343" t="n">
        <v>478</v>
      </c>
      <c r="AD343" t="n">
        <v>4</v>
      </c>
      <c r="AE343" t="n">
        <v>5</v>
      </c>
      <c r="AF343" t="n">
        <v>24</v>
      </c>
      <c r="AG343" t="n">
        <v>29</v>
      </c>
      <c r="AH343" t="n">
        <v>8</v>
      </c>
      <c r="AI343" t="n">
        <v>10</v>
      </c>
      <c r="AJ343" t="n">
        <v>6</v>
      </c>
      <c r="AK343" t="n">
        <v>6</v>
      </c>
      <c r="AL343" t="n">
        <v>16</v>
      </c>
      <c r="AM343" t="n">
        <v>19</v>
      </c>
      <c r="AN343" t="n">
        <v>3</v>
      </c>
      <c r="AO343" t="n">
        <v>4</v>
      </c>
      <c r="AP343" t="n">
        <v>0</v>
      </c>
      <c r="AQ343" t="n">
        <v>0</v>
      </c>
      <c r="AR343" t="inlineStr">
        <is>
          <t>No</t>
        </is>
      </c>
      <c r="AS343" t="inlineStr">
        <is>
          <t>Yes</t>
        </is>
      </c>
      <c r="AT343">
        <f>HYPERLINK("http://catalog.hathitrust.org/Record/000806261","HathiTrust Record")</f>
        <v/>
      </c>
      <c r="AU343">
        <f>HYPERLINK("https://creighton-primo.hosted.exlibrisgroup.com/primo-explore/search?tab=default_tab&amp;search_scope=EVERYTHING&amp;vid=01CRU&amp;lang=en_US&amp;offset=0&amp;query=any,contains,991000867479702656","Catalog Record")</f>
        <v/>
      </c>
      <c r="AV343">
        <f>HYPERLINK("http://www.worldcat.org/oclc/13760742","WorldCat Record")</f>
        <v/>
      </c>
      <c r="AW343" t="inlineStr">
        <is>
          <t>61146772:eng</t>
        </is>
      </c>
      <c r="AX343" t="inlineStr">
        <is>
          <t>13760742</t>
        </is>
      </c>
      <c r="AY343" t="inlineStr">
        <is>
          <t>991000867479702656</t>
        </is>
      </c>
      <c r="AZ343" t="inlineStr">
        <is>
          <t>991000867479702656</t>
        </is>
      </c>
      <c r="BA343" t="inlineStr">
        <is>
          <t>2266191660002656</t>
        </is>
      </c>
      <c r="BB343" t="inlineStr">
        <is>
          <t>BOOK</t>
        </is>
      </c>
      <c r="BD343" t="inlineStr">
        <is>
          <t>9780192192158</t>
        </is>
      </c>
      <c r="BE343" t="inlineStr">
        <is>
          <t>32285001561454</t>
        </is>
      </c>
      <c r="BF343" t="inlineStr">
        <is>
          <t>893620870</t>
        </is>
      </c>
    </row>
    <row r="344">
      <c r="B344" t="inlineStr">
        <is>
          <t>CURAL</t>
        </is>
      </c>
      <c r="C344" t="inlineStr">
        <is>
          <t>SHELVES</t>
        </is>
      </c>
      <c r="D344" t="inlineStr">
        <is>
          <t>QP360.5 .B465 2003</t>
        </is>
      </c>
      <c r="E344" t="inlineStr">
        <is>
          <t>0                      QP 0360500B  465         2003</t>
        </is>
      </c>
      <c r="F344" t="inlineStr">
        <is>
          <t>Philosophical foundations of neuroscience / M.R. Bennett and P.M.S. Hacker.</t>
        </is>
      </c>
      <c r="H344" t="inlineStr">
        <is>
          <t>No</t>
        </is>
      </c>
      <c r="I344" t="inlineStr">
        <is>
          <t>1</t>
        </is>
      </c>
      <c r="J344" t="inlineStr">
        <is>
          <t>No</t>
        </is>
      </c>
      <c r="K344" t="inlineStr">
        <is>
          <t>No</t>
        </is>
      </c>
      <c r="L344" t="inlineStr">
        <is>
          <t>0</t>
        </is>
      </c>
      <c r="M344" t="inlineStr">
        <is>
          <t>Bennett, M. R.</t>
        </is>
      </c>
      <c r="N344" t="inlineStr">
        <is>
          <t>Malden, MA : Blackwell Pub., 2003.</t>
        </is>
      </c>
      <c r="O344" t="inlineStr">
        <is>
          <t>2003</t>
        </is>
      </c>
      <c r="Q344" t="inlineStr">
        <is>
          <t>eng</t>
        </is>
      </c>
      <c r="R344" t="inlineStr">
        <is>
          <t>mau</t>
        </is>
      </c>
      <c r="T344" t="inlineStr">
        <is>
          <t xml:space="preserve">QP </t>
        </is>
      </c>
      <c r="U344" t="n">
        <v>1</v>
      </c>
      <c r="V344" t="n">
        <v>1</v>
      </c>
      <c r="W344" t="inlineStr">
        <is>
          <t>2004-11-01</t>
        </is>
      </c>
      <c r="X344" t="inlineStr">
        <is>
          <t>2004-11-01</t>
        </is>
      </c>
      <c r="Y344" t="inlineStr">
        <is>
          <t>2004-11-01</t>
        </is>
      </c>
      <c r="Z344" t="inlineStr">
        <is>
          <t>2004-11-01</t>
        </is>
      </c>
      <c r="AA344" t="n">
        <v>372</v>
      </c>
      <c r="AB344" t="n">
        <v>223</v>
      </c>
      <c r="AC344" t="n">
        <v>224</v>
      </c>
      <c r="AD344" t="n">
        <v>2</v>
      </c>
      <c r="AE344" t="n">
        <v>2</v>
      </c>
      <c r="AF344" t="n">
        <v>12</v>
      </c>
      <c r="AG344" t="n">
        <v>12</v>
      </c>
      <c r="AH344" t="n">
        <v>3</v>
      </c>
      <c r="AI344" t="n">
        <v>3</v>
      </c>
      <c r="AJ344" t="n">
        <v>6</v>
      </c>
      <c r="AK344" t="n">
        <v>6</v>
      </c>
      <c r="AL344" t="n">
        <v>7</v>
      </c>
      <c r="AM344" t="n">
        <v>7</v>
      </c>
      <c r="AN344" t="n">
        <v>1</v>
      </c>
      <c r="AO344" t="n">
        <v>1</v>
      </c>
      <c r="AP344" t="n">
        <v>0</v>
      </c>
      <c r="AQ344" t="n">
        <v>0</v>
      </c>
      <c r="AR344" t="inlineStr">
        <is>
          <t>No</t>
        </is>
      </c>
      <c r="AS344" t="inlineStr">
        <is>
          <t>No</t>
        </is>
      </c>
      <c r="AU344">
        <f>HYPERLINK("https://creighton-primo.hosted.exlibrisgroup.com/primo-explore/search?tab=default_tab&amp;search_scope=EVERYTHING&amp;vid=01CRU&amp;lang=en_US&amp;offset=0&amp;query=any,contains,991004380069702656","Catalog Record")</f>
        <v/>
      </c>
      <c r="AV344">
        <f>HYPERLINK("http://www.worldcat.org/oclc/50410325","WorldCat Record")</f>
        <v/>
      </c>
      <c r="AW344" t="inlineStr">
        <is>
          <t>991839:eng</t>
        </is>
      </c>
      <c r="AX344" t="inlineStr">
        <is>
          <t>50410325</t>
        </is>
      </c>
      <c r="AY344" t="inlineStr">
        <is>
          <t>991004380069702656</t>
        </is>
      </c>
      <c r="AZ344" t="inlineStr">
        <is>
          <t>991004380069702656</t>
        </is>
      </c>
      <c r="BA344" t="inlineStr">
        <is>
          <t>2262242660002656</t>
        </is>
      </c>
      <c r="BB344" t="inlineStr">
        <is>
          <t>BOOK</t>
        </is>
      </c>
      <c r="BD344" t="inlineStr">
        <is>
          <t>9781405108386</t>
        </is>
      </c>
      <c r="BE344" t="inlineStr">
        <is>
          <t>32285005007868</t>
        </is>
      </c>
      <c r="BF344" t="inlineStr">
        <is>
          <t>893423722</t>
        </is>
      </c>
    </row>
    <row r="345">
      <c r="B345" t="inlineStr">
        <is>
          <t>CURAL</t>
        </is>
      </c>
      <c r="C345" t="inlineStr">
        <is>
          <t>SHELVES</t>
        </is>
      </c>
      <c r="D345" t="inlineStr">
        <is>
          <t>QP360.5 .C638 1997</t>
        </is>
      </c>
      <c r="E345" t="inlineStr">
        <is>
          <t>0                      QP 0360500C  638         1997</t>
        </is>
      </c>
      <c r="F345" t="inlineStr">
        <is>
          <t>Cognitive neuroscience / edited by Michael D. Rugg.</t>
        </is>
      </c>
      <c r="H345" t="inlineStr">
        <is>
          <t>No</t>
        </is>
      </c>
      <c r="I345" t="inlineStr">
        <is>
          <t>1</t>
        </is>
      </c>
      <c r="J345" t="inlineStr">
        <is>
          <t>No</t>
        </is>
      </c>
      <c r="K345" t="inlineStr">
        <is>
          <t>No</t>
        </is>
      </c>
      <c r="L345" t="inlineStr">
        <is>
          <t>0</t>
        </is>
      </c>
      <c r="N345" t="inlineStr">
        <is>
          <t>Cambridge, Mass. : MIT Press, 1997.</t>
        </is>
      </c>
      <c r="O345" t="inlineStr">
        <is>
          <t>1997</t>
        </is>
      </c>
      <c r="P345" t="inlineStr">
        <is>
          <t>1st MIT Press ed.</t>
        </is>
      </c>
      <c r="Q345" t="inlineStr">
        <is>
          <t>eng</t>
        </is>
      </c>
      <c r="R345" t="inlineStr">
        <is>
          <t>mau</t>
        </is>
      </c>
      <c r="S345" t="inlineStr">
        <is>
          <t>Studies in cognition</t>
        </is>
      </c>
      <c r="T345" t="inlineStr">
        <is>
          <t xml:space="preserve">QP </t>
        </is>
      </c>
      <c r="U345" t="n">
        <v>1</v>
      </c>
      <c r="V345" t="n">
        <v>1</v>
      </c>
      <c r="W345" t="inlineStr">
        <is>
          <t>2006-11-19</t>
        </is>
      </c>
      <c r="X345" t="inlineStr">
        <is>
          <t>2006-11-19</t>
        </is>
      </c>
      <c r="Y345" t="inlineStr">
        <is>
          <t>1999-03-22</t>
        </is>
      </c>
      <c r="Z345" t="inlineStr">
        <is>
          <t>1999-03-22</t>
        </is>
      </c>
      <c r="AA345" t="n">
        <v>315</v>
      </c>
      <c r="AB345" t="n">
        <v>242</v>
      </c>
      <c r="AC345" t="n">
        <v>270</v>
      </c>
      <c r="AD345" t="n">
        <v>3</v>
      </c>
      <c r="AE345" t="n">
        <v>3</v>
      </c>
      <c r="AF345" t="n">
        <v>12</v>
      </c>
      <c r="AG345" t="n">
        <v>12</v>
      </c>
      <c r="AH345" t="n">
        <v>0</v>
      </c>
      <c r="AI345" t="n">
        <v>0</v>
      </c>
      <c r="AJ345" t="n">
        <v>5</v>
      </c>
      <c r="AK345" t="n">
        <v>5</v>
      </c>
      <c r="AL345" t="n">
        <v>7</v>
      </c>
      <c r="AM345" t="n">
        <v>7</v>
      </c>
      <c r="AN345" t="n">
        <v>2</v>
      </c>
      <c r="AO345" t="n">
        <v>2</v>
      </c>
      <c r="AP345" t="n">
        <v>0</v>
      </c>
      <c r="AQ345" t="n">
        <v>0</v>
      </c>
      <c r="AR345" t="inlineStr">
        <is>
          <t>No</t>
        </is>
      </c>
      <c r="AS345" t="inlineStr">
        <is>
          <t>No</t>
        </is>
      </c>
      <c r="AU345">
        <f>HYPERLINK("https://creighton-primo.hosted.exlibrisgroup.com/primo-explore/search?tab=default_tab&amp;search_scope=EVERYTHING&amp;vid=01CRU&amp;lang=en_US&amp;offset=0&amp;query=any,contains,991002727119702656","Catalog Record")</f>
        <v/>
      </c>
      <c r="AV345">
        <f>HYPERLINK("http://www.worldcat.org/oclc/35770854","WorldCat Record")</f>
        <v/>
      </c>
      <c r="AW345" t="inlineStr">
        <is>
          <t>56116603:eng</t>
        </is>
      </c>
      <c r="AX345" t="inlineStr">
        <is>
          <t>35770854</t>
        </is>
      </c>
      <c r="AY345" t="inlineStr">
        <is>
          <t>991002727119702656</t>
        </is>
      </c>
      <c r="AZ345" t="inlineStr">
        <is>
          <t>991002727119702656</t>
        </is>
      </c>
      <c r="BA345" t="inlineStr">
        <is>
          <t>2270809700002656</t>
        </is>
      </c>
      <c r="BB345" t="inlineStr">
        <is>
          <t>BOOK</t>
        </is>
      </c>
      <c r="BD345" t="inlineStr">
        <is>
          <t>9780262181815</t>
        </is>
      </c>
      <c r="BE345" t="inlineStr">
        <is>
          <t>32285003534160</t>
        </is>
      </c>
      <c r="BF345" t="inlineStr">
        <is>
          <t>893780139</t>
        </is>
      </c>
    </row>
    <row r="346">
      <c r="B346" t="inlineStr">
        <is>
          <t>CURAL</t>
        </is>
      </c>
      <c r="C346" t="inlineStr">
        <is>
          <t>SHELVES</t>
        </is>
      </c>
      <c r="D346" t="inlineStr">
        <is>
          <t>QP360.5 .E966 2006</t>
        </is>
      </c>
      <c r="E346" t="inlineStr">
        <is>
          <t>0                      QP 0360500E  966         2006</t>
        </is>
      </c>
      <c r="F346" t="inlineStr">
        <is>
          <t>Evolution and culture : a Fyssen Foundation symposium / edited by Stephen C. Levinson and Pierre Jaisson.</t>
        </is>
      </c>
      <c r="H346" t="inlineStr">
        <is>
          <t>No</t>
        </is>
      </c>
      <c r="I346" t="inlineStr">
        <is>
          <t>1</t>
        </is>
      </c>
      <c r="J346" t="inlineStr">
        <is>
          <t>No</t>
        </is>
      </c>
      <c r="K346" t="inlineStr">
        <is>
          <t>No</t>
        </is>
      </c>
      <c r="L346" t="inlineStr">
        <is>
          <t>0</t>
        </is>
      </c>
      <c r="N346" t="inlineStr">
        <is>
          <t>Cambridge, Mass. : MIT Press, c2006.</t>
        </is>
      </c>
      <c r="O346" t="inlineStr">
        <is>
          <t>2006</t>
        </is>
      </c>
      <c r="Q346" t="inlineStr">
        <is>
          <t>eng</t>
        </is>
      </c>
      <c r="R346" t="inlineStr">
        <is>
          <t>mau</t>
        </is>
      </c>
      <c r="S346" t="inlineStr">
        <is>
          <t>Fyssen Foundation series</t>
        </is>
      </c>
      <c r="T346" t="inlineStr">
        <is>
          <t xml:space="preserve">QP </t>
        </is>
      </c>
      <c r="U346" t="n">
        <v>1</v>
      </c>
      <c r="V346" t="n">
        <v>1</v>
      </c>
      <c r="W346" t="inlineStr">
        <is>
          <t>2008-01-14</t>
        </is>
      </c>
      <c r="X346" t="inlineStr">
        <is>
          <t>2008-01-14</t>
        </is>
      </c>
      <c r="Y346" t="inlineStr">
        <is>
          <t>2008-01-14</t>
        </is>
      </c>
      <c r="Z346" t="inlineStr">
        <is>
          <t>2008-01-14</t>
        </is>
      </c>
      <c r="AA346" t="n">
        <v>214</v>
      </c>
      <c r="AB346" t="n">
        <v>142</v>
      </c>
      <c r="AC346" t="n">
        <v>180</v>
      </c>
      <c r="AD346" t="n">
        <v>3</v>
      </c>
      <c r="AE346" t="n">
        <v>3</v>
      </c>
      <c r="AF346" t="n">
        <v>5</v>
      </c>
      <c r="AG346" t="n">
        <v>6</v>
      </c>
      <c r="AH346" t="n">
        <v>1</v>
      </c>
      <c r="AI346" t="n">
        <v>1</v>
      </c>
      <c r="AJ346" t="n">
        <v>1</v>
      </c>
      <c r="AK346" t="n">
        <v>1</v>
      </c>
      <c r="AL346" t="n">
        <v>1</v>
      </c>
      <c r="AM346" t="n">
        <v>2</v>
      </c>
      <c r="AN346" t="n">
        <v>2</v>
      </c>
      <c r="AO346" t="n">
        <v>2</v>
      </c>
      <c r="AP346" t="n">
        <v>0</v>
      </c>
      <c r="AQ346" t="n">
        <v>0</v>
      </c>
      <c r="AR346" t="inlineStr">
        <is>
          <t>No</t>
        </is>
      </c>
      <c r="AS346" t="inlineStr">
        <is>
          <t>No</t>
        </is>
      </c>
      <c r="AU346">
        <f>HYPERLINK("https://creighton-primo.hosted.exlibrisgroup.com/primo-explore/search?tab=default_tab&amp;search_scope=EVERYTHING&amp;vid=01CRU&amp;lang=en_US&amp;offset=0&amp;query=any,contains,991005167679702656","Catalog Record")</f>
        <v/>
      </c>
      <c r="AV346">
        <f>HYPERLINK("http://www.worldcat.org/oclc/58043127","WorldCat Record")</f>
        <v/>
      </c>
      <c r="AW346" t="inlineStr">
        <is>
          <t>890931480:eng</t>
        </is>
      </c>
      <c r="AX346" t="inlineStr">
        <is>
          <t>58043127</t>
        </is>
      </c>
      <c r="AY346" t="inlineStr">
        <is>
          <t>991005167679702656</t>
        </is>
      </c>
      <c r="AZ346" t="inlineStr">
        <is>
          <t>991005167679702656</t>
        </is>
      </c>
      <c r="BA346" t="inlineStr">
        <is>
          <t>2258756650002656</t>
        </is>
      </c>
      <c r="BB346" t="inlineStr">
        <is>
          <t>BOOK</t>
        </is>
      </c>
      <c r="BD346" t="inlineStr">
        <is>
          <t>9780262122788</t>
        </is>
      </c>
      <c r="BE346" t="inlineStr">
        <is>
          <t>32285005376933</t>
        </is>
      </c>
      <c r="BF346" t="inlineStr">
        <is>
          <t>893701126</t>
        </is>
      </c>
    </row>
    <row r="347">
      <c r="B347" t="inlineStr">
        <is>
          <t>CURAL</t>
        </is>
      </c>
      <c r="C347" t="inlineStr">
        <is>
          <t>SHELVES</t>
        </is>
      </c>
      <c r="D347" t="inlineStr">
        <is>
          <t>QP360.5 .H357 2001</t>
        </is>
      </c>
      <c r="E347" t="inlineStr">
        <is>
          <t>0                      QP 0360500H  357         2001</t>
        </is>
      </c>
      <c r="F347" t="inlineStr">
        <is>
          <t>The handbook of cognitive neuropsychology : what deficits reveal about the human mind / edited by Brenda Rapp.</t>
        </is>
      </c>
      <c r="H347" t="inlineStr">
        <is>
          <t>No</t>
        </is>
      </c>
      <c r="I347" t="inlineStr">
        <is>
          <t>1</t>
        </is>
      </c>
      <c r="J347" t="inlineStr">
        <is>
          <t>No</t>
        </is>
      </c>
      <c r="K347" t="inlineStr">
        <is>
          <t>No</t>
        </is>
      </c>
      <c r="L347" t="inlineStr">
        <is>
          <t>0</t>
        </is>
      </c>
      <c r="N347" t="inlineStr">
        <is>
          <t>Philadelphia : Psychology Press, c2001.</t>
        </is>
      </c>
      <c r="O347" t="inlineStr">
        <is>
          <t>2001</t>
        </is>
      </c>
      <c r="Q347" t="inlineStr">
        <is>
          <t>eng</t>
        </is>
      </c>
      <c r="R347" t="inlineStr">
        <is>
          <t>pau</t>
        </is>
      </c>
      <c r="T347" t="inlineStr">
        <is>
          <t xml:space="preserve">QP </t>
        </is>
      </c>
      <c r="U347" t="n">
        <v>2</v>
      </c>
      <c r="V347" t="n">
        <v>2</v>
      </c>
      <c r="W347" t="inlineStr">
        <is>
          <t>2002-03-25</t>
        </is>
      </c>
      <c r="X347" t="inlineStr">
        <is>
          <t>2002-03-25</t>
        </is>
      </c>
      <c r="Y347" t="inlineStr">
        <is>
          <t>2002-02-28</t>
        </is>
      </c>
      <c r="Z347" t="inlineStr">
        <is>
          <t>2002-02-28</t>
        </is>
      </c>
      <c r="AA347" t="n">
        <v>654</v>
      </c>
      <c r="AB347" t="n">
        <v>486</v>
      </c>
      <c r="AC347" t="n">
        <v>505</v>
      </c>
      <c r="AD347" t="n">
        <v>4</v>
      </c>
      <c r="AE347" t="n">
        <v>4</v>
      </c>
      <c r="AF347" t="n">
        <v>28</v>
      </c>
      <c r="AG347" t="n">
        <v>28</v>
      </c>
      <c r="AH347" t="n">
        <v>8</v>
      </c>
      <c r="AI347" t="n">
        <v>8</v>
      </c>
      <c r="AJ347" t="n">
        <v>9</v>
      </c>
      <c r="AK347" t="n">
        <v>9</v>
      </c>
      <c r="AL347" t="n">
        <v>17</v>
      </c>
      <c r="AM347" t="n">
        <v>17</v>
      </c>
      <c r="AN347" t="n">
        <v>3</v>
      </c>
      <c r="AO347" t="n">
        <v>3</v>
      </c>
      <c r="AP347" t="n">
        <v>0</v>
      </c>
      <c r="AQ347" t="n">
        <v>0</v>
      </c>
      <c r="AR347" t="inlineStr">
        <is>
          <t>No</t>
        </is>
      </c>
      <c r="AS347" t="inlineStr">
        <is>
          <t>No</t>
        </is>
      </c>
      <c r="AU347">
        <f>HYPERLINK("https://creighton-primo.hosted.exlibrisgroup.com/primo-explore/search?tab=default_tab&amp;search_scope=EVERYTHING&amp;vid=01CRU&amp;lang=en_US&amp;offset=0&amp;query=any,contains,991003583029702656","Catalog Record")</f>
        <v/>
      </c>
      <c r="AV347">
        <f>HYPERLINK("http://www.worldcat.org/oclc/44427293","WorldCat Record")</f>
        <v/>
      </c>
      <c r="AW347" t="inlineStr">
        <is>
          <t>807589238:eng</t>
        </is>
      </c>
      <c r="AX347" t="inlineStr">
        <is>
          <t>44427293</t>
        </is>
      </c>
      <c r="AY347" t="inlineStr">
        <is>
          <t>991003583029702656</t>
        </is>
      </c>
      <c r="AZ347" t="inlineStr">
        <is>
          <t>991003583029702656</t>
        </is>
      </c>
      <c r="BA347" t="inlineStr">
        <is>
          <t>2257866030002656</t>
        </is>
      </c>
      <c r="BB347" t="inlineStr">
        <is>
          <t>BOOK</t>
        </is>
      </c>
      <c r="BD347" t="inlineStr">
        <is>
          <t>9780863775925</t>
        </is>
      </c>
      <c r="BE347" t="inlineStr">
        <is>
          <t>32285004458732</t>
        </is>
      </c>
      <c r="BF347" t="inlineStr">
        <is>
          <t>893598726</t>
        </is>
      </c>
    </row>
    <row r="348">
      <c r="B348" t="inlineStr">
        <is>
          <t>CURAL</t>
        </is>
      </c>
      <c r="C348" t="inlineStr">
        <is>
          <t>SHELVES</t>
        </is>
      </c>
      <c r="D348" t="inlineStr">
        <is>
          <t>QP360.5 .M56 1995</t>
        </is>
      </c>
      <c r="E348" t="inlineStr">
        <is>
          <t>0                      QP 0360500M  56          1995</t>
        </is>
      </c>
      <c r="F348" t="inlineStr">
        <is>
          <t>The Mind, the brain, and complex adaptive systems / editors, Harold Morowitz, Jerome L. Singer.</t>
        </is>
      </c>
      <c r="H348" t="inlineStr">
        <is>
          <t>No</t>
        </is>
      </c>
      <c r="I348" t="inlineStr">
        <is>
          <t>1</t>
        </is>
      </c>
      <c r="J348" t="inlineStr">
        <is>
          <t>No</t>
        </is>
      </c>
      <c r="K348" t="inlineStr">
        <is>
          <t>No</t>
        </is>
      </c>
      <c r="L348" t="inlineStr">
        <is>
          <t>0</t>
        </is>
      </c>
      <c r="N348" t="inlineStr">
        <is>
          <t>Reading, Mass. : Addison-Wesley Pub. Co., c1995.</t>
        </is>
      </c>
      <c r="O348" t="inlineStr">
        <is>
          <t>1995</t>
        </is>
      </c>
      <c r="Q348" t="inlineStr">
        <is>
          <t>eng</t>
        </is>
      </c>
      <c r="R348" t="inlineStr">
        <is>
          <t>mau</t>
        </is>
      </c>
      <c r="S348" t="inlineStr">
        <is>
          <t>Proceedings volume XXII / Santa Fe Institute Studies in the sciences of complexity</t>
        </is>
      </c>
      <c r="T348" t="inlineStr">
        <is>
          <t xml:space="preserve">QP </t>
        </is>
      </c>
      <c r="U348" t="n">
        <v>8</v>
      </c>
      <c r="V348" t="n">
        <v>8</v>
      </c>
      <c r="W348" t="inlineStr">
        <is>
          <t>2007-02-05</t>
        </is>
      </c>
      <c r="X348" t="inlineStr">
        <is>
          <t>2007-02-05</t>
        </is>
      </c>
      <c r="Y348" t="inlineStr">
        <is>
          <t>1996-01-17</t>
        </is>
      </c>
      <c r="Z348" t="inlineStr">
        <is>
          <t>1996-01-17</t>
        </is>
      </c>
      <c r="AA348" t="n">
        <v>181</v>
      </c>
      <c r="AB348" t="n">
        <v>129</v>
      </c>
      <c r="AC348" t="n">
        <v>146</v>
      </c>
      <c r="AD348" t="n">
        <v>3</v>
      </c>
      <c r="AE348" t="n">
        <v>3</v>
      </c>
      <c r="AF348" t="n">
        <v>7</v>
      </c>
      <c r="AG348" t="n">
        <v>7</v>
      </c>
      <c r="AH348" t="n">
        <v>2</v>
      </c>
      <c r="AI348" t="n">
        <v>2</v>
      </c>
      <c r="AJ348" t="n">
        <v>1</v>
      </c>
      <c r="AK348" t="n">
        <v>1</v>
      </c>
      <c r="AL348" t="n">
        <v>5</v>
      </c>
      <c r="AM348" t="n">
        <v>5</v>
      </c>
      <c r="AN348" t="n">
        <v>2</v>
      </c>
      <c r="AO348" t="n">
        <v>2</v>
      </c>
      <c r="AP348" t="n">
        <v>0</v>
      </c>
      <c r="AQ348" t="n">
        <v>0</v>
      </c>
      <c r="AR348" t="inlineStr">
        <is>
          <t>No</t>
        </is>
      </c>
      <c r="AS348" t="inlineStr">
        <is>
          <t>Yes</t>
        </is>
      </c>
      <c r="AT348">
        <f>HYPERLINK("http://catalog.hathitrust.org/Record/002961031","HathiTrust Record")</f>
        <v/>
      </c>
      <c r="AU348">
        <f>HYPERLINK("https://creighton-primo.hosted.exlibrisgroup.com/primo-explore/search?tab=default_tab&amp;search_scope=EVERYTHING&amp;vid=01CRU&amp;lang=en_US&amp;offset=0&amp;query=any,contains,991002424799702656","Catalog Record")</f>
        <v/>
      </c>
      <c r="AV348">
        <f>HYPERLINK("http://www.worldcat.org/oclc/31606815","WorldCat Record")</f>
        <v/>
      </c>
      <c r="AW348" t="inlineStr">
        <is>
          <t>369486780:eng</t>
        </is>
      </c>
      <c r="AX348" t="inlineStr">
        <is>
          <t>31606815</t>
        </is>
      </c>
      <c r="AY348" t="inlineStr">
        <is>
          <t>991002424799702656</t>
        </is>
      </c>
      <c r="AZ348" t="inlineStr">
        <is>
          <t>991002424799702656</t>
        </is>
      </c>
      <c r="BA348" t="inlineStr">
        <is>
          <t>2262520130002656</t>
        </is>
      </c>
      <c r="BB348" t="inlineStr">
        <is>
          <t>BOOK</t>
        </is>
      </c>
      <c r="BD348" t="inlineStr">
        <is>
          <t>9780201409864</t>
        </is>
      </c>
      <c r="BE348" t="inlineStr">
        <is>
          <t>32285002118320</t>
        </is>
      </c>
      <c r="BF348" t="inlineStr">
        <is>
          <t>893603585</t>
        </is>
      </c>
    </row>
    <row r="349">
      <c r="B349" t="inlineStr">
        <is>
          <t>CURAL</t>
        </is>
      </c>
      <c r="C349" t="inlineStr">
        <is>
          <t>SHELVES</t>
        </is>
      </c>
      <c r="D349" t="inlineStr">
        <is>
          <t>QP360.5 .P65 2008</t>
        </is>
      </c>
      <c r="E349" t="inlineStr">
        <is>
          <t>0                      QP 0360500P  65          2008</t>
        </is>
      </c>
      <c r="F349" t="inlineStr">
        <is>
          <t>Neuroeconomics : a guide to the new science of making choices / Peter Politser.</t>
        </is>
      </c>
      <c r="H349" t="inlineStr">
        <is>
          <t>No</t>
        </is>
      </c>
      <c r="I349" t="inlineStr">
        <is>
          <t>1</t>
        </is>
      </c>
      <c r="J349" t="inlineStr">
        <is>
          <t>No</t>
        </is>
      </c>
      <c r="K349" t="inlineStr">
        <is>
          <t>No</t>
        </is>
      </c>
      <c r="L349" t="inlineStr">
        <is>
          <t>0</t>
        </is>
      </c>
      <c r="M349" t="inlineStr">
        <is>
          <t>Politser, Peter E.</t>
        </is>
      </c>
      <c r="N349" t="inlineStr">
        <is>
          <t>Oxford ; New York : Oxford University Press, c2008.</t>
        </is>
      </c>
      <c r="O349" t="inlineStr">
        <is>
          <t>2008</t>
        </is>
      </c>
      <c r="Q349" t="inlineStr">
        <is>
          <t>eng</t>
        </is>
      </c>
      <c r="R349" t="inlineStr">
        <is>
          <t>enk</t>
        </is>
      </c>
      <c r="T349" t="inlineStr">
        <is>
          <t xml:space="preserve">QP </t>
        </is>
      </c>
      <c r="U349" t="n">
        <v>1</v>
      </c>
      <c r="V349" t="n">
        <v>1</v>
      </c>
      <c r="W349" t="inlineStr">
        <is>
          <t>2009-09-01</t>
        </is>
      </c>
      <c r="X349" t="inlineStr">
        <is>
          <t>2009-09-01</t>
        </is>
      </c>
      <c r="Y349" t="inlineStr">
        <is>
          <t>2008-06-02</t>
        </is>
      </c>
      <c r="Z349" t="inlineStr">
        <is>
          <t>2008-06-02</t>
        </is>
      </c>
      <c r="AA349" t="n">
        <v>317</v>
      </c>
      <c r="AB349" t="n">
        <v>251</v>
      </c>
      <c r="AC349" t="n">
        <v>315</v>
      </c>
      <c r="AD349" t="n">
        <v>2</v>
      </c>
      <c r="AE349" t="n">
        <v>2</v>
      </c>
      <c r="AF349" t="n">
        <v>14</v>
      </c>
      <c r="AG349" t="n">
        <v>16</v>
      </c>
      <c r="AH349" t="n">
        <v>8</v>
      </c>
      <c r="AI349" t="n">
        <v>8</v>
      </c>
      <c r="AJ349" t="n">
        <v>4</v>
      </c>
      <c r="AK349" t="n">
        <v>6</v>
      </c>
      <c r="AL349" t="n">
        <v>5</v>
      </c>
      <c r="AM349" t="n">
        <v>6</v>
      </c>
      <c r="AN349" t="n">
        <v>1</v>
      </c>
      <c r="AO349" t="n">
        <v>1</v>
      </c>
      <c r="AP349" t="n">
        <v>0</v>
      </c>
      <c r="AQ349" t="n">
        <v>0</v>
      </c>
      <c r="AR349" t="inlineStr">
        <is>
          <t>No</t>
        </is>
      </c>
      <c r="AS349" t="inlineStr">
        <is>
          <t>No</t>
        </is>
      </c>
      <c r="AU349">
        <f>HYPERLINK("https://creighton-primo.hosted.exlibrisgroup.com/primo-explore/search?tab=default_tab&amp;search_scope=EVERYTHING&amp;vid=01CRU&amp;lang=en_US&amp;offset=0&amp;query=any,contains,991005221429702656","Catalog Record")</f>
        <v/>
      </c>
      <c r="AV349">
        <f>HYPERLINK("http://www.worldcat.org/oclc/62878350","WorldCat Record")</f>
        <v/>
      </c>
      <c r="AW349" t="inlineStr">
        <is>
          <t>326827975:eng</t>
        </is>
      </c>
      <c r="AX349" t="inlineStr">
        <is>
          <t>62878350</t>
        </is>
      </c>
      <c r="AY349" t="inlineStr">
        <is>
          <t>991005221429702656</t>
        </is>
      </c>
      <c r="AZ349" t="inlineStr">
        <is>
          <t>991005221429702656</t>
        </is>
      </c>
      <c r="BA349" t="inlineStr">
        <is>
          <t>2259642420002656</t>
        </is>
      </c>
      <c r="BB349" t="inlineStr">
        <is>
          <t>BOOK</t>
        </is>
      </c>
      <c r="BD349" t="inlineStr">
        <is>
          <t>9780195305821</t>
        </is>
      </c>
      <c r="BE349" t="inlineStr">
        <is>
          <t>32285005441091</t>
        </is>
      </c>
      <c r="BF349" t="inlineStr">
        <is>
          <t>893338749</t>
        </is>
      </c>
    </row>
    <row r="350">
      <c r="B350" t="inlineStr">
        <is>
          <t>CURAL</t>
        </is>
      </c>
      <c r="C350" t="inlineStr">
        <is>
          <t>SHELVES</t>
        </is>
      </c>
      <c r="D350" t="inlineStr">
        <is>
          <t>QP360.5 .S96 1995</t>
        </is>
      </c>
      <c r="E350" t="inlineStr">
        <is>
          <t>0                      QP 0360500S  96          1995</t>
        </is>
      </c>
      <c r="F350" t="inlineStr">
        <is>
          <t>A celebration of neurons : an educator's guide to the human brain / Robert Sylwester.</t>
        </is>
      </c>
      <c r="H350" t="inlineStr">
        <is>
          <t>No</t>
        </is>
      </c>
      <c r="I350" t="inlineStr">
        <is>
          <t>1</t>
        </is>
      </c>
      <c r="J350" t="inlineStr">
        <is>
          <t>No</t>
        </is>
      </c>
      <c r="K350" t="inlineStr">
        <is>
          <t>No</t>
        </is>
      </c>
      <c r="L350" t="inlineStr">
        <is>
          <t>0</t>
        </is>
      </c>
      <c r="M350" t="inlineStr">
        <is>
          <t>Sylwester, Robert.</t>
        </is>
      </c>
      <c r="N350" t="inlineStr">
        <is>
          <t>Alexandria, Va. : Association for Supervision and Curriculum Development, c1995.</t>
        </is>
      </c>
      <c r="O350" t="inlineStr">
        <is>
          <t>1995</t>
        </is>
      </c>
      <c r="Q350" t="inlineStr">
        <is>
          <t>eng</t>
        </is>
      </c>
      <c r="R350" t="inlineStr">
        <is>
          <t>vau</t>
        </is>
      </c>
      <c r="T350" t="inlineStr">
        <is>
          <t xml:space="preserve">QP </t>
        </is>
      </c>
      <c r="U350" t="n">
        <v>10</v>
      </c>
      <c r="V350" t="n">
        <v>10</v>
      </c>
      <c r="W350" t="inlineStr">
        <is>
          <t>1999-10-23</t>
        </is>
      </c>
      <c r="X350" t="inlineStr">
        <is>
          <t>1999-10-23</t>
        </is>
      </c>
      <c r="Y350" t="inlineStr">
        <is>
          <t>1995-07-12</t>
        </is>
      </c>
      <c r="Z350" t="inlineStr">
        <is>
          <t>1995-07-12</t>
        </is>
      </c>
      <c r="AA350" t="n">
        <v>933</v>
      </c>
      <c r="AB350" t="n">
        <v>824</v>
      </c>
      <c r="AC350" t="n">
        <v>829</v>
      </c>
      <c r="AD350" t="n">
        <v>11</v>
      </c>
      <c r="AE350" t="n">
        <v>11</v>
      </c>
      <c r="AF350" t="n">
        <v>30</v>
      </c>
      <c r="AG350" t="n">
        <v>30</v>
      </c>
      <c r="AH350" t="n">
        <v>16</v>
      </c>
      <c r="AI350" t="n">
        <v>16</v>
      </c>
      <c r="AJ350" t="n">
        <v>5</v>
      </c>
      <c r="AK350" t="n">
        <v>5</v>
      </c>
      <c r="AL350" t="n">
        <v>9</v>
      </c>
      <c r="AM350" t="n">
        <v>9</v>
      </c>
      <c r="AN350" t="n">
        <v>6</v>
      </c>
      <c r="AO350" t="n">
        <v>6</v>
      </c>
      <c r="AP350" t="n">
        <v>0</v>
      </c>
      <c r="AQ350" t="n">
        <v>0</v>
      </c>
      <c r="AR350" t="inlineStr">
        <is>
          <t>No</t>
        </is>
      </c>
      <c r="AS350" t="inlineStr">
        <is>
          <t>No</t>
        </is>
      </c>
      <c r="AU350">
        <f>HYPERLINK("https://creighton-primo.hosted.exlibrisgroup.com/primo-explore/search?tab=default_tab&amp;search_scope=EVERYTHING&amp;vid=01CRU&amp;lang=en_US&amp;offset=0&amp;query=any,contains,991002493149702656","Catalog Record")</f>
        <v/>
      </c>
      <c r="AV350">
        <f>HYPERLINK("http://www.worldcat.org/oclc/32432109","WorldCat Record")</f>
        <v/>
      </c>
      <c r="AW350" t="inlineStr">
        <is>
          <t>20803590:eng</t>
        </is>
      </c>
      <c r="AX350" t="inlineStr">
        <is>
          <t>32432109</t>
        </is>
      </c>
      <c r="AY350" t="inlineStr">
        <is>
          <t>991002493149702656</t>
        </is>
      </c>
      <c r="AZ350" t="inlineStr">
        <is>
          <t>991002493149702656</t>
        </is>
      </c>
      <c r="BA350" t="inlineStr">
        <is>
          <t>2256182160002656</t>
        </is>
      </c>
      <c r="BB350" t="inlineStr">
        <is>
          <t>BOOK</t>
        </is>
      </c>
      <c r="BD350" t="inlineStr">
        <is>
          <t>9780871202437</t>
        </is>
      </c>
      <c r="BE350" t="inlineStr">
        <is>
          <t>32285002058021</t>
        </is>
      </c>
      <c r="BF350" t="inlineStr">
        <is>
          <t>893591402</t>
        </is>
      </c>
    </row>
    <row r="351">
      <c r="B351" t="inlineStr">
        <is>
          <t>CURAL</t>
        </is>
      </c>
      <c r="C351" t="inlineStr">
        <is>
          <t>SHELVES</t>
        </is>
      </c>
      <c r="D351" t="inlineStr">
        <is>
          <t>QP360.5 .U87 2005</t>
        </is>
      </c>
      <c r="E351" t="inlineStr">
        <is>
          <t>0                      QP 0360500U  87          2005</t>
        </is>
      </c>
      <c r="F351" t="inlineStr">
        <is>
          <t>Neural theories of mind : why the mind-brain problem may never be solved / William R. Uttal.</t>
        </is>
      </c>
      <c r="H351" t="inlineStr">
        <is>
          <t>No</t>
        </is>
      </c>
      <c r="I351" t="inlineStr">
        <is>
          <t>1</t>
        </is>
      </c>
      <c r="J351" t="inlineStr">
        <is>
          <t>No</t>
        </is>
      </c>
      <c r="K351" t="inlineStr">
        <is>
          <t>No</t>
        </is>
      </c>
      <c r="L351" t="inlineStr">
        <is>
          <t>0</t>
        </is>
      </c>
      <c r="M351" t="inlineStr">
        <is>
          <t>Uttal, William R.</t>
        </is>
      </c>
      <c r="N351" t="inlineStr">
        <is>
          <t>Mahwah, N.J. : Lawrence Erlbaum Associates, 2005.</t>
        </is>
      </c>
      <c r="O351" t="inlineStr">
        <is>
          <t>2005</t>
        </is>
      </c>
      <c r="Q351" t="inlineStr">
        <is>
          <t>eng</t>
        </is>
      </c>
      <c r="R351" t="inlineStr">
        <is>
          <t>nju</t>
        </is>
      </c>
      <c r="T351" t="inlineStr">
        <is>
          <t xml:space="preserve">QP </t>
        </is>
      </c>
      <c r="U351" t="n">
        <v>1</v>
      </c>
      <c r="V351" t="n">
        <v>1</v>
      </c>
      <c r="W351" t="inlineStr">
        <is>
          <t>2006-03-30</t>
        </is>
      </c>
      <c r="X351" t="inlineStr">
        <is>
          <t>2006-03-30</t>
        </is>
      </c>
      <c r="Y351" t="inlineStr">
        <is>
          <t>2006-02-27</t>
        </is>
      </c>
      <c r="Z351" t="inlineStr">
        <is>
          <t>2006-02-27</t>
        </is>
      </c>
      <c r="AA351" t="n">
        <v>329</v>
      </c>
      <c r="AB351" t="n">
        <v>269</v>
      </c>
      <c r="AC351" t="n">
        <v>285</v>
      </c>
      <c r="AD351" t="n">
        <v>3</v>
      </c>
      <c r="AE351" t="n">
        <v>3</v>
      </c>
      <c r="AF351" t="n">
        <v>14</v>
      </c>
      <c r="AG351" t="n">
        <v>14</v>
      </c>
      <c r="AH351" t="n">
        <v>4</v>
      </c>
      <c r="AI351" t="n">
        <v>4</v>
      </c>
      <c r="AJ351" t="n">
        <v>6</v>
      </c>
      <c r="AK351" t="n">
        <v>6</v>
      </c>
      <c r="AL351" t="n">
        <v>5</v>
      </c>
      <c r="AM351" t="n">
        <v>5</v>
      </c>
      <c r="AN351" t="n">
        <v>2</v>
      </c>
      <c r="AO351" t="n">
        <v>2</v>
      </c>
      <c r="AP351" t="n">
        <v>0</v>
      </c>
      <c r="AQ351" t="n">
        <v>0</v>
      </c>
      <c r="AR351" t="inlineStr">
        <is>
          <t>No</t>
        </is>
      </c>
      <c r="AS351" t="inlineStr">
        <is>
          <t>No</t>
        </is>
      </c>
      <c r="AU351">
        <f>HYPERLINK("https://creighton-primo.hosted.exlibrisgroup.com/primo-explore/search?tab=default_tab&amp;search_scope=EVERYTHING&amp;vid=01CRU&amp;lang=en_US&amp;offset=0&amp;query=any,contains,991004752649702656","Catalog Record")</f>
        <v/>
      </c>
      <c r="AV351">
        <f>HYPERLINK("http://www.worldcat.org/oclc/57391684","WorldCat Record")</f>
        <v/>
      </c>
      <c r="AW351" t="inlineStr">
        <is>
          <t>795511320:eng</t>
        </is>
      </c>
      <c r="AX351" t="inlineStr">
        <is>
          <t>57391684</t>
        </is>
      </c>
      <c r="AY351" t="inlineStr">
        <is>
          <t>991004752649702656</t>
        </is>
      </c>
      <c r="AZ351" t="inlineStr">
        <is>
          <t>991004752649702656</t>
        </is>
      </c>
      <c r="BA351" t="inlineStr">
        <is>
          <t>2267206830002656</t>
        </is>
      </c>
      <c r="BB351" t="inlineStr">
        <is>
          <t>BOOK</t>
        </is>
      </c>
      <c r="BD351" t="inlineStr">
        <is>
          <t>9780805854848</t>
        </is>
      </c>
      <c r="BE351" t="inlineStr">
        <is>
          <t>32285005168769</t>
        </is>
      </c>
      <c r="BF351" t="inlineStr">
        <is>
          <t>893882897</t>
        </is>
      </c>
    </row>
    <row r="352">
      <c r="B352" t="inlineStr">
        <is>
          <t>CURAL</t>
        </is>
      </c>
      <c r="C352" t="inlineStr">
        <is>
          <t>SHELVES</t>
        </is>
      </c>
      <c r="D352" t="inlineStr">
        <is>
          <t>QP361 .S33 1967</t>
        </is>
      </c>
      <c r="E352" t="inlineStr">
        <is>
          <t>0                      QP 0361000S  33          1967</t>
        </is>
      </c>
      <c r="F352" t="inlineStr">
        <is>
          <t>Neural networks; proceedings of the School on Neural Networks, June, 1967, in Ravello; edited by E.R. Caianiello.</t>
        </is>
      </c>
      <c r="H352" t="inlineStr">
        <is>
          <t>No</t>
        </is>
      </c>
      <c r="I352" t="inlineStr">
        <is>
          <t>1</t>
        </is>
      </c>
      <c r="J352" t="inlineStr">
        <is>
          <t>No</t>
        </is>
      </c>
      <c r="K352" t="inlineStr">
        <is>
          <t>No</t>
        </is>
      </c>
      <c r="L352" t="inlineStr">
        <is>
          <t>0</t>
        </is>
      </c>
      <c r="M352" t="inlineStr">
        <is>
          <t>School on Neural Networks (1967 : Ravello, Italy)</t>
        </is>
      </c>
      <c r="N352" t="inlineStr">
        <is>
          <t>Berlin, New York, [etc.] Springer-Verlag, 1968.</t>
        </is>
      </c>
      <c r="O352" t="inlineStr">
        <is>
          <t>1968</t>
        </is>
      </c>
      <c r="Q352" t="inlineStr">
        <is>
          <t>eng</t>
        </is>
      </c>
      <c r="R352" t="inlineStr">
        <is>
          <t xml:space="preserve">gw </t>
        </is>
      </c>
      <c r="T352" t="inlineStr">
        <is>
          <t xml:space="preserve">QP </t>
        </is>
      </c>
      <c r="U352" t="n">
        <v>2</v>
      </c>
      <c r="V352" t="n">
        <v>2</v>
      </c>
      <c r="W352" t="inlineStr">
        <is>
          <t>1999-03-29</t>
        </is>
      </c>
      <c r="X352" t="inlineStr">
        <is>
          <t>1999-03-29</t>
        </is>
      </c>
      <c r="Y352" t="inlineStr">
        <is>
          <t>1997-08-06</t>
        </is>
      </c>
      <c r="Z352" t="inlineStr">
        <is>
          <t>1997-08-06</t>
        </is>
      </c>
      <c r="AA352" t="n">
        <v>192</v>
      </c>
      <c r="AB352" t="n">
        <v>156</v>
      </c>
      <c r="AC352" t="n">
        <v>187</v>
      </c>
      <c r="AD352" t="n">
        <v>2</v>
      </c>
      <c r="AE352" t="n">
        <v>2</v>
      </c>
      <c r="AF352" t="n">
        <v>4</v>
      </c>
      <c r="AG352" t="n">
        <v>4</v>
      </c>
      <c r="AH352" t="n">
        <v>1</v>
      </c>
      <c r="AI352" t="n">
        <v>1</v>
      </c>
      <c r="AJ352" t="n">
        <v>1</v>
      </c>
      <c r="AK352" t="n">
        <v>1</v>
      </c>
      <c r="AL352" t="n">
        <v>2</v>
      </c>
      <c r="AM352" t="n">
        <v>2</v>
      </c>
      <c r="AN352" t="n">
        <v>1</v>
      </c>
      <c r="AO352" t="n">
        <v>1</v>
      </c>
      <c r="AP352" t="n">
        <v>0</v>
      </c>
      <c r="AQ352" t="n">
        <v>0</v>
      </c>
      <c r="AR352" t="inlineStr">
        <is>
          <t>No</t>
        </is>
      </c>
      <c r="AS352" t="inlineStr">
        <is>
          <t>Yes</t>
        </is>
      </c>
      <c r="AT352">
        <f>HYPERLINK("http://catalog.hathitrust.org/Record/001554705","HathiTrust Record")</f>
        <v/>
      </c>
      <c r="AU352">
        <f>HYPERLINK("https://creighton-primo.hosted.exlibrisgroup.com/primo-explore/search?tab=default_tab&amp;search_scope=EVERYTHING&amp;vid=01CRU&amp;lang=en_US&amp;offset=0&amp;query=any,contains,991003241959702656","Catalog Record")</f>
        <v/>
      </c>
      <c r="AV352">
        <f>HYPERLINK("http://www.worldcat.org/oclc/765005","WorldCat Record")</f>
        <v/>
      </c>
      <c r="AW352" t="inlineStr">
        <is>
          <t>895552094:eng</t>
        </is>
      </c>
      <c r="AX352" t="inlineStr">
        <is>
          <t>765005</t>
        </is>
      </c>
      <c r="AY352" t="inlineStr">
        <is>
          <t>991003241959702656</t>
        </is>
      </c>
      <c r="AZ352" t="inlineStr">
        <is>
          <t>991003241959702656</t>
        </is>
      </c>
      <c r="BA352" t="inlineStr">
        <is>
          <t>2268538470002656</t>
        </is>
      </c>
      <c r="BB352" t="inlineStr">
        <is>
          <t>BOOK</t>
        </is>
      </c>
      <c r="BE352" t="inlineStr">
        <is>
          <t>32285003014403</t>
        </is>
      </c>
      <c r="BF352" t="inlineStr">
        <is>
          <t>893809889</t>
        </is>
      </c>
    </row>
    <row r="353">
      <c r="B353" t="inlineStr">
        <is>
          <t>CURAL</t>
        </is>
      </c>
      <c r="C353" t="inlineStr">
        <is>
          <t>SHELVES</t>
        </is>
      </c>
      <c r="D353" t="inlineStr">
        <is>
          <t>QP361 .S8 1917</t>
        </is>
      </c>
      <c r="E353" t="inlineStr">
        <is>
          <t>0                      QP 0361000S  8           1917</t>
        </is>
      </c>
      <c r="F353" t="inlineStr">
        <is>
          <t>The nervous system and its conservation, by Percy Goldthwait Stiles.</t>
        </is>
      </c>
      <c r="H353" t="inlineStr">
        <is>
          <t>No</t>
        </is>
      </c>
      <c r="I353" t="inlineStr">
        <is>
          <t>1</t>
        </is>
      </c>
      <c r="J353" t="inlineStr">
        <is>
          <t>No</t>
        </is>
      </c>
      <c r="K353" t="inlineStr">
        <is>
          <t>No</t>
        </is>
      </c>
      <c r="L353" t="inlineStr">
        <is>
          <t>0</t>
        </is>
      </c>
      <c r="M353" t="inlineStr">
        <is>
          <t>Stiles, Percy Goldthwait, 1875-1936.</t>
        </is>
      </c>
      <c r="N353" t="inlineStr">
        <is>
          <t>Philadelphia, Saunders, 1917.</t>
        </is>
      </c>
      <c r="O353" t="inlineStr">
        <is>
          <t>1917</t>
        </is>
      </c>
      <c r="P353" t="inlineStr">
        <is>
          <t>2d ed., rev.</t>
        </is>
      </c>
      <c r="Q353" t="inlineStr">
        <is>
          <t>eng</t>
        </is>
      </c>
      <c r="R353" t="inlineStr">
        <is>
          <t>pau</t>
        </is>
      </c>
      <c r="T353" t="inlineStr">
        <is>
          <t xml:space="preserve">QP </t>
        </is>
      </c>
      <c r="U353" t="n">
        <v>3</v>
      </c>
      <c r="V353" t="n">
        <v>3</v>
      </c>
      <c r="W353" t="inlineStr">
        <is>
          <t>1999-02-14</t>
        </is>
      </c>
      <c r="X353" t="inlineStr">
        <is>
          <t>1999-02-14</t>
        </is>
      </c>
      <c r="Y353" t="inlineStr">
        <is>
          <t>1997-08-06</t>
        </is>
      </c>
      <c r="Z353" t="inlineStr">
        <is>
          <t>1997-08-06</t>
        </is>
      </c>
      <c r="AA353" t="n">
        <v>55</v>
      </c>
      <c r="AB353" t="n">
        <v>53</v>
      </c>
      <c r="AC353" t="n">
        <v>181</v>
      </c>
      <c r="AD353" t="n">
        <v>1</v>
      </c>
      <c r="AE353" t="n">
        <v>3</v>
      </c>
      <c r="AF353" t="n">
        <v>1</v>
      </c>
      <c r="AG353" t="n">
        <v>8</v>
      </c>
      <c r="AH353" t="n">
        <v>0</v>
      </c>
      <c r="AI353" t="n">
        <v>0</v>
      </c>
      <c r="AJ353" t="n">
        <v>0</v>
      </c>
      <c r="AK353" t="n">
        <v>3</v>
      </c>
      <c r="AL353" t="n">
        <v>1</v>
      </c>
      <c r="AM353" t="n">
        <v>4</v>
      </c>
      <c r="AN353" t="n">
        <v>0</v>
      </c>
      <c r="AO353" t="n">
        <v>2</v>
      </c>
      <c r="AP353" t="n">
        <v>0</v>
      </c>
      <c r="AQ353" t="n">
        <v>0</v>
      </c>
      <c r="AR353" t="inlineStr">
        <is>
          <t>Yes</t>
        </is>
      </c>
      <c r="AS353" t="inlineStr">
        <is>
          <t>No</t>
        </is>
      </c>
      <c r="AT353">
        <f>HYPERLINK("http://catalog.hathitrust.org/Record/006610668","HathiTrust Record")</f>
        <v/>
      </c>
      <c r="AU353">
        <f>HYPERLINK("https://creighton-primo.hosted.exlibrisgroup.com/primo-explore/search?tab=default_tab&amp;search_scope=EVERYTHING&amp;vid=01CRU&amp;lang=en_US&amp;offset=0&amp;query=any,contains,991005000619702656","Catalog Record")</f>
        <v/>
      </c>
      <c r="AV353">
        <f>HYPERLINK("http://www.worldcat.org/oclc/6540262","WorldCat Record")</f>
        <v/>
      </c>
      <c r="AW353" t="inlineStr">
        <is>
          <t>2443906:eng</t>
        </is>
      </c>
      <c r="AX353" t="inlineStr">
        <is>
          <t>6540262</t>
        </is>
      </c>
      <c r="AY353" t="inlineStr">
        <is>
          <t>991005000619702656</t>
        </is>
      </c>
      <c r="AZ353" t="inlineStr">
        <is>
          <t>991005000619702656</t>
        </is>
      </c>
      <c r="BA353" t="inlineStr">
        <is>
          <t>2258008080002656</t>
        </is>
      </c>
      <c r="BB353" t="inlineStr">
        <is>
          <t>BOOK</t>
        </is>
      </c>
      <c r="BE353" t="inlineStr">
        <is>
          <t>32285003014411</t>
        </is>
      </c>
      <c r="BF353" t="inlineStr">
        <is>
          <t>893533018</t>
        </is>
      </c>
    </row>
    <row r="354">
      <c r="B354" t="inlineStr">
        <is>
          <t>CURAL</t>
        </is>
      </c>
      <c r="C354" t="inlineStr">
        <is>
          <t>SHELVES</t>
        </is>
      </c>
      <c r="D354" t="inlineStr">
        <is>
          <t>QP363 .C46</t>
        </is>
      </c>
      <c r="E354" t="inlineStr">
        <is>
          <t>0                      QP 0363000C  46</t>
        </is>
      </c>
      <c r="F354" t="inlineStr">
        <is>
          <t>Chemical transmission in the mammalian central nervous system / edited by Charles H. Hockman and Detlef Bieger, with the organizing assistance of George M. Ling.</t>
        </is>
      </c>
      <c r="H354" t="inlineStr">
        <is>
          <t>No</t>
        </is>
      </c>
      <c r="I354" t="inlineStr">
        <is>
          <t>1</t>
        </is>
      </c>
      <c r="J354" t="inlineStr">
        <is>
          <t>No</t>
        </is>
      </c>
      <c r="K354" t="inlineStr">
        <is>
          <t>No</t>
        </is>
      </c>
      <c r="L354" t="inlineStr">
        <is>
          <t>0</t>
        </is>
      </c>
      <c r="N354" t="inlineStr">
        <is>
          <t>Baltimore : University Park Press, c1976.</t>
        </is>
      </c>
      <c r="O354" t="inlineStr">
        <is>
          <t>1976</t>
        </is>
      </c>
      <c r="Q354" t="inlineStr">
        <is>
          <t>eng</t>
        </is>
      </c>
      <c r="R354" t="inlineStr">
        <is>
          <t>mdu</t>
        </is>
      </c>
      <c r="T354" t="inlineStr">
        <is>
          <t xml:space="preserve">QP </t>
        </is>
      </c>
      <c r="U354" t="n">
        <v>2</v>
      </c>
      <c r="V354" t="n">
        <v>2</v>
      </c>
      <c r="W354" t="inlineStr">
        <is>
          <t>1995-02-15</t>
        </is>
      </c>
      <c r="X354" t="inlineStr">
        <is>
          <t>1995-02-15</t>
        </is>
      </c>
      <c r="Y354" t="inlineStr">
        <is>
          <t>1994-03-11</t>
        </is>
      </c>
      <c r="Z354" t="inlineStr">
        <is>
          <t>1994-03-11</t>
        </is>
      </c>
      <c r="AA354" t="n">
        <v>329</v>
      </c>
      <c r="AB354" t="n">
        <v>271</v>
      </c>
      <c r="AC354" t="n">
        <v>278</v>
      </c>
      <c r="AD354" t="n">
        <v>2</v>
      </c>
      <c r="AE354" t="n">
        <v>2</v>
      </c>
      <c r="AF354" t="n">
        <v>8</v>
      </c>
      <c r="AG354" t="n">
        <v>8</v>
      </c>
      <c r="AH354" t="n">
        <v>4</v>
      </c>
      <c r="AI354" t="n">
        <v>4</v>
      </c>
      <c r="AJ354" t="n">
        <v>2</v>
      </c>
      <c r="AK354" t="n">
        <v>2</v>
      </c>
      <c r="AL354" t="n">
        <v>4</v>
      </c>
      <c r="AM354" t="n">
        <v>4</v>
      </c>
      <c r="AN354" t="n">
        <v>1</v>
      </c>
      <c r="AO354" t="n">
        <v>1</v>
      </c>
      <c r="AP354" t="n">
        <v>0</v>
      </c>
      <c r="AQ354" t="n">
        <v>0</v>
      </c>
      <c r="AR354" t="inlineStr">
        <is>
          <t>No</t>
        </is>
      </c>
      <c r="AS354" t="inlineStr">
        <is>
          <t>Yes</t>
        </is>
      </c>
      <c r="AT354">
        <f>HYPERLINK("http://catalog.hathitrust.org/Record/000694375","HathiTrust Record")</f>
        <v/>
      </c>
      <c r="AU354">
        <f>HYPERLINK("https://creighton-primo.hosted.exlibrisgroup.com/primo-explore/search?tab=default_tab&amp;search_scope=EVERYTHING&amp;vid=01CRU&amp;lang=en_US&amp;offset=0&amp;query=any,contains,991003971229702656","Catalog Record")</f>
        <v/>
      </c>
      <c r="AV354">
        <f>HYPERLINK("http://www.worldcat.org/oclc/1992209","WorldCat Record")</f>
        <v/>
      </c>
      <c r="AW354" t="inlineStr">
        <is>
          <t>367115111:eng</t>
        </is>
      </c>
      <c r="AX354" t="inlineStr">
        <is>
          <t>1992209</t>
        </is>
      </c>
      <c r="AY354" t="inlineStr">
        <is>
          <t>991003971229702656</t>
        </is>
      </c>
      <c r="AZ354" t="inlineStr">
        <is>
          <t>991003971229702656</t>
        </is>
      </c>
      <c r="BA354" t="inlineStr">
        <is>
          <t>2262158900002656</t>
        </is>
      </c>
      <c r="BB354" t="inlineStr">
        <is>
          <t>BOOK</t>
        </is>
      </c>
      <c r="BD354" t="inlineStr">
        <is>
          <t>9780839108634</t>
        </is>
      </c>
      <c r="BE354" t="inlineStr">
        <is>
          <t>32285001852820</t>
        </is>
      </c>
      <c r="BF354" t="inlineStr">
        <is>
          <t>893869131</t>
        </is>
      </c>
    </row>
    <row r="355">
      <c r="B355" t="inlineStr">
        <is>
          <t>CURAL</t>
        </is>
      </c>
      <c r="C355" t="inlineStr">
        <is>
          <t>SHELVES</t>
        </is>
      </c>
      <c r="D355" t="inlineStr">
        <is>
          <t>QP363 .I23 2008</t>
        </is>
      </c>
      <c r="E355" t="inlineStr">
        <is>
          <t>0                      QP 0363000I  23          2008</t>
        </is>
      </c>
      <c r="F355" t="inlineStr">
        <is>
          <t>Mirroring people : the new science of how we connect with others / Marco Iacoboni.</t>
        </is>
      </c>
      <c r="H355" t="inlineStr">
        <is>
          <t>No</t>
        </is>
      </c>
      <c r="I355" t="inlineStr">
        <is>
          <t>1</t>
        </is>
      </c>
      <c r="J355" t="inlineStr">
        <is>
          <t>No</t>
        </is>
      </c>
      <c r="K355" t="inlineStr">
        <is>
          <t>No</t>
        </is>
      </c>
      <c r="L355" t="inlineStr">
        <is>
          <t>0</t>
        </is>
      </c>
      <c r="M355" t="inlineStr">
        <is>
          <t>Iacoboni, Marco.</t>
        </is>
      </c>
      <c r="N355" t="inlineStr">
        <is>
          <t>New York : Farrar, Straus and Giroux, 2008.</t>
        </is>
      </c>
      <c r="O355" t="inlineStr">
        <is>
          <t>2008</t>
        </is>
      </c>
      <c r="P355" t="inlineStr">
        <is>
          <t>1st ed.</t>
        </is>
      </c>
      <c r="Q355" t="inlineStr">
        <is>
          <t>eng</t>
        </is>
      </c>
      <c r="R355" t="inlineStr">
        <is>
          <t>nyu</t>
        </is>
      </c>
      <c r="T355" t="inlineStr">
        <is>
          <t xml:space="preserve">QP </t>
        </is>
      </c>
      <c r="U355" t="n">
        <v>4</v>
      </c>
      <c r="V355" t="n">
        <v>4</v>
      </c>
      <c r="W355" t="inlineStr">
        <is>
          <t>2008-10-30</t>
        </is>
      </c>
      <c r="X355" t="inlineStr">
        <is>
          <t>2008-10-30</t>
        </is>
      </c>
      <c r="Y355" t="inlineStr">
        <is>
          <t>2008-10-07</t>
        </is>
      </c>
      <c r="Z355" t="inlineStr">
        <is>
          <t>2008-10-07</t>
        </is>
      </c>
      <c r="AA355" t="n">
        <v>1082</v>
      </c>
      <c r="AB355" t="n">
        <v>981</v>
      </c>
      <c r="AC355" t="n">
        <v>1090</v>
      </c>
      <c r="AD355" t="n">
        <v>10</v>
      </c>
      <c r="AE355" t="n">
        <v>10</v>
      </c>
      <c r="AF355" t="n">
        <v>29</v>
      </c>
      <c r="AG355" t="n">
        <v>30</v>
      </c>
      <c r="AH355" t="n">
        <v>9</v>
      </c>
      <c r="AI355" t="n">
        <v>10</v>
      </c>
      <c r="AJ355" t="n">
        <v>7</v>
      </c>
      <c r="AK355" t="n">
        <v>7</v>
      </c>
      <c r="AL355" t="n">
        <v>10</v>
      </c>
      <c r="AM355" t="n">
        <v>10</v>
      </c>
      <c r="AN355" t="n">
        <v>8</v>
      </c>
      <c r="AO355" t="n">
        <v>8</v>
      </c>
      <c r="AP355" t="n">
        <v>0</v>
      </c>
      <c r="AQ355" t="n">
        <v>0</v>
      </c>
      <c r="AR355" t="inlineStr">
        <is>
          <t>No</t>
        </is>
      </c>
      <c r="AS355" t="inlineStr">
        <is>
          <t>No</t>
        </is>
      </c>
      <c r="AU355">
        <f>HYPERLINK("https://creighton-primo.hosted.exlibrisgroup.com/primo-explore/search?tab=default_tab&amp;search_scope=EVERYTHING&amp;vid=01CRU&amp;lang=en_US&amp;offset=0&amp;query=any,contains,991005267189702656","Catalog Record")</f>
        <v/>
      </c>
      <c r="AV355">
        <f>HYPERLINK("http://www.worldcat.org/oclc/180752040","WorldCat Record")</f>
        <v/>
      </c>
      <c r="AW355" t="inlineStr">
        <is>
          <t>346079929:eng</t>
        </is>
      </c>
      <c r="AX355" t="inlineStr">
        <is>
          <t>180752040</t>
        </is>
      </c>
      <c r="AY355" t="inlineStr">
        <is>
          <t>991005267189702656</t>
        </is>
      </c>
      <c r="AZ355" t="inlineStr">
        <is>
          <t>991005267189702656</t>
        </is>
      </c>
      <c r="BA355" t="inlineStr">
        <is>
          <t>2264767680002656</t>
        </is>
      </c>
      <c r="BB355" t="inlineStr">
        <is>
          <t>BOOK</t>
        </is>
      </c>
      <c r="BD355" t="inlineStr">
        <is>
          <t>9780374210175</t>
        </is>
      </c>
      <c r="BE355" t="inlineStr">
        <is>
          <t>32285005461743</t>
        </is>
      </c>
      <c r="BF355" t="inlineStr">
        <is>
          <t>893720101</t>
        </is>
      </c>
    </row>
    <row r="356">
      <c r="B356" t="inlineStr">
        <is>
          <t>CURAL</t>
        </is>
      </c>
      <c r="C356" t="inlineStr">
        <is>
          <t>SHELVES</t>
        </is>
      </c>
      <c r="D356" t="inlineStr">
        <is>
          <t>QP363 .P87 1988</t>
        </is>
      </c>
      <c r="E356" t="inlineStr">
        <is>
          <t>0                      QP 0363000P  87          1988</t>
        </is>
      </c>
      <c r="F356" t="inlineStr">
        <is>
          <t>Body and brain : a trophic theory of neural connections / Dale Purves.</t>
        </is>
      </c>
      <c r="H356" t="inlineStr">
        <is>
          <t>No</t>
        </is>
      </c>
      <c r="I356" t="inlineStr">
        <is>
          <t>1</t>
        </is>
      </c>
      <c r="J356" t="inlineStr">
        <is>
          <t>No</t>
        </is>
      </c>
      <c r="K356" t="inlineStr">
        <is>
          <t>No</t>
        </is>
      </c>
      <c r="L356" t="inlineStr">
        <is>
          <t>0</t>
        </is>
      </c>
      <c r="M356" t="inlineStr">
        <is>
          <t>Purves, Dale.</t>
        </is>
      </c>
      <c r="N356" t="inlineStr">
        <is>
          <t>Cambridge, Mass. : Harvard University Press, 1988.</t>
        </is>
      </c>
      <c r="O356" t="inlineStr">
        <is>
          <t>1988</t>
        </is>
      </c>
      <c r="Q356" t="inlineStr">
        <is>
          <t>eng</t>
        </is>
      </c>
      <c r="R356" t="inlineStr">
        <is>
          <t>mau</t>
        </is>
      </c>
      <c r="T356" t="inlineStr">
        <is>
          <t xml:space="preserve">QP </t>
        </is>
      </c>
      <c r="U356" t="n">
        <v>3</v>
      </c>
      <c r="V356" t="n">
        <v>3</v>
      </c>
      <c r="W356" t="inlineStr">
        <is>
          <t>1997-04-21</t>
        </is>
      </c>
      <c r="X356" t="inlineStr">
        <is>
          <t>1997-04-21</t>
        </is>
      </c>
      <c r="Y356" t="inlineStr">
        <is>
          <t>1990-05-03</t>
        </is>
      </c>
      <c r="Z356" t="inlineStr">
        <is>
          <t>1990-05-03</t>
        </is>
      </c>
      <c r="AA356" t="n">
        <v>450</v>
      </c>
      <c r="AB356" t="n">
        <v>358</v>
      </c>
      <c r="AC356" t="n">
        <v>365</v>
      </c>
      <c r="AD356" t="n">
        <v>4</v>
      </c>
      <c r="AE356" t="n">
        <v>4</v>
      </c>
      <c r="AF356" t="n">
        <v>18</v>
      </c>
      <c r="AG356" t="n">
        <v>18</v>
      </c>
      <c r="AH356" t="n">
        <v>3</v>
      </c>
      <c r="AI356" t="n">
        <v>3</v>
      </c>
      <c r="AJ356" t="n">
        <v>4</v>
      </c>
      <c r="AK356" t="n">
        <v>4</v>
      </c>
      <c r="AL356" t="n">
        <v>11</v>
      </c>
      <c r="AM356" t="n">
        <v>11</v>
      </c>
      <c r="AN356" t="n">
        <v>3</v>
      </c>
      <c r="AO356" t="n">
        <v>3</v>
      </c>
      <c r="AP356" t="n">
        <v>0</v>
      </c>
      <c r="AQ356" t="n">
        <v>0</v>
      </c>
      <c r="AR356" t="inlineStr">
        <is>
          <t>No</t>
        </is>
      </c>
      <c r="AS356" t="inlineStr">
        <is>
          <t>Yes</t>
        </is>
      </c>
      <c r="AT356">
        <f>HYPERLINK("http://catalog.hathitrust.org/Record/000951521","HathiTrust Record")</f>
        <v/>
      </c>
      <c r="AU356">
        <f>HYPERLINK("https://creighton-primo.hosted.exlibrisgroup.com/primo-explore/search?tab=default_tab&amp;search_scope=EVERYTHING&amp;vid=01CRU&amp;lang=en_US&amp;offset=0&amp;query=any,contains,991001237379702656","Catalog Record")</f>
        <v/>
      </c>
      <c r="AV356">
        <f>HYPERLINK("http://www.worldcat.org/oclc/17552028","WorldCat Record")</f>
        <v/>
      </c>
      <c r="AW356" t="inlineStr">
        <is>
          <t>836172350:eng</t>
        </is>
      </c>
      <c r="AX356" t="inlineStr">
        <is>
          <t>17552028</t>
        </is>
      </c>
      <c r="AY356" t="inlineStr">
        <is>
          <t>991001237379702656</t>
        </is>
      </c>
      <c r="AZ356" t="inlineStr">
        <is>
          <t>991001237379702656</t>
        </is>
      </c>
      <c r="BA356" t="inlineStr">
        <is>
          <t>2263533410002656</t>
        </is>
      </c>
      <c r="BB356" t="inlineStr">
        <is>
          <t>BOOK</t>
        </is>
      </c>
      <c r="BD356" t="inlineStr">
        <is>
          <t>9780674077157</t>
        </is>
      </c>
      <c r="BE356" t="inlineStr">
        <is>
          <t>32285000117936</t>
        </is>
      </c>
      <c r="BF356" t="inlineStr">
        <is>
          <t>893225729</t>
        </is>
      </c>
    </row>
    <row r="357">
      <c r="B357" t="inlineStr">
        <is>
          <t>CURAL</t>
        </is>
      </c>
      <c r="C357" t="inlineStr">
        <is>
          <t>SHELVES</t>
        </is>
      </c>
      <c r="D357" t="inlineStr">
        <is>
          <t>QP363.3 .A534 1995</t>
        </is>
      </c>
      <c r="E357" t="inlineStr">
        <is>
          <t>0                      QP 0363300A  534         1995</t>
        </is>
      </c>
      <c r="F357" t="inlineStr">
        <is>
          <t>An introduction to neural networks / James A. Anderson.</t>
        </is>
      </c>
      <c r="H357" t="inlineStr">
        <is>
          <t>No</t>
        </is>
      </c>
      <c r="I357" t="inlineStr">
        <is>
          <t>1</t>
        </is>
      </c>
      <c r="J357" t="inlineStr">
        <is>
          <t>No</t>
        </is>
      </c>
      <c r="K357" t="inlineStr">
        <is>
          <t>No</t>
        </is>
      </c>
      <c r="L357" t="inlineStr">
        <is>
          <t>0</t>
        </is>
      </c>
      <c r="M357" t="inlineStr">
        <is>
          <t>Anderson, James A.</t>
        </is>
      </c>
      <c r="N357" t="inlineStr">
        <is>
          <t>Cambridge, Mass. : MIT Press, c1995.</t>
        </is>
      </c>
      <c r="O357" t="inlineStr">
        <is>
          <t>1995</t>
        </is>
      </c>
      <c r="Q357" t="inlineStr">
        <is>
          <t>eng</t>
        </is>
      </c>
      <c r="R357" t="inlineStr">
        <is>
          <t>mau</t>
        </is>
      </c>
      <c r="T357" t="inlineStr">
        <is>
          <t xml:space="preserve">QP </t>
        </is>
      </c>
      <c r="U357" t="n">
        <v>6</v>
      </c>
      <c r="V357" t="n">
        <v>6</v>
      </c>
      <c r="W357" t="inlineStr">
        <is>
          <t>1999-04-19</t>
        </is>
      </c>
      <c r="X357" t="inlineStr">
        <is>
          <t>1999-04-19</t>
        </is>
      </c>
      <c r="Y357" t="inlineStr">
        <is>
          <t>1997-05-09</t>
        </is>
      </c>
      <c r="Z357" t="inlineStr">
        <is>
          <t>1997-05-09</t>
        </is>
      </c>
      <c r="AA357" t="n">
        <v>745</v>
      </c>
      <c r="AB357" t="n">
        <v>558</v>
      </c>
      <c r="AC357" t="n">
        <v>580</v>
      </c>
      <c r="AD357" t="n">
        <v>5</v>
      </c>
      <c r="AE357" t="n">
        <v>5</v>
      </c>
      <c r="AF357" t="n">
        <v>27</v>
      </c>
      <c r="AG357" t="n">
        <v>28</v>
      </c>
      <c r="AH357" t="n">
        <v>11</v>
      </c>
      <c r="AI357" t="n">
        <v>11</v>
      </c>
      <c r="AJ357" t="n">
        <v>4</v>
      </c>
      <c r="AK357" t="n">
        <v>4</v>
      </c>
      <c r="AL357" t="n">
        <v>14</v>
      </c>
      <c r="AM357" t="n">
        <v>15</v>
      </c>
      <c r="AN357" t="n">
        <v>4</v>
      </c>
      <c r="AO357" t="n">
        <v>4</v>
      </c>
      <c r="AP357" t="n">
        <v>0</v>
      </c>
      <c r="AQ357" t="n">
        <v>0</v>
      </c>
      <c r="AR357" t="inlineStr">
        <is>
          <t>No</t>
        </is>
      </c>
      <c r="AS357" t="inlineStr">
        <is>
          <t>No</t>
        </is>
      </c>
      <c r="AU357">
        <f>HYPERLINK("https://creighton-primo.hosted.exlibrisgroup.com/primo-explore/search?tab=default_tab&amp;search_scope=EVERYTHING&amp;vid=01CRU&amp;lang=en_US&amp;offset=0&amp;query=any,contains,991002382179702656","Catalog Record")</f>
        <v/>
      </c>
      <c r="AV357">
        <f>HYPERLINK("http://www.worldcat.org/oclc/30971691","WorldCat Record")</f>
        <v/>
      </c>
      <c r="AW357" t="inlineStr">
        <is>
          <t>694008:eng</t>
        </is>
      </c>
      <c r="AX357" t="inlineStr">
        <is>
          <t>30971691</t>
        </is>
      </c>
      <c r="AY357" t="inlineStr">
        <is>
          <t>991002382179702656</t>
        </is>
      </c>
      <c r="AZ357" t="inlineStr">
        <is>
          <t>991002382179702656</t>
        </is>
      </c>
      <c r="BA357" t="inlineStr">
        <is>
          <t>2260738760002656</t>
        </is>
      </c>
      <c r="BB357" t="inlineStr">
        <is>
          <t>BOOK</t>
        </is>
      </c>
      <c r="BD357" t="inlineStr">
        <is>
          <t>9780262011440</t>
        </is>
      </c>
      <c r="BE357" t="inlineStr">
        <is>
          <t>32285002606530</t>
        </is>
      </c>
      <c r="BF357" t="inlineStr">
        <is>
          <t>893591285</t>
        </is>
      </c>
    </row>
    <row r="358">
      <c r="B358" t="inlineStr">
        <is>
          <t>CURAL</t>
        </is>
      </c>
      <c r="C358" t="inlineStr">
        <is>
          <t>SHELVES</t>
        </is>
      </c>
      <c r="D358" t="inlineStr">
        <is>
          <t>QP363.3 .B72 1990</t>
        </is>
      </c>
      <c r="E358" t="inlineStr">
        <is>
          <t>0                      QP 0363300B  72          1990</t>
        </is>
      </c>
      <c r="F358" t="inlineStr">
        <is>
          <t>Brain circuits and functions of the mind : essays in honor of Roger W. Sperry / Colwyn Trevarthen, editor.</t>
        </is>
      </c>
      <c r="H358" t="inlineStr">
        <is>
          <t>No</t>
        </is>
      </c>
      <c r="I358" t="inlineStr">
        <is>
          <t>1</t>
        </is>
      </c>
      <c r="J358" t="inlineStr">
        <is>
          <t>No</t>
        </is>
      </c>
      <c r="K358" t="inlineStr">
        <is>
          <t>No</t>
        </is>
      </c>
      <c r="L358" t="inlineStr">
        <is>
          <t>0</t>
        </is>
      </c>
      <c r="N358" t="inlineStr">
        <is>
          <t>Cambridge ; New York : Cambridge University Press, 1990.</t>
        </is>
      </c>
      <c r="O358" t="inlineStr">
        <is>
          <t>1990</t>
        </is>
      </c>
      <c r="Q358" t="inlineStr">
        <is>
          <t>eng</t>
        </is>
      </c>
      <c r="R358" t="inlineStr">
        <is>
          <t>enk</t>
        </is>
      </c>
      <c r="T358" t="inlineStr">
        <is>
          <t xml:space="preserve">QP </t>
        </is>
      </c>
      <c r="U358" t="n">
        <v>2</v>
      </c>
      <c r="V358" t="n">
        <v>2</v>
      </c>
      <c r="W358" t="inlineStr">
        <is>
          <t>1995-02-18</t>
        </is>
      </c>
      <c r="X358" t="inlineStr">
        <is>
          <t>1995-02-18</t>
        </is>
      </c>
      <c r="Y358" t="inlineStr">
        <is>
          <t>1991-02-08</t>
        </is>
      </c>
      <c r="Z358" t="inlineStr">
        <is>
          <t>1991-02-08</t>
        </is>
      </c>
      <c r="AA358" t="n">
        <v>389</v>
      </c>
      <c r="AB358" t="n">
        <v>280</v>
      </c>
      <c r="AC358" t="n">
        <v>280</v>
      </c>
      <c r="AD358" t="n">
        <v>3</v>
      </c>
      <c r="AE358" t="n">
        <v>3</v>
      </c>
      <c r="AF358" t="n">
        <v>18</v>
      </c>
      <c r="AG358" t="n">
        <v>18</v>
      </c>
      <c r="AH358" t="n">
        <v>7</v>
      </c>
      <c r="AI358" t="n">
        <v>7</v>
      </c>
      <c r="AJ358" t="n">
        <v>6</v>
      </c>
      <c r="AK358" t="n">
        <v>6</v>
      </c>
      <c r="AL358" t="n">
        <v>9</v>
      </c>
      <c r="AM358" t="n">
        <v>9</v>
      </c>
      <c r="AN358" t="n">
        <v>2</v>
      </c>
      <c r="AO358" t="n">
        <v>2</v>
      </c>
      <c r="AP358" t="n">
        <v>0</v>
      </c>
      <c r="AQ358" t="n">
        <v>0</v>
      </c>
      <c r="AR358" t="inlineStr">
        <is>
          <t>No</t>
        </is>
      </c>
      <c r="AS358" t="inlineStr">
        <is>
          <t>No</t>
        </is>
      </c>
      <c r="AU358">
        <f>HYPERLINK("https://creighton-primo.hosted.exlibrisgroup.com/primo-explore/search?tab=default_tab&amp;search_scope=EVERYTHING&amp;vid=01CRU&amp;lang=en_US&amp;offset=0&amp;query=any,contains,991001493499702656","Catalog Record")</f>
        <v/>
      </c>
      <c r="AV358">
        <f>HYPERLINK("http://www.worldcat.org/oclc/19740394","WorldCat Record")</f>
        <v/>
      </c>
      <c r="AW358" t="inlineStr">
        <is>
          <t>795527070:eng</t>
        </is>
      </c>
      <c r="AX358" t="inlineStr">
        <is>
          <t>19740394</t>
        </is>
      </c>
      <c r="AY358" t="inlineStr">
        <is>
          <t>991001493499702656</t>
        </is>
      </c>
      <c r="AZ358" t="inlineStr">
        <is>
          <t>991001493499702656</t>
        </is>
      </c>
      <c r="BA358" t="inlineStr">
        <is>
          <t>2264521950002656</t>
        </is>
      </c>
      <c r="BB358" t="inlineStr">
        <is>
          <t>BOOK</t>
        </is>
      </c>
      <c r="BD358" t="inlineStr">
        <is>
          <t>9780521378741</t>
        </is>
      </c>
      <c r="BE358" t="inlineStr">
        <is>
          <t>32285000463470</t>
        </is>
      </c>
      <c r="BF358" t="inlineStr">
        <is>
          <t>893509653</t>
        </is>
      </c>
    </row>
    <row r="359">
      <c r="B359" t="inlineStr">
        <is>
          <t>CURAL</t>
        </is>
      </c>
      <c r="C359" t="inlineStr">
        <is>
          <t>SHELVES</t>
        </is>
      </c>
      <c r="D359" t="inlineStr">
        <is>
          <t>QP363.3 .C45 1984</t>
        </is>
      </c>
      <c r="E359" t="inlineStr">
        <is>
          <t>0                      QP 0363300C  45          1984</t>
        </is>
      </c>
      <c r="F359" t="inlineStr">
        <is>
          <t>Cellular and molecular biology of neuronal development / edited by Ira B. Black.</t>
        </is>
      </c>
      <c r="H359" t="inlineStr">
        <is>
          <t>No</t>
        </is>
      </c>
      <c r="I359" t="inlineStr">
        <is>
          <t>1</t>
        </is>
      </c>
      <c r="J359" t="inlineStr">
        <is>
          <t>No</t>
        </is>
      </c>
      <c r="K359" t="inlineStr">
        <is>
          <t>No</t>
        </is>
      </c>
      <c r="L359" t="inlineStr">
        <is>
          <t>0</t>
        </is>
      </c>
      <c r="N359" t="inlineStr">
        <is>
          <t>New York : Plenum Press, c1984.</t>
        </is>
      </c>
      <c r="O359" t="inlineStr">
        <is>
          <t>1984</t>
        </is>
      </c>
      <c r="Q359" t="inlineStr">
        <is>
          <t>eng</t>
        </is>
      </c>
      <c r="R359" t="inlineStr">
        <is>
          <t>nyu</t>
        </is>
      </c>
      <c r="T359" t="inlineStr">
        <is>
          <t xml:space="preserve">QP </t>
        </is>
      </c>
      <c r="U359" t="n">
        <v>4</v>
      </c>
      <c r="V359" t="n">
        <v>4</v>
      </c>
      <c r="W359" t="inlineStr">
        <is>
          <t>1996-09-20</t>
        </is>
      </c>
      <c r="X359" t="inlineStr">
        <is>
          <t>1996-09-20</t>
        </is>
      </c>
      <c r="Y359" t="inlineStr">
        <is>
          <t>1993-03-03</t>
        </is>
      </c>
      <c r="Z359" t="inlineStr">
        <is>
          <t>1993-03-03</t>
        </is>
      </c>
      <c r="AA359" t="n">
        <v>232</v>
      </c>
      <c r="AB359" t="n">
        <v>178</v>
      </c>
      <c r="AC359" t="n">
        <v>198</v>
      </c>
      <c r="AD359" t="n">
        <v>1</v>
      </c>
      <c r="AE359" t="n">
        <v>1</v>
      </c>
      <c r="AF359" t="n">
        <v>4</v>
      </c>
      <c r="AG359" t="n">
        <v>5</v>
      </c>
      <c r="AH359" t="n">
        <v>0</v>
      </c>
      <c r="AI359" t="n">
        <v>1</v>
      </c>
      <c r="AJ359" t="n">
        <v>2</v>
      </c>
      <c r="AK359" t="n">
        <v>2</v>
      </c>
      <c r="AL359" t="n">
        <v>3</v>
      </c>
      <c r="AM359" t="n">
        <v>4</v>
      </c>
      <c r="AN359" t="n">
        <v>0</v>
      </c>
      <c r="AO359" t="n">
        <v>0</v>
      </c>
      <c r="AP359" t="n">
        <v>0</v>
      </c>
      <c r="AQ359" t="n">
        <v>0</v>
      </c>
      <c r="AR359" t="inlineStr">
        <is>
          <t>No</t>
        </is>
      </c>
      <c r="AS359" t="inlineStr">
        <is>
          <t>Yes</t>
        </is>
      </c>
      <c r="AT359">
        <f>HYPERLINK("http://catalog.hathitrust.org/Record/000455041","HathiTrust Record")</f>
        <v/>
      </c>
      <c r="AU359">
        <f>HYPERLINK("https://creighton-primo.hosted.exlibrisgroup.com/primo-explore/search?tab=default_tab&amp;search_scope=EVERYTHING&amp;vid=01CRU&amp;lang=en_US&amp;offset=0&amp;query=any,contains,991000341099702656","Catalog Record")</f>
        <v/>
      </c>
      <c r="AV359">
        <f>HYPERLINK("http://www.worldcat.org/oclc/10272902","WorldCat Record")</f>
        <v/>
      </c>
      <c r="AW359" t="inlineStr">
        <is>
          <t>3125947:eng</t>
        </is>
      </c>
      <c r="AX359" t="inlineStr">
        <is>
          <t>10272902</t>
        </is>
      </c>
      <c r="AY359" t="inlineStr">
        <is>
          <t>991000341099702656</t>
        </is>
      </c>
      <c r="AZ359" t="inlineStr">
        <is>
          <t>991000341099702656</t>
        </is>
      </c>
      <c r="BA359" t="inlineStr">
        <is>
          <t>2271005360002656</t>
        </is>
      </c>
      <c r="BB359" t="inlineStr">
        <is>
          <t>BOOK</t>
        </is>
      </c>
      <c r="BD359" t="inlineStr">
        <is>
          <t>9780306415500</t>
        </is>
      </c>
      <c r="BE359" t="inlineStr">
        <is>
          <t>32285001561488</t>
        </is>
      </c>
      <c r="BF359" t="inlineStr">
        <is>
          <t>893708292</t>
        </is>
      </c>
    </row>
    <row r="360">
      <c r="B360" t="inlineStr">
        <is>
          <t>CURAL</t>
        </is>
      </c>
      <c r="C360" t="inlineStr">
        <is>
          <t>SHELVES</t>
        </is>
      </c>
      <c r="D360" t="inlineStr">
        <is>
          <t>QP363.3 .I44 1987</t>
        </is>
      </c>
      <c r="E360" t="inlineStr">
        <is>
          <t>0                      QP 0363300I  44          1987</t>
        </is>
      </c>
      <c r="F360" t="inlineStr">
        <is>
          <t>IEEE First International Conference on Neural Networks, Sheraton Harbor Island East, San Diego, California, June 21-24, 1987 / editors, Maureen Caudill, Charles Butler.</t>
        </is>
      </c>
      <c r="G360" t="inlineStr">
        <is>
          <t>V.1</t>
        </is>
      </c>
      <c r="H360" t="inlineStr">
        <is>
          <t>Yes</t>
        </is>
      </c>
      <c r="I360" t="inlineStr">
        <is>
          <t>1</t>
        </is>
      </c>
      <c r="J360" t="inlineStr">
        <is>
          <t>No</t>
        </is>
      </c>
      <c r="K360" t="inlineStr">
        <is>
          <t>No</t>
        </is>
      </c>
      <c r="L360" t="inlineStr">
        <is>
          <t>0</t>
        </is>
      </c>
      <c r="M360" t="inlineStr">
        <is>
          <t>IEEE International Conference on Neural Networks (1st : 1987 : San Diego, Calif.)</t>
        </is>
      </c>
      <c r="N360" t="inlineStr">
        <is>
          <t>San Diego, CA : SOS Print. ; Piscataway, NJ : Order from IEEE Service Center, c1987.</t>
        </is>
      </c>
      <c r="O360" t="inlineStr">
        <is>
          <t>1987</t>
        </is>
      </c>
      <c r="Q360" t="inlineStr">
        <is>
          <t>eng</t>
        </is>
      </c>
      <c r="R360" t="inlineStr">
        <is>
          <t>cau</t>
        </is>
      </c>
      <c r="T360" t="inlineStr">
        <is>
          <t xml:space="preserve">QP </t>
        </is>
      </c>
      <c r="U360" t="n">
        <v>6</v>
      </c>
      <c r="V360" t="n">
        <v>28</v>
      </c>
      <c r="W360" t="inlineStr">
        <is>
          <t>1993-12-05</t>
        </is>
      </c>
      <c r="X360" t="inlineStr">
        <is>
          <t>2003-05-30</t>
        </is>
      </c>
      <c r="Y360" t="inlineStr">
        <is>
          <t>1993-03-03</t>
        </is>
      </c>
      <c r="Z360" t="inlineStr">
        <is>
          <t>1993-03-03</t>
        </is>
      </c>
      <c r="AA360" t="n">
        <v>126</v>
      </c>
      <c r="AB360" t="n">
        <v>94</v>
      </c>
      <c r="AC360" t="n">
        <v>98</v>
      </c>
      <c r="AD360" t="n">
        <v>1</v>
      </c>
      <c r="AE360" t="n">
        <v>1</v>
      </c>
      <c r="AF360" t="n">
        <v>0</v>
      </c>
      <c r="AG360" t="n">
        <v>0</v>
      </c>
      <c r="AH360" t="n">
        <v>0</v>
      </c>
      <c r="AI360" t="n">
        <v>0</v>
      </c>
      <c r="AJ360" t="n">
        <v>0</v>
      </c>
      <c r="AK360" t="n">
        <v>0</v>
      </c>
      <c r="AL360" t="n">
        <v>0</v>
      </c>
      <c r="AM360" t="n">
        <v>0</v>
      </c>
      <c r="AN360" t="n">
        <v>0</v>
      </c>
      <c r="AO360" t="n">
        <v>0</v>
      </c>
      <c r="AP360" t="n">
        <v>0</v>
      </c>
      <c r="AQ360" t="n">
        <v>0</v>
      </c>
      <c r="AR360" t="inlineStr">
        <is>
          <t>No</t>
        </is>
      </c>
      <c r="AS360" t="inlineStr">
        <is>
          <t>Yes</t>
        </is>
      </c>
      <c r="AT360">
        <f>HYPERLINK("http://catalog.hathitrust.org/Record/009325363","HathiTrust Record")</f>
        <v/>
      </c>
      <c r="AU360">
        <f>HYPERLINK("https://creighton-primo.hosted.exlibrisgroup.com/primo-explore/search?tab=default_tab&amp;search_scope=EVERYTHING&amp;vid=01CRU&amp;lang=en_US&amp;offset=0&amp;query=any,contains,991001237589702656","Catalog Record")</f>
        <v/>
      </c>
      <c r="AV360">
        <f>HYPERLINK("http://www.worldcat.org/oclc/17554028","WorldCat Record")</f>
        <v/>
      </c>
      <c r="AW360" t="inlineStr">
        <is>
          <t>23448623:eng</t>
        </is>
      </c>
      <c r="AX360" t="inlineStr">
        <is>
          <t>17554028</t>
        </is>
      </c>
      <c r="AY360" t="inlineStr">
        <is>
          <t>991001237589702656</t>
        </is>
      </c>
      <c r="AZ360" t="inlineStr">
        <is>
          <t>991001237589702656</t>
        </is>
      </c>
      <c r="BA360" t="inlineStr">
        <is>
          <t>2263069170002656</t>
        </is>
      </c>
      <c r="BB360" t="inlineStr">
        <is>
          <t>BOOK</t>
        </is>
      </c>
      <c r="BE360" t="inlineStr">
        <is>
          <t>32285001561496</t>
        </is>
      </c>
      <c r="BF360" t="inlineStr">
        <is>
          <t>893231827</t>
        </is>
      </c>
    </row>
    <row r="361">
      <c r="B361" t="inlineStr">
        <is>
          <t>CURAL</t>
        </is>
      </c>
      <c r="C361" t="inlineStr">
        <is>
          <t>SHELVES</t>
        </is>
      </c>
      <c r="D361" t="inlineStr">
        <is>
          <t>QP363.3 .I44 1987</t>
        </is>
      </c>
      <c r="E361" t="inlineStr">
        <is>
          <t>0                      QP 0363300I  44          1987</t>
        </is>
      </c>
      <c r="F361" t="inlineStr">
        <is>
          <t>IEEE First International Conference on Neural Networks, Sheraton Harbor Island East, San Diego, California, June 21-24, 1987 / editors, Maureen Caudill, Charles Butler.</t>
        </is>
      </c>
      <c r="G361" t="inlineStr">
        <is>
          <t>V.2</t>
        </is>
      </c>
      <c r="H361" t="inlineStr">
        <is>
          <t>Yes</t>
        </is>
      </c>
      <c r="I361" t="inlineStr">
        <is>
          <t>1</t>
        </is>
      </c>
      <c r="J361" t="inlineStr">
        <is>
          <t>No</t>
        </is>
      </c>
      <c r="K361" t="inlineStr">
        <is>
          <t>No</t>
        </is>
      </c>
      <c r="L361" t="inlineStr">
        <is>
          <t>0</t>
        </is>
      </c>
      <c r="M361" t="inlineStr">
        <is>
          <t>IEEE International Conference on Neural Networks (1st : 1987 : San Diego, Calif.)</t>
        </is>
      </c>
      <c r="N361" t="inlineStr">
        <is>
          <t>San Diego, CA : SOS Print. ; Piscataway, NJ : Order from IEEE Service Center, c1987.</t>
        </is>
      </c>
      <c r="O361" t="inlineStr">
        <is>
          <t>1987</t>
        </is>
      </c>
      <c r="Q361" t="inlineStr">
        <is>
          <t>eng</t>
        </is>
      </c>
      <c r="R361" t="inlineStr">
        <is>
          <t>cau</t>
        </is>
      </c>
      <c r="T361" t="inlineStr">
        <is>
          <t xml:space="preserve">QP </t>
        </is>
      </c>
      <c r="U361" t="n">
        <v>8</v>
      </c>
      <c r="V361" t="n">
        <v>28</v>
      </c>
      <c r="W361" t="inlineStr">
        <is>
          <t>2003-05-30</t>
        </is>
      </c>
      <c r="X361" t="inlineStr">
        <is>
          <t>2003-05-30</t>
        </is>
      </c>
      <c r="Y361" t="inlineStr">
        <is>
          <t>1993-03-03</t>
        </is>
      </c>
      <c r="Z361" t="inlineStr">
        <is>
          <t>1993-03-03</t>
        </is>
      </c>
      <c r="AA361" t="n">
        <v>126</v>
      </c>
      <c r="AB361" t="n">
        <v>94</v>
      </c>
      <c r="AC361" t="n">
        <v>98</v>
      </c>
      <c r="AD361" t="n">
        <v>1</v>
      </c>
      <c r="AE361" t="n">
        <v>1</v>
      </c>
      <c r="AF361" t="n">
        <v>0</v>
      </c>
      <c r="AG361" t="n">
        <v>0</v>
      </c>
      <c r="AH361" t="n">
        <v>0</v>
      </c>
      <c r="AI361" t="n">
        <v>0</v>
      </c>
      <c r="AJ361" t="n">
        <v>0</v>
      </c>
      <c r="AK361" t="n">
        <v>0</v>
      </c>
      <c r="AL361" t="n">
        <v>0</v>
      </c>
      <c r="AM361" t="n">
        <v>0</v>
      </c>
      <c r="AN361" t="n">
        <v>0</v>
      </c>
      <c r="AO361" t="n">
        <v>0</v>
      </c>
      <c r="AP361" t="n">
        <v>0</v>
      </c>
      <c r="AQ361" t="n">
        <v>0</v>
      </c>
      <c r="AR361" t="inlineStr">
        <is>
          <t>No</t>
        </is>
      </c>
      <c r="AS361" t="inlineStr">
        <is>
          <t>Yes</t>
        </is>
      </c>
      <c r="AT361">
        <f>HYPERLINK("http://catalog.hathitrust.org/Record/009325363","HathiTrust Record")</f>
        <v/>
      </c>
      <c r="AU361">
        <f>HYPERLINK("https://creighton-primo.hosted.exlibrisgroup.com/primo-explore/search?tab=default_tab&amp;search_scope=EVERYTHING&amp;vid=01CRU&amp;lang=en_US&amp;offset=0&amp;query=any,contains,991001237589702656","Catalog Record")</f>
        <v/>
      </c>
      <c r="AV361">
        <f>HYPERLINK("http://www.worldcat.org/oclc/17554028","WorldCat Record")</f>
        <v/>
      </c>
      <c r="AW361" t="inlineStr">
        <is>
          <t>23448623:eng</t>
        </is>
      </c>
      <c r="AX361" t="inlineStr">
        <is>
          <t>17554028</t>
        </is>
      </c>
      <c r="AY361" t="inlineStr">
        <is>
          <t>991001237589702656</t>
        </is>
      </c>
      <c r="AZ361" t="inlineStr">
        <is>
          <t>991001237589702656</t>
        </is>
      </c>
      <c r="BA361" t="inlineStr">
        <is>
          <t>2263069170002656</t>
        </is>
      </c>
      <c r="BB361" t="inlineStr">
        <is>
          <t>BOOK</t>
        </is>
      </c>
      <c r="BE361" t="inlineStr">
        <is>
          <t>32285001561504</t>
        </is>
      </c>
      <c r="BF361" t="inlineStr">
        <is>
          <t>893256127</t>
        </is>
      </c>
    </row>
    <row r="362">
      <c r="B362" t="inlineStr">
        <is>
          <t>CURAL</t>
        </is>
      </c>
      <c r="C362" t="inlineStr">
        <is>
          <t>SHELVES</t>
        </is>
      </c>
      <c r="D362" t="inlineStr">
        <is>
          <t>QP363.3 .I44 1987</t>
        </is>
      </c>
      <c r="E362" t="inlineStr">
        <is>
          <t>0                      QP 0363300I  44          1987</t>
        </is>
      </c>
      <c r="F362" t="inlineStr">
        <is>
          <t>IEEE First International Conference on Neural Networks, Sheraton Harbor Island East, San Diego, California, June 21-24, 1987 / editors, Maureen Caudill, Charles Butler.</t>
        </is>
      </c>
      <c r="G362" t="inlineStr">
        <is>
          <t>V.3</t>
        </is>
      </c>
      <c r="H362" t="inlineStr">
        <is>
          <t>Yes</t>
        </is>
      </c>
      <c r="I362" t="inlineStr">
        <is>
          <t>1</t>
        </is>
      </c>
      <c r="J362" t="inlineStr">
        <is>
          <t>No</t>
        </is>
      </c>
      <c r="K362" t="inlineStr">
        <is>
          <t>No</t>
        </is>
      </c>
      <c r="L362" t="inlineStr">
        <is>
          <t>0</t>
        </is>
      </c>
      <c r="M362" t="inlineStr">
        <is>
          <t>IEEE International Conference on Neural Networks (1st : 1987 : San Diego, Calif.)</t>
        </is>
      </c>
      <c r="N362" t="inlineStr">
        <is>
          <t>San Diego, CA : SOS Print. ; Piscataway, NJ : Order from IEEE Service Center, c1987.</t>
        </is>
      </c>
      <c r="O362" t="inlineStr">
        <is>
          <t>1987</t>
        </is>
      </c>
      <c r="Q362" t="inlineStr">
        <is>
          <t>eng</t>
        </is>
      </c>
      <c r="R362" t="inlineStr">
        <is>
          <t>cau</t>
        </is>
      </c>
      <c r="T362" t="inlineStr">
        <is>
          <t xml:space="preserve">QP </t>
        </is>
      </c>
      <c r="U362" t="n">
        <v>6</v>
      </c>
      <c r="V362" t="n">
        <v>28</v>
      </c>
      <c r="W362" t="inlineStr">
        <is>
          <t>1993-12-05</t>
        </is>
      </c>
      <c r="X362" t="inlineStr">
        <is>
          <t>2003-05-30</t>
        </is>
      </c>
      <c r="Y362" t="inlineStr">
        <is>
          <t>1993-03-03</t>
        </is>
      </c>
      <c r="Z362" t="inlineStr">
        <is>
          <t>1993-03-03</t>
        </is>
      </c>
      <c r="AA362" t="n">
        <v>126</v>
      </c>
      <c r="AB362" t="n">
        <v>94</v>
      </c>
      <c r="AC362" t="n">
        <v>98</v>
      </c>
      <c r="AD362" t="n">
        <v>1</v>
      </c>
      <c r="AE362" t="n">
        <v>1</v>
      </c>
      <c r="AF362" t="n">
        <v>0</v>
      </c>
      <c r="AG362" t="n">
        <v>0</v>
      </c>
      <c r="AH362" t="n">
        <v>0</v>
      </c>
      <c r="AI362" t="n">
        <v>0</v>
      </c>
      <c r="AJ362" t="n">
        <v>0</v>
      </c>
      <c r="AK362" t="n">
        <v>0</v>
      </c>
      <c r="AL362" t="n">
        <v>0</v>
      </c>
      <c r="AM362" t="n">
        <v>0</v>
      </c>
      <c r="AN362" t="n">
        <v>0</v>
      </c>
      <c r="AO362" t="n">
        <v>0</v>
      </c>
      <c r="AP362" t="n">
        <v>0</v>
      </c>
      <c r="AQ362" t="n">
        <v>0</v>
      </c>
      <c r="AR362" t="inlineStr">
        <is>
          <t>No</t>
        </is>
      </c>
      <c r="AS362" t="inlineStr">
        <is>
          <t>Yes</t>
        </is>
      </c>
      <c r="AT362">
        <f>HYPERLINK("http://catalog.hathitrust.org/Record/009325363","HathiTrust Record")</f>
        <v/>
      </c>
      <c r="AU362">
        <f>HYPERLINK("https://creighton-primo.hosted.exlibrisgroup.com/primo-explore/search?tab=default_tab&amp;search_scope=EVERYTHING&amp;vid=01CRU&amp;lang=en_US&amp;offset=0&amp;query=any,contains,991001237589702656","Catalog Record")</f>
        <v/>
      </c>
      <c r="AV362">
        <f>HYPERLINK("http://www.worldcat.org/oclc/17554028","WorldCat Record")</f>
        <v/>
      </c>
      <c r="AW362" t="inlineStr">
        <is>
          <t>23448623:eng</t>
        </is>
      </c>
      <c r="AX362" t="inlineStr">
        <is>
          <t>17554028</t>
        </is>
      </c>
      <c r="AY362" t="inlineStr">
        <is>
          <t>991001237589702656</t>
        </is>
      </c>
      <c r="AZ362" t="inlineStr">
        <is>
          <t>991001237589702656</t>
        </is>
      </c>
      <c r="BA362" t="inlineStr">
        <is>
          <t>2263069170002656</t>
        </is>
      </c>
      <c r="BB362" t="inlineStr">
        <is>
          <t>BOOK</t>
        </is>
      </c>
      <c r="BE362" t="inlineStr">
        <is>
          <t>32285001561512</t>
        </is>
      </c>
      <c r="BF362" t="inlineStr">
        <is>
          <t>893243975</t>
        </is>
      </c>
    </row>
    <row r="363">
      <c r="B363" t="inlineStr">
        <is>
          <t>CURAL</t>
        </is>
      </c>
      <c r="C363" t="inlineStr">
        <is>
          <t>SHELVES</t>
        </is>
      </c>
      <c r="D363" t="inlineStr">
        <is>
          <t>QP363.3 .I44 1987</t>
        </is>
      </c>
      <c r="E363" t="inlineStr">
        <is>
          <t>0                      QP 0363300I  44          1987</t>
        </is>
      </c>
      <c r="F363" t="inlineStr">
        <is>
          <t>IEEE First International Conference on Neural Networks, Sheraton Harbor Island East, San Diego, California, June 21-24, 1987 / editors, Maureen Caudill, Charles Butler.</t>
        </is>
      </c>
      <c r="G363" t="inlineStr">
        <is>
          <t>V.4</t>
        </is>
      </c>
      <c r="H363" t="inlineStr">
        <is>
          <t>Yes</t>
        </is>
      </c>
      <c r="I363" t="inlineStr">
        <is>
          <t>1</t>
        </is>
      </c>
      <c r="J363" t="inlineStr">
        <is>
          <t>No</t>
        </is>
      </c>
      <c r="K363" t="inlineStr">
        <is>
          <t>No</t>
        </is>
      </c>
      <c r="L363" t="inlineStr">
        <is>
          <t>0</t>
        </is>
      </c>
      <c r="M363" t="inlineStr">
        <is>
          <t>IEEE International Conference on Neural Networks (1st : 1987 : San Diego, Calif.)</t>
        </is>
      </c>
      <c r="N363" t="inlineStr">
        <is>
          <t>San Diego, CA : SOS Print. ; Piscataway, NJ : Order from IEEE Service Center, c1987.</t>
        </is>
      </c>
      <c r="O363" t="inlineStr">
        <is>
          <t>1987</t>
        </is>
      </c>
      <c r="Q363" t="inlineStr">
        <is>
          <t>eng</t>
        </is>
      </c>
      <c r="R363" t="inlineStr">
        <is>
          <t>cau</t>
        </is>
      </c>
      <c r="T363" t="inlineStr">
        <is>
          <t xml:space="preserve">QP </t>
        </is>
      </c>
      <c r="U363" t="n">
        <v>8</v>
      </c>
      <c r="V363" t="n">
        <v>28</v>
      </c>
      <c r="W363" t="inlineStr">
        <is>
          <t>1995-03-29</t>
        </is>
      </c>
      <c r="X363" t="inlineStr">
        <is>
          <t>2003-05-30</t>
        </is>
      </c>
      <c r="Y363" t="inlineStr">
        <is>
          <t>1993-03-03</t>
        </is>
      </c>
      <c r="Z363" t="inlineStr">
        <is>
          <t>1993-03-03</t>
        </is>
      </c>
      <c r="AA363" t="n">
        <v>126</v>
      </c>
      <c r="AB363" t="n">
        <v>94</v>
      </c>
      <c r="AC363" t="n">
        <v>98</v>
      </c>
      <c r="AD363" t="n">
        <v>1</v>
      </c>
      <c r="AE363" t="n">
        <v>1</v>
      </c>
      <c r="AF363" t="n">
        <v>0</v>
      </c>
      <c r="AG363" t="n">
        <v>0</v>
      </c>
      <c r="AH363" t="n">
        <v>0</v>
      </c>
      <c r="AI363" t="n">
        <v>0</v>
      </c>
      <c r="AJ363" t="n">
        <v>0</v>
      </c>
      <c r="AK363" t="n">
        <v>0</v>
      </c>
      <c r="AL363" t="n">
        <v>0</v>
      </c>
      <c r="AM363" t="n">
        <v>0</v>
      </c>
      <c r="AN363" t="n">
        <v>0</v>
      </c>
      <c r="AO363" t="n">
        <v>0</v>
      </c>
      <c r="AP363" t="n">
        <v>0</v>
      </c>
      <c r="AQ363" t="n">
        <v>0</v>
      </c>
      <c r="AR363" t="inlineStr">
        <is>
          <t>No</t>
        </is>
      </c>
      <c r="AS363" t="inlineStr">
        <is>
          <t>Yes</t>
        </is>
      </c>
      <c r="AT363">
        <f>HYPERLINK("http://catalog.hathitrust.org/Record/009325363","HathiTrust Record")</f>
        <v/>
      </c>
      <c r="AU363">
        <f>HYPERLINK("https://creighton-primo.hosted.exlibrisgroup.com/primo-explore/search?tab=default_tab&amp;search_scope=EVERYTHING&amp;vid=01CRU&amp;lang=en_US&amp;offset=0&amp;query=any,contains,991001237589702656","Catalog Record")</f>
        <v/>
      </c>
      <c r="AV363">
        <f>HYPERLINK("http://www.worldcat.org/oclc/17554028","WorldCat Record")</f>
        <v/>
      </c>
      <c r="AW363" t="inlineStr">
        <is>
          <t>23448623:eng</t>
        </is>
      </c>
      <c r="AX363" t="inlineStr">
        <is>
          <t>17554028</t>
        </is>
      </c>
      <c r="AY363" t="inlineStr">
        <is>
          <t>991001237589702656</t>
        </is>
      </c>
      <c r="AZ363" t="inlineStr">
        <is>
          <t>991001237589702656</t>
        </is>
      </c>
      <c r="BA363" t="inlineStr">
        <is>
          <t>2263069170002656</t>
        </is>
      </c>
      <c r="BB363" t="inlineStr">
        <is>
          <t>BOOK</t>
        </is>
      </c>
      <c r="BE363" t="inlineStr">
        <is>
          <t>32285001561520</t>
        </is>
      </c>
      <c r="BF363" t="inlineStr">
        <is>
          <t>893243974</t>
        </is>
      </c>
    </row>
    <row r="364">
      <c r="B364" t="inlineStr">
        <is>
          <t>CURAL</t>
        </is>
      </c>
      <c r="C364" t="inlineStr">
        <is>
          <t>SHELVES</t>
        </is>
      </c>
      <c r="D364" t="inlineStr">
        <is>
          <t>QP363.3 .I44 1988</t>
        </is>
      </c>
      <c r="E364" t="inlineStr">
        <is>
          <t>0                      QP 0363300I  44          1988</t>
        </is>
      </c>
      <c r="F364" t="inlineStr">
        <is>
          <t>IEEE International Conference on Neural Networks, Sheraton Harbor Island, San Diego, California, July 24-27, 1988 / sponsored by IEEE San Diego Section, IEEE Technical Activities Board, Neural Network Committee.</t>
        </is>
      </c>
      <c r="G364" t="inlineStr">
        <is>
          <t>V.1</t>
        </is>
      </c>
      <c r="H364" t="inlineStr">
        <is>
          <t>Yes</t>
        </is>
      </c>
      <c r="I364" t="inlineStr">
        <is>
          <t>1</t>
        </is>
      </c>
      <c r="J364" t="inlineStr">
        <is>
          <t>No</t>
        </is>
      </c>
      <c r="K364" t="inlineStr">
        <is>
          <t>No</t>
        </is>
      </c>
      <c r="L364" t="inlineStr">
        <is>
          <t>0</t>
        </is>
      </c>
      <c r="M364" t="inlineStr">
        <is>
          <t>IEEE International Conference on Neural Networks (1988 : San Diego, Calif.)</t>
        </is>
      </c>
      <c r="N364" t="inlineStr">
        <is>
          <t>San Diego, CA : The Section ; Piscataway, NJ : Order from IEEE Service Center, c1988.</t>
        </is>
      </c>
      <c r="O364" t="inlineStr">
        <is>
          <t>1988</t>
        </is>
      </c>
      <c r="Q364" t="inlineStr">
        <is>
          <t>eng</t>
        </is>
      </c>
      <c r="R364" t="inlineStr">
        <is>
          <t>cau</t>
        </is>
      </c>
      <c r="T364" t="inlineStr">
        <is>
          <t xml:space="preserve">QP </t>
        </is>
      </c>
      <c r="U364" t="n">
        <v>7</v>
      </c>
      <c r="V364" t="n">
        <v>12</v>
      </c>
      <c r="W364" t="inlineStr">
        <is>
          <t>1993-12-05</t>
        </is>
      </c>
      <c r="X364" t="inlineStr">
        <is>
          <t>1999-02-21</t>
        </is>
      </c>
      <c r="Y364" t="inlineStr">
        <is>
          <t>1993-03-03</t>
        </is>
      </c>
      <c r="Z364" t="inlineStr">
        <is>
          <t>1993-03-03</t>
        </is>
      </c>
      <c r="AA364" t="n">
        <v>90</v>
      </c>
      <c r="AB364" t="n">
        <v>69</v>
      </c>
      <c r="AC364" t="n">
        <v>201</v>
      </c>
      <c r="AD364" t="n">
        <v>1</v>
      </c>
      <c r="AE364" t="n">
        <v>4</v>
      </c>
      <c r="AF364" t="n">
        <v>0</v>
      </c>
      <c r="AG364" t="n">
        <v>8</v>
      </c>
      <c r="AH364" t="n">
        <v>0</v>
      </c>
      <c r="AI364" t="n">
        <v>1</v>
      </c>
      <c r="AJ364" t="n">
        <v>0</v>
      </c>
      <c r="AK364" t="n">
        <v>3</v>
      </c>
      <c r="AL364" t="n">
        <v>0</v>
      </c>
      <c r="AM364" t="n">
        <v>2</v>
      </c>
      <c r="AN364" t="n">
        <v>0</v>
      </c>
      <c r="AO364" t="n">
        <v>3</v>
      </c>
      <c r="AP364" t="n">
        <v>0</v>
      </c>
      <c r="AQ364" t="n">
        <v>0</v>
      </c>
      <c r="AR364" t="inlineStr">
        <is>
          <t>No</t>
        </is>
      </c>
      <c r="AS364" t="inlineStr">
        <is>
          <t>Yes</t>
        </is>
      </c>
      <c r="AT364">
        <f>HYPERLINK("http://catalog.hathitrust.org/Record/010517859","HathiTrust Record")</f>
        <v/>
      </c>
      <c r="AU364">
        <f>HYPERLINK("https://creighton-primo.hosted.exlibrisgroup.com/primo-explore/search?tab=default_tab&amp;search_scope=EVERYTHING&amp;vid=01CRU&amp;lang=en_US&amp;offset=0&amp;query=any,contains,991001549789702656","Catalog Record")</f>
        <v/>
      </c>
      <c r="AV364">
        <f>HYPERLINK("http://www.worldcat.org/oclc/20217804","WorldCat Record")</f>
        <v/>
      </c>
      <c r="AW364" t="inlineStr">
        <is>
          <t>22115237:eng</t>
        </is>
      </c>
      <c r="AX364" t="inlineStr">
        <is>
          <t>20217804</t>
        </is>
      </c>
      <c r="AY364" t="inlineStr">
        <is>
          <t>991001549789702656</t>
        </is>
      </c>
      <c r="AZ364" t="inlineStr">
        <is>
          <t>991001549789702656</t>
        </is>
      </c>
      <c r="BA364" t="inlineStr">
        <is>
          <t>2271611820002656</t>
        </is>
      </c>
      <c r="BB364" t="inlineStr">
        <is>
          <t>BOOK</t>
        </is>
      </c>
      <c r="BE364" t="inlineStr">
        <is>
          <t>32285001561538</t>
        </is>
      </c>
      <c r="BF364" t="inlineStr">
        <is>
          <t>893778863</t>
        </is>
      </c>
    </row>
    <row r="365">
      <c r="B365" t="inlineStr">
        <is>
          <t>CURAL</t>
        </is>
      </c>
      <c r="C365" t="inlineStr">
        <is>
          <t>SHELVES</t>
        </is>
      </c>
      <c r="D365" t="inlineStr">
        <is>
          <t>QP363.3 .I44 1988</t>
        </is>
      </c>
      <c r="E365" t="inlineStr">
        <is>
          <t>0                      QP 0363300I  44          1988</t>
        </is>
      </c>
      <c r="F365" t="inlineStr">
        <is>
          <t>IEEE International Conference on Neural Networks, Sheraton Harbor Island, San Diego, California, July 24-27, 1988 / sponsored by IEEE San Diego Section, IEEE Technical Activities Board, Neural Network Committee.</t>
        </is>
      </c>
      <c r="G365" t="inlineStr">
        <is>
          <t>V.2</t>
        </is>
      </c>
      <c r="H365" t="inlineStr">
        <is>
          <t>Yes</t>
        </is>
      </c>
      <c r="I365" t="inlineStr">
        <is>
          <t>1</t>
        </is>
      </c>
      <c r="J365" t="inlineStr">
        <is>
          <t>No</t>
        </is>
      </c>
      <c r="K365" t="inlineStr">
        <is>
          <t>No</t>
        </is>
      </c>
      <c r="L365" t="inlineStr">
        <is>
          <t>0</t>
        </is>
      </c>
      <c r="M365" t="inlineStr">
        <is>
          <t>IEEE International Conference on Neural Networks (1988 : San Diego, Calif.)</t>
        </is>
      </c>
      <c r="N365" t="inlineStr">
        <is>
          <t>San Diego, CA : The Section ; Piscataway, NJ : Order from IEEE Service Center, c1988.</t>
        </is>
      </c>
      <c r="O365" t="inlineStr">
        <is>
          <t>1988</t>
        </is>
      </c>
      <c r="Q365" t="inlineStr">
        <is>
          <t>eng</t>
        </is>
      </c>
      <c r="R365" t="inlineStr">
        <is>
          <t>cau</t>
        </is>
      </c>
      <c r="T365" t="inlineStr">
        <is>
          <t xml:space="preserve">QP </t>
        </is>
      </c>
      <c r="U365" t="n">
        <v>5</v>
      </c>
      <c r="V365" t="n">
        <v>12</v>
      </c>
      <c r="W365" t="inlineStr">
        <is>
          <t>1999-02-21</t>
        </is>
      </c>
      <c r="X365" t="inlineStr">
        <is>
          <t>1999-02-21</t>
        </is>
      </c>
      <c r="Y365" t="inlineStr">
        <is>
          <t>1992-01-10</t>
        </is>
      </c>
      <c r="Z365" t="inlineStr">
        <is>
          <t>1993-03-03</t>
        </is>
      </c>
      <c r="AA365" t="n">
        <v>90</v>
      </c>
      <c r="AB365" t="n">
        <v>69</v>
      </c>
      <c r="AC365" t="n">
        <v>201</v>
      </c>
      <c r="AD365" t="n">
        <v>1</v>
      </c>
      <c r="AE365" t="n">
        <v>4</v>
      </c>
      <c r="AF365" t="n">
        <v>0</v>
      </c>
      <c r="AG365" t="n">
        <v>8</v>
      </c>
      <c r="AH365" t="n">
        <v>0</v>
      </c>
      <c r="AI365" t="n">
        <v>1</v>
      </c>
      <c r="AJ365" t="n">
        <v>0</v>
      </c>
      <c r="AK365" t="n">
        <v>3</v>
      </c>
      <c r="AL365" t="n">
        <v>0</v>
      </c>
      <c r="AM365" t="n">
        <v>2</v>
      </c>
      <c r="AN365" t="n">
        <v>0</v>
      </c>
      <c r="AO365" t="n">
        <v>3</v>
      </c>
      <c r="AP365" t="n">
        <v>0</v>
      </c>
      <c r="AQ365" t="n">
        <v>0</v>
      </c>
      <c r="AR365" t="inlineStr">
        <is>
          <t>No</t>
        </is>
      </c>
      <c r="AS365" t="inlineStr">
        <is>
          <t>Yes</t>
        </is>
      </c>
      <c r="AT365">
        <f>HYPERLINK("http://catalog.hathitrust.org/Record/010517859","HathiTrust Record")</f>
        <v/>
      </c>
      <c r="AU365">
        <f>HYPERLINK("https://creighton-primo.hosted.exlibrisgroup.com/primo-explore/search?tab=default_tab&amp;search_scope=EVERYTHING&amp;vid=01CRU&amp;lang=en_US&amp;offset=0&amp;query=any,contains,991001549789702656","Catalog Record")</f>
        <v/>
      </c>
      <c r="AV365">
        <f>HYPERLINK("http://www.worldcat.org/oclc/20217804","WorldCat Record")</f>
        <v/>
      </c>
      <c r="AW365" t="inlineStr">
        <is>
          <t>22115237:eng</t>
        </is>
      </c>
      <c r="AX365" t="inlineStr">
        <is>
          <t>20217804</t>
        </is>
      </c>
      <c r="AY365" t="inlineStr">
        <is>
          <t>991001549789702656</t>
        </is>
      </c>
      <c r="AZ365" t="inlineStr">
        <is>
          <t>991001549789702656</t>
        </is>
      </c>
      <c r="BA365" t="inlineStr">
        <is>
          <t>2271611820002656</t>
        </is>
      </c>
      <c r="BB365" t="inlineStr">
        <is>
          <t>BOOK</t>
        </is>
      </c>
      <c r="BE365" t="inlineStr">
        <is>
          <t>32285000912385</t>
        </is>
      </c>
      <c r="BF365" t="inlineStr">
        <is>
          <t>893803676</t>
        </is>
      </c>
    </row>
    <row r="366">
      <c r="B366" t="inlineStr">
        <is>
          <t>CURAL</t>
        </is>
      </c>
      <c r="C366" t="inlineStr">
        <is>
          <t>SHELVES</t>
        </is>
      </c>
      <c r="D366" t="inlineStr">
        <is>
          <t>QP363.3 .I565 1990</t>
        </is>
      </c>
      <c r="E366" t="inlineStr">
        <is>
          <t>0                      QP 0363300I  565         1990</t>
        </is>
      </c>
      <c r="F366" t="inlineStr">
        <is>
          <t>IJCNN International Joint Conference on Neural Networks, June 17-21, 1990, San Diego Marriott Hotel and Marina / [co-sponsored by] the Institute of Electrical and Electronics Engineers and International Neural Network Society.</t>
        </is>
      </c>
      <c r="G366" t="inlineStr">
        <is>
          <t>V.2</t>
        </is>
      </c>
      <c r="H366" t="inlineStr">
        <is>
          <t>Yes</t>
        </is>
      </c>
      <c r="I366" t="inlineStr">
        <is>
          <t>1</t>
        </is>
      </c>
      <c r="J366" t="inlineStr">
        <is>
          <t>No</t>
        </is>
      </c>
      <c r="K366" t="inlineStr">
        <is>
          <t>No</t>
        </is>
      </c>
      <c r="L366" t="inlineStr">
        <is>
          <t>0</t>
        </is>
      </c>
      <c r="M366" t="inlineStr">
        <is>
          <t>International Joint Conference on Neural Networks (1990 : San Diego, Calif.)</t>
        </is>
      </c>
      <c r="N366" t="inlineStr">
        <is>
          <t>New York : IEEE Neural Networks Council, c1990.</t>
        </is>
      </c>
      <c r="O366" t="inlineStr">
        <is>
          <t>1990</t>
        </is>
      </c>
      <c r="Q366" t="inlineStr">
        <is>
          <t>eng</t>
        </is>
      </c>
      <c r="R366" t="inlineStr">
        <is>
          <t>nyu</t>
        </is>
      </c>
      <c r="T366" t="inlineStr">
        <is>
          <t xml:space="preserve">QP </t>
        </is>
      </c>
      <c r="U366" t="n">
        <v>6</v>
      </c>
      <c r="V366" t="n">
        <v>22</v>
      </c>
      <c r="W366" t="inlineStr">
        <is>
          <t>1999-02-21</t>
        </is>
      </c>
      <c r="X366" t="inlineStr">
        <is>
          <t>1999-02-21</t>
        </is>
      </c>
      <c r="Y366" t="inlineStr">
        <is>
          <t>1991-04-03</t>
        </is>
      </c>
      <c r="Z366" t="inlineStr">
        <is>
          <t>1991-04-03</t>
        </is>
      </c>
      <c r="AA366" t="n">
        <v>89</v>
      </c>
      <c r="AB366" t="n">
        <v>73</v>
      </c>
      <c r="AC366" t="n">
        <v>197</v>
      </c>
      <c r="AD366" t="n">
        <v>1</v>
      </c>
      <c r="AE366" t="n">
        <v>4</v>
      </c>
      <c r="AF366" t="n">
        <v>0</v>
      </c>
      <c r="AG366" t="n">
        <v>8</v>
      </c>
      <c r="AH366" t="n">
        <v>0</v>
      </c>
      <c r="AI366" t="n">
        <v>1</v>
      </c>
      <c r="AJ366" t="n">
        <v>0</v>
      </c>
      <c r="AK366" t="n">
        <v>3</v>
      </c>
      <c r="AL366" t="n">
        <v>0</v>
      </c>
      <c r="AM366" t="n">
        <v>2</v>
      </c>
      <c r="AN366" t="n">
        <v>0</v>
      </c>
      <c r="AO366" t="n">
        <v>3</v>
      </c>
      <c r="AP366" t="n">
        <v>0</v>
      </c>
      <c r="AQ366" t="n">
        <v>0</v>
      </c>
      <c r="AR366" t="inlineStr">
        <is>
          <t>No</t>
        </is>
      </c>
      <c r="AS366" t="inlineStr">
        <is>
          <t>Yes</t>
        </is>
      </c>
      <c r="AT366">
        <f>HYPERLINK("http://catalog.hathitrust.org/Record/008310632","HathiTrust Record")</f>
        <v/>
      </c>
      <c r="AU366">
        <f>HYPERLINK("https://creighton-primo.hosted.exlibrisgroup.com/primo-explore/search?tab=default_tab&amp;search_scope=EVERYTHING&amp;vid=01CRU&amp;lang=en_US&amp;offset=0&amp;query=any,contains,991001740109702656","Catalog Record")</f>
        <v/>
      </c>
      <c r="AV366">
        <f>HYPERLINK("http://www.worldcat.org/oclc/22000913","WorldCat Record")</f>
        <v/>
      </c>
      <c r="AW366" t="inlineStr">
        <is>
          <t>22875476:eng</t>
        </is>
      </c>
      <c r="AX366" t="inlineStr">
        <is>
          <t>22000913</t>
        </is>
      </c>
      <c r="AY366" t="inlineStr">
        <is>
          <t>991001740109702656</t>
        </is>
      </c>
      <c r="AZ366" t="inlineStr">
        <is>
          <t>991001740109702656</t>
        </is>
      </c>
      <c r="BA366" t="inlineStr">
        <is>
          <t>2270960130002656</t>
        </is>
      </c>
      <c r="BB366" t="inlineStr">
        <is>
          <t>BOOK</t>
        </is>
      </c>
      <c r="BE366" t="inlineStr">
        <is>
          <t>32285000565191</t>
        </is>
      </c>
      <c r="BF366" t="inlineStr">
        <is>
          <t>893232210</t>
        </is>
      </c>
    </row>
    <row r="367">
      <c r="B367" t="inlineStr">
        <is>
          <t>CURAL</t>
        </is>
      </c>
      <c r="C367" t="inlineStr">
        <is>
          <t>SHELVES</t>
        </is>
      </c>
      <c r="D367" t="inlineStr">
        <is>
          <t>QP363.3 .I565 1990</t>
        </is>
      </c>
      <c r="E367" t="inlineStr">
        <is>
          <t>0                      QP 0363300I  565         1990</t>
        </is>
      </c>
      <c r="F367" t="inlineStr">
        <is>
          <t>IJCNN International Joint Conference on Neural Networks, June 17-21, 1990, San Diego Marriott Hotel and Marina / [co-sponsored by] the Institute of Electrical and Electronics Engineers and International Neural Network Society.</t>
        </is>
      </c>
      <c r="G367" t="inlineStr">
        <is>
          <t>V.1</t>
        </is>
      </c>
      <c r="H367" t="inlineStr">
        <is>
          <t>Yes</t>
        </is>
      </c>
      <c r="I367" t="inlineStr">
        <is>
          <t>1</t>
        </is>
      </c>
      <c r="J367" t="inlineStr">
        <is>
          <t>No</t>
        </is>
      </c>
      <c r="K367" t="inlineStr">
        <is>
          <t>No</t>
        </is>
      </c>
      <c r="L367" t="inlineStr">
        <is>
          <t>0</t>
        </is>
      </c>
      <c r="M367" t="inlineStr">
        <is>
          <t>International Joint Conference on Neural Networks (1990 : San Diego, Calif.)</t>
        </is>
      </c>
      <c r="N367" t="inlineStr">
        <is>
          <t>New York : IEEE Neural Networks Council, c1990.</t>
        </is>
      </c>
      <c r="O367" t="inlineStr">
        <is>
          <t>1990</t>
        </is>
      </c>
      <c r="Q367" t="inlineStr">
        <is>
          <t>eng</t>
        </is>
      </c>
      <c r="R367" t="inlineStr">
        <is>
          <t>nyu</t>
        </is>
      </c>
      <c r="T367" t="inlineStr">
        <is>
          <t xml:space="preserve">QP </t>
        </is>
      </c>
      <c r="U367" t="n">
        <v>6</v>
      </c>
      <c r="V367" t="n">
        <v>22</v>
      </c>
      <c r="W367" t="inlineStr">
        <is>
          <t>1993-12-05</t>
        </is>
      </c>
      <c r="X367" t="inlineStr">
        <is>
          <t>1999-02-21</t>
        </is>
      </c>
      <c r="Y367" t="inlineStr">
        <is>
          <t>1991-04-03</t>
        </is>
      </c>
      <c r="Z367" t="inlineStr">
        <is>
          <t>1991-04-03</t>
        </is>
      </c>
      <c r="AA367" t="n">
        <v>89</v>
      </c>
      <c r="AB367" t="n">
        <v>73</v>
      </c>
      <c r="AC367" t="n">
        <v>197</v>
      </c>
      <c r="AD367" t="n">
        <v>1</v>
      </c>
      <c r="AE367" t="n">
        <v>4</v>
      </c>
      <c r="AF367" t="n">
        <v>0</v>
      </c>
      <c r="AG367" t="n">
        <v>8</v>
      </c>
      <c r="AH367" t="n">
        <v>0</v>
      </c>
      <c r="AI367" t="n">
        <v>1</v>
      </c>
      <c r="AJ367" t="n">
        <v>0</v>
      </c>
      <c r="AK367" t="n">
        <v>3</v>
      </c>
      <c r="AL367" t="n">
        <v>0</v>
      </c>
      <c r="AM367" t="n">
        <v>2</v>
      </c>
      <c r="AN367" t="n">
        <v>0</v>
      </c>
      <c r="AO367" t="n">
        <v>3</v>
      </c>
      <c r="AP367" t="n">
        <v>0</v>
      </c>
      <c r="AQ367" t="n">
        <v>0</v>
      </c>
      <c r="AR367" t="inlineStr">
        <is>
          <t>No</t>
        </is>
      </c>
      <c r="AS367" t="inlineStr">
        <is>
          <t>Yes</t>
        </is>
      </c>
      <c r="AT367">
        <f>HYPERLINK("http://catalog.hathitrust.org/Record/008310632","HathiTrust Record")</f>
        <v/>
      </c>
      <c r="AU367">
        <f>HYPERLINK("https://creighton-primo.hosted.exlibrisgroup.com/primo-explore/search?tab=default_tab&amp;search_scope=EVERYTHING&amp;vid=01CRU&amp;lang=en_US&amp;offset=0&amp;query=any,contains,991001740109702656","Catalog Record")</f>
        <v/>
      </c>
      <c r="AV367">
        <f>HYPERLINK("http://www.worldcat.org/oclc/22000913","WorldCat Record")</f>
        <v/>
      </c>
      <c r="AW367" t="inlineStr">
        <is>
          <t>22875476:eng</t>
        </is>
      </c>
      <c r="AX367" t="inlineStr">
        <is>
          <t>22000913</t>
        </is>
      </c>
      <c r="AY367" t="inlineStr">
        <is>
          <t>991001740109702656</t>
        </is>
      </c>
      <c r="AZ367" t="inlineStr">
        <is>
          <t>991001740109702656</t>
        </is>
      </c>
      <c r="BA367" t="inlineStr">
        <is>
          <t>2270960130002656</t>
        </is>
      </c>
      <c r="BB367" t="inlineStr">
        <is>
          <t>BOOK</t>
        </is>
      </c>
      <c r="BE367" t="inlineStr">
        <is>
          <t>32285000565183</t>
        </is>
      </c>
      <c r="BF367" t="inlineStr">
        <is>
          <t>893250435</t>
        </is>
      </c>
    </row>
    <row r="368">
      <c r="B368" t="inlineStr">
        <is>
          <t>CURAL</t>
        </is>
      </c>
      <c r="C368" t="inlineStr">
        <is>
          <t>SHELVES</t>
        </is>
      </c>
      <c r="D368" t="inlineStr">
        <is>
          <t>QP363.3 .I565 1990</t>
        </is>
      </c>
      <c r="E368" t="inlineStr">
        <is>
          <t>0                      QP 0363300I  565         1990</t>
        </is>
      </c>
      <c r="F368" t="inlineStr">
        <is>
          <t>IJCNN International Joint Conference on Neural Networks, June 17-21, 1990, San Diego Marriott Hotel and Marina / [co-sponsored by] the Institute of Electrical and Electronics Engineers and International Neural Network Society.</t>
        </is>
      </c>
      <c r="G368" t="inlineStr">
        <is>
          <t>V.3</t>
        </is>
      </c>
      <c r="H368" t="inlineStr">
        <is>
          <t>Yes</t>
        </is>
      </c>
      <c r="I368" t="inlineStr">
        <is>
          <t>1</t>
        </is>
      </c>
      <c r="J368" t="inlineStr">
        <is>
          <t>No</t>
        </is>
      </c>
      <c r="K368" t="inlineStr">
        <is>
          <t>No</t>
        </is>
      </c>
      <c r="L368" t="inlineStr">
        <is>
          <t>0</t>
        </is>
      </c>
      <c r="M368" t="inlineStr">
        <is>
          <t>International Joint Conference on Neural Networks (1990 : San Diego, Calif.)</t>
        </is>
      </c>
      <c r="N368" t="inlineStr">
        <is>
          <t>New York : IEEE Neural Networks Council, c1990.</t>
        </is>
      </c>
      <c r="O368" t="inlineStr">
        <is>
          <t>1990</t>
        </is>
      </c>
      <c r="Q368" t="inlineStr">
        <is>
          <t>eng</t>
        </is>
      </c>
      <c r="R368" t="inlineStr">
        <is>
          <t>nyu</t>
        </is>
      </c>
      <c r="T368" t="inlineStr">
        <is>
          <t xml:space="preserve">QP </t>
        </is>
      </c>
      <c r="U368" t="n">
        <v>10</v>
      </c>
      <c r="V368" t="n">
        <v>22</v>
      </c>
      <c r="W368" t="inlineStr">
        <is>
          <t>1995-03-29</t>
        </is>
      </c>
      <c r="X368" t="inlineStr">
        <is>
          <t>1999-02-21</t>
        </is>
      </c>
      <c r="Y368" t="inlineStr">
        <is>
          <t>1991-04-03</t>
        </is>
      </c>
      <c r="Z368" t="inlineStr">
        <is>
          <t>1991-04-03</t>
        </is>
      </c>
      <c r="AA368" t="n">
        <v>89</v>
      </c>
      <c r="AB368" t="n">
        <v>73</v>
      </c>
      <c r="AC368" t="n">
        <v>197</v>
      </c>
      <c r="AD368" t="n">
        <v>1</v>
      </c>
      <c r="AE368" t="n">
        <v>4</v>
      </c>
      <c r="AF368" t="n">
        <v>0</v>
      </c>
      <c r="AG368" t="n">
        <v>8</v>
      </c>
      <c r="AH368" t="n">
        <v>0</v>
      </c>
      <c r="AI368" t="n">
        <v>1</v>
      </c>
      <c r="AJ368" t="n">
        <v>0</v>
      </c>
      <c r="AK368" t="n">
        <v>3</v>
      </c>
      <c r="AL368" t="n">
        <v>0</v>
      </c>
      <c r="AM368" t="n">
        <v>2</v>
      </c>
      <c r="AN368" t="n">
        <v>0</v>
      </c>
      <c r="AO368" t="n">
        <v>3</v>
      </c>
      <c r="AP368" t="n">
        <v>0</v>
      </c>
      <c r="AQ368" t="n">
        <v>0</v>
      </c>
      <c r="AR368" t="inlineStr">
        <is>
          <t>No</t>
        </is>
      </c>
      <c r="AS368" t="inlineStr">
        <is>
          <t>Yes</t>
        </is>
      </c>
      <c r="AT368">
        <f>HYPERLINK("http://catalog.hathitrust.org/Record/008310632","HathiTrust Record")</f>
        <v/>
      </c>
      <c r="AU368">
        <f>HYPERLINK("https://creighton-primo.hosted.exlibrisgroup.com/primo-explore/search?tab=default_tab&amp;search_scope=EVERYTHING&amp;vid=01CRU&amp;lang=en_US&amp;offset=0&amp;query=any,contains,991001740109702656","Catalog Record")</f>
        <v/>
      </c>
      <c r="AV368">
        <f>HYPERLINK("http://www.worldcat.org/oclc/22000913","WorldCat Record")</f>
        <v/>
      </c>
      <c r="AW368" t="inlineStr">
        <is>
          <t>22875476:eng</t>
        </is>
      </c>
      <c r="AX368" t="inlineStr">
        <is>
          <t>22000913</t>
        </is>
      </c>
      <c r="AY368" t="inlineStr">
        <is>
          <t>991001740109702656</t>
        </is>
      </c>
      <c r="AZ368" t="inlineStr">
        <is>
          <t>991001740109702656</t>
        </is>
      </c>
      <c r="BA368" t="inlineStr">
        <is>
          <t>2270960130002656</t>
        </is>
      </c>
      <c r="BB368" t="inlineStr">
        <is>
          <t>BOOK</t>
        </is>
      </c>
      <c r="BE368" t="inlineStr">
        <is>
          <t>32285000565209</t>
        </is>
      </c>
      <c r="BF368" t="inlineStr">
        <is>
          <t>893244351</t>
        </is>
      </c>
    </row>
    <row r="369">
      <c r="B369" t="inlineStr">
        <is>
          <t>CURAL</t>
        </is>
      </c>
      <c r="C369" t="inlineStr">
        <is>
          <t>SHELVES</t>
        </is>
      </c>
      <c r="D369" t="inlineStr">
        <is>
          <t>QP363.3 .L48 1991</t>
        </is>
      </c>
      <c r="E369" t="inlineStr">
        <is>
          <t>0                      QP 0363300L  48          1991</t>
        </is>
      </c>
      <c r="F369" t="inlineStr">
        <is>
          <t>Introduction to neural and cognitive modeling / Daniel S. Levine.</t>
        </is>
      </c>
      <c r="H369" t="inlineStr">
        <is>
          <t>No</t>
        </is>
      </c>
      <c r="I369" t="inlineStr">
        <is>
          <t>1</t>
        </is>
      </c>
      <c r="J369" t="inlineStr">
        <is>
          <t>No</t>
        </is>
      </c>
      <c r="K369" t="inlineStr">
        <is>
          <t>No</t>
        </is>
      </c>
      <c r="L369" t="inlineStr">
        <is>
          <t>0</t>
        </is>
      </c>
      <c r="M369" t="inlineStr">
        <is>
          <t>Levine, Daniel S.</t>
        </is>
      </c>
      <c r="N369" t="inlineStr">
        <is>
          <t>Hillsdale, N.J. : L. Erlbaum Associates, c1991.</t>
        </is>
      </c>
      <c r="O369" t="inlineStr">
        <is>
          <t>1991</t>
        </is>
      </c>
      <c r="Q369" t="inlineStr">
        <is>
          <t>eng</t>
        </is>
      </c>
      <c r="R369" t="inlineStr">
        <is>
          <t>nju</t>
        </is>
      </c>
      <c r="T369" t="inlineStr">
        <is>
          <t xml:space="preserve">QP </t>
        </is>
      </c>
      <c r="U369" t="n">
        <v>10</v>
      </c>
      <c r="V369" t="n">
        <v>10</v>
      </c>
      <c r="W369" t="inlineStr">
        <is>
          <t>1996-09-19</t>
        </is>
      </c>
      <c r="X369" t="inlineStr">
        <is>
          <t>1996-09-19</t>
        </is>
      </c>
      <c r="Y369" t="inlineStr">
        <is>
          <t>1992-02-04</t>
        </is>
      </c>
      <c r="Z369" t="inlineStr">
        <is>
          <t>1992-02-04</t>
        </is>
      </c>
      <c r="AA369" t="n">
        <v>331</v>
      </c>
      <c r="AB369" t="n">
        <v>255</v>
      </c>
      <c r="AC369" t="n">
        <v>1073</v>
      </c>
      <c r="AD369" t="n">
        <v>2</v>
      </c>
      <c r="AE369" t="n">
        <v>43</v>
      </c>
      <c r="AF369" t="n">
        <v>8</v>
      </c>
      <c r="AG369" t="n">
        <v>33</v>
      </c>
      <c r="AH369" t="n">
        <v>2</v>
      </c>
      <c r="AI369" t="n">
        <v>10</v>
      </c>
      <c r="AJ369" t="n">
        <v>4</v>
      </c>
      <c r="AK369" t="n">
        <v>7</v>
      </c>
      <c r="AL369" t="n">
        <v>6</v>
      </c>
      <c r="AM369" t="n">
        <v>11</v>
      </c>
      <c r="AN369" t="n">
        <v>1</v>
      </c>
      <c r="AO369" t="n">
        <v>12</v>
      </c>
      <c r="AP369" t="n">
        <v>0</v>
      </c>
      <c r="AQ369" t="n">
        <v>0</v>
      </c>
      <c r="AR369" t="inlineStr">
        <is>
          <t>No</t>
        </is>
      </c>
      <c r="AS369" t="inlineStr">
        <is>
          <t>Yes</t>
        </is>
      </c>
      <c r="AT369">
        <f>HYPERLINK("http://catalog.hathitrust.org/Record/002475375","HathiTrust Record")</f>
        <v/>
      </c>
      <c r="AU369">
        <f>HYPERLINK("https://creighton-primo.hosted.exlibrisgroup.com/primo-explore/search?tab=default_tab&amp;search_scope=EVERYTHING&amp;vid=01CRU&amp;lang=en_US&amp;offset=0&amp;query=any,contains,991001745549702656","Catalog Record")</f>
        <v/>
      </c>
      <c r="AV369">
        <f>HYPERLINK("http://www.worldcat.org/oclc/22112379","WorldCat Record")</f>
        <v/>
      </c>
      <c r="AW369" t="inlineStr">
        <is>
          <t>1001461:eng</t>
        </is>
      </c>
      <c r="AX369" t="inlineStr">
        <is>
          <t>22112379</t>
        </is>
      </c>
      <c r="AY369" t="inlineStr">
        <is>
          <t>991001745549702656</t>
        </is>
      </c>
      <c r="AZ369" t="inlineStr">
        <is>
          <t>991001745549702656</t>
        </is>
      </c>
      <c r="BA369" t="inlineStr">
        <is>
          <t>2263040110002656</t>
        </is>
      </c>
      <c r="BB369" t="inlineStr">
        <is>
          <t>BOOK</t>
        </is>
      </c>
      <c r="BD369" t="inlineStr">
        <is>
          <t>9780805802689</t>
        </is>
      </c>
      <c r="BE369" t="inlineStr">
        <is>
          <t>32285000868421</t>
        </is>
      </c>
      <c r="BF369" t="inlineStr">
        <is>
          <t>893444784</t>
        </is>
      </c>
    </row>
    <row r="370">
      <c r="B370" t="inlineStr">
        <is>
          <t>CURAL</t>
        </is>
      </c>
      <c r="C370" t="inlineStr">
        <is>
          <t>SHELVES</t>
        </is>
      </c>
      <c r="D370" t="inlineStr">
        <is>
          <t>QP363.3 .N3 1991</t>
        </is>
      </c>
      <c r="E370" t="inlineStr">
        <is>
          <t>0                      QP 0363300N  3           1991</t>
        </is>
      </c>
      <c r="F370" t="inlineStr">
        <is>
          <t>Neural network models of conditioning and action / edited by Michael L. Commons, Stephen Grossberg, John E.R. Staddon.</t>
        </is>
      </c>
      <c r="H370" t="inlineStr">
        <is>
          <t>No</t>
        </is>
      </c>
      <c r="I370" t="inlineStr">
        <is>
          <t>1</t>
        </is>
      </c>
      <c r="J370" t="inlineStr">
        <is>
          <t>No</t>
        </is>
      </c>
      <c r="K370" t="inlineStr">
        <is>
          <t>No</t>
        </is>
      </c>
      <c r="L370" t="inlineStr">
        <is>
          <t>0</t>
        </is>
      </c>
      <c r="N370" t="inlineStr">
        <is>
          <t>Hillsdale, NJ : Lawrence Erlbaum Associates, c1991.</t>
        </is>
      </c>
      <c r="O370" t="inlineStr">
        <is>
          <t>1991</t>
        </is>
      </c>
      <c r="Q370" t="inlineStr">
        <is>
          <t>eng</t>
        </is>
      </c>
      <c r="R370" t="inlineStr">
        <is>
          <t>nju</t>
        </is>
      </c>
      <c r="S370" t="inlineStr">
        <is>
          <t>Quantitative analyses of behavior series ; v. 11</t>
        </is>
      </c>
      <c r="T370" t="inlineStr">
        <is>
          <t xml:space="preserve">QP </t>
        </is>
      </c>
      <c r="U370" t="n">
        <v>5</v>
      </c>
      <c r="V370" t="n">
        <v>5</v>
      </c>
      <c r="W370" t="inlineStr">
        <is>
          <t>1996-09-19</t>
        </is>
      </c>
      <c r="X370" t="inlineStr">
        <is>
          <t>1996-09-19</t>
        </is>
      </c>
      <c r="Y370" t="inlineStr">
        <is>
          <t>1991-06-11</t>
        </is>
      </c>
      <c r="Z370" t="inlineStr">
        <is>
          <t>1991-06-11</t>
        </is>
      </c>
      <c r="AA370" t="n">
        <v>187</v>
      </c>
      <c r="AB370" t="n">
        <v>157</v>
      </c>
      <c r="AC370" t="n">
        <v>184</v>
      </c>
      <c r="AD370" t="n">
        <v>2</v>
      </c>
      <c r="AE370" t="n">
        <v>2</v>
      </c>
      <c r="AF370" t="n">
        <v>13</v>
      </c>
      <c r="AG370" t="n">
        <v>13</v>
      </c>
      <c r="AH370" t="n">
        <v>4</v>
      </c>
      <c r="AI370" t="n">
        <v>4</v>
      </c>
      <c r="AJ370" t="n">
        <v>4</v>
      </c>
      <c r="AK370" t="n">
        <v>4</v>
      </c>
      <c r="AL370" t="n">
        <v>10</v>
      </c>
      <c r="AM370" t="n">
        <v>10</v>
      </c>
      <c r="AN370" t="n">
        <v>1</v>
      </c>
      <c r="AO370" t="n">
        <v>1</v>
      </c>
      <c r="AP370" t="n">
        <v>0</v>
      </c>
      <c r="AQ370" t="n">
        <v>0</v>
      </c>
      <c r="AR370" t="inlineStr">
        <is>
          <t>No</t>
        </is>
      </c>
      <c r="AS370" t="inlineStr">
        <is>
          <t>Yes</t>
        </is>
      </c>
      <c r="AT370">
        <f>HYPERLINK("http://catalog.hathitrust.org/Record/002526888","HathiTrust Record")</f>
        <v/>
      </c>
      <c r="AU370">
        <f>HYPERLINK("https://creighton-primo.hosted.exlibrisgroup.com/primo-explore/search?tab=default_tab&amp;search_scope=EVERYTHING&amp;vid=01CRU&amp;lang=en_US&amp;offset=0&amp;query=any,contains,991001868079702656","Catalog Record")</f>
        <v/>
      </c>
      <c r="AV370">
        <f>HYPERLINK("http://www.worldcat.org/oclc/25875396","WorldCat Record")</f>
        <v/>
      </c>
      <c r="AW370" t="inlineStr">
        <is>
          <t>426999620:eng</t>
        </is>
      </c>
      <c r="AX370" t="inlineStr">
        <is>
          <t>25875396</t>
        </is>
      </c>
      <c r="AY370" t="inlineStr">
        <is>
          <t>991001868079702656</t>
        </is>
      </c>
      <c r="AZ370" t="inlineStr">
        <is>
          <t>991001868079702656</t>
        </is>
      </c>
      <c r="BA370" t="inlineStr">
        <is>
          <t>2256059900002656</t>
        </is>
      </c>
      <c r="BB370" t="inlineStr">
        <is>
          <t>BOOK</t>
        </is>
      </c>
      <c r="BD370" t="inlineStr">
        <is>
          <t>9780805808421</t>
        </is>
      </c>
      <c r="BE370" t="inlineStr">
        <is>
          <t>32285000594449</t>
        </is>
      </c>
      <c r="BF370" t="inlineStr">
        <is>
          <t>893232333</t>
        </is>
      </c>
    </row>
    <row r="371">
      <c r="B371" t="inlineStr">
        <is>
          <t>CURAL</t>
        </is>
      </c>
      <c r="C371" t="inlineStr">
        <is>
          <t>SHELVES</t>
        </is>
      </c>
      <c r="D371" t="inlineStr">
        <is>
          <t>QP363.3 .N46 1988</t>
        </is>
      </c>
      <c r="E371" t="inlineStr">
        <is>
          <t>0                      QP 0363300N  46          1988</t>
        </is>
      </c>
      <c r="F371" t="inlineStr">
        <is>
          <t>Neurocomputing / edited by James A. Anderson and Edward Rosenfeld.</t>
        </is>
      </c>
      <c r="G371" t="inlineStr">
        <is>
          <t>V.1</t>
        </is>
      </c>
      <c r="H371" t="inlineStr">
        <is>
          <t>Yes</t>
        </is>
      </c>
      <c r="I371" t="inlineStr">
        <is>
          <t>1</t>
        </is>
      </c>
      <c r="J371" t="inlineStr">
        <is>
          <t>No</t>
        </is>
      </c>
      <c r="K371" t="inlineStr">
        <is>
          <t>No</t>
        </is>
      </c>
      <c r="L371" t="inlineStr">
        <is>
          <t>0</t>
        </is>
      </c>
      <c r="N371" t="inlineStr">
        <is>
          <t>Cambridge, Mass. : MIT Press, c1988-c1990.</t>
        </is>
      </c>
      <c r="O371" t="inlineStr">
        <is>
          <t>1988</t>
        </is>
      </c>
      <c r="Q371" t="inlineStr">
        <is>
          <t>eng</t>
        </is>
      </c>
      <c r="R371" t="inlineStr">
        <is>
          <t>mau</t>
        </is>
      </c>
      <c r="T371" t="inlineStr">
        <is>
          <t xml:space="preserve">QP </t>
        </is>
      </c>
      <c r="U371" t="n">
        <v>11</v>
      </c>
      <c r="V371" t="n">
        <v>18</v>
      </c>
      <c r="W371" t="inlineStr">
        <is>
          <t>1995-06-17</t>
        </is>
      </c>
      <c r="X371" t="inlineStr">
        <is>
          <t>1995-10-12</t>
        </is>
      </c>
      <c r="Y371" t="inlineStr">
        <is>
          <t>1990-03-20</t>
        </is>
      </c>
      <c r="Z371" t="inlineStr">
        <is>
          <t>1991-07-30</t>
        </is>
      </c>
      <c r="AA371" t="n">
        <v>503</v>
      </c>
      <c r="AB371" t="n">
        <v>407</v>
      </c>
      <c r="AC371" t="n">
        <v>588</v>
      </c>
      <c r="AD371" t="n">
        <v>2</v>
      </c>
      <c r="AE371" t="n">
        <v>2</v>
      </c>
      <c r="AF371" t="n">
        <v>13</v>
      </c>
      <c r="AG371" t="n">
        <v>20</v>
      </c>
      <c r="AH371" t="n">
        <v>2</v>
      </c>
      <c r="AI371" t="n">
        <v>5</v>
      </c>
      <c r="AJ371" t="n">
        <v>5</v>
      </c>
      <c r="AK371" t="n">
        <v>8</v>
      </c>
      <c r="AL371" t="n">
        <v>7</v>
      </c>
      <c r="AM371" t="n">
        <v>11</v>
      </c>
      <c r="AN371" t="n">
        <v>1</v>
      </c>
      <c r="AO371" t="n">
        <v>1</v>
      </c>
      <c r="AP371" t="n">
        <v>0</v>
      </c>
      <c r="AQ371" t="n">
        <v>0</v>
      </c>
      <c r="AR371" t="inlineStr">
        <is>
          <t>No</t>
        </is>
      </c>
      <c r="AS371" t="inlineStr">
        <is>
          <t>Yes</t>
        </is>
      </c>
      <c r="AT371">
        <f>HYPERLINK("http://catalog.hathitrust.org/Record/000907729","HathiTrust Record")</f>
        <v/>
      </c>
      <c r="AU371">
        <f>HYPERLINK("https://creighton-primo.hosted.exlibrisgroup.com/primo-explore/search?tab=default_tab&amp;search_scope=EVERYTHING&amp;vid=01CRU&amp;lang=en_US&amp;offset=0&amp;query=any,contains,991001070079702656","Catalog Record")</f>
        <v/>
      </c>
      <c r="AV371">
        <f>HYPERLINK("http://www.worldcat.org/oclc/15860311","WorldCat Record")</f>
        <v/>
      </c>
      <c r="AW371" t="inlineStr">
        <is>
          <t>4776411180:eng</t>
        </is>
      </c>
      <c r="AX371" t="inlineStr">
        <is>
          <t>15860311</t>
        </is>
      </c>
      <c r="AY371" t="inlineStr">
        <is>
          <t>991001070079702656</t>
        </is>
      </c>
      <c r="AZ371" t="inlineStr">
        <is>
          <t>991001070079702656</t>
        </is>
      </c>
      <c r="BA371" t="inlineStr">
        <is>
          <t>2259020550002656</t>
        </is>
      </c>
      <c r="BB371" t="inlineStr">
        <is>
          <t>BOOK</t>
        </is>
      </c>
      <c r="BD371" t="inlineStr">
        <is>
          <t>9780262011198</t>
        </is>
      </c>
      <c r="BE371" t="inlineStr">
        <is>
          <t>32285000088426</t>
        </is>
      </c>
      <c r="BF371" t="inlineStr">
        <is>
          <t>893885013</t>
        </is>
      </c>
    </row>
    <row r="372">
      <c r="B372" t="inlineStr">
        <is>
          <t>CURAL</t>
        </is>
      </c>
      <c r="C372" t="inlineStr">
        <is>
          <t>SHELVES</t>
        </is>
      </c>
      <c r="D372" t="inlineStr">
        <is>
          <t>QP363.3 .N46 1988</t>
        </is>
      </c>
      <c r="E372" t="inlineStr">
        <is>
          <t>0                      QP 0363300N  46          1988</t>
        </is>
      </c>
      <c r="F372" t="inlineStr">
        <is>
          <t>Neurocomputing / edited by James A. Anderson and Edward Rosenfeld.</t>
        </is>
      </c>
      <c r="G372" t="inlineStr">
        <is>
          <t>V.2</t>
        </is>
      </c>
      <c r="H372" t="inlineStr">
        <is>
          <t>Yes</t>
        </is>
      </c>
      <c r="I372" t="inlineStr">
        <is>
          <t>1</t>
        </is>
      </c>
      <c r="J372" t="inlineStr">
        <is>
          <t>No</t>
        </is>
      </c>
      <c r="K372" t="inlineStr">
        <is>
          <t>No</t>
        </is>
      </c>
      <c r="L372" t="inlineStr">
        <is>
          <t>0</t>
        </is>
      </c>
      <c r="N372" t="inlineStr">
        <is>
          <t>Cambridge, Mass. : MIT Press, c1988-c1990.</t>
        </is>
      </c>
      <c r="O372" t="inlineStr">
        <is>
          <t>1988</t>
        </is>
      </c>
      <c r="Q372" t="inlineStr">
        <is>
          <t>eng</t>
        </is>
      </c>
      <c r="R372" t="inlineStr">
        <is>
          <t>mau</t>
        </is>
      </c>
      <c r="T372" t="inlineStr">
        <is>
          <t xml:space="preserve">QP </t>
        </is>
      </c>
      <c r="U372" t="n">
        <v>7</v>
      </c>
      <c r="V372" t="n">
        <v>18</v>
      </c>
      <c r="W372" t="inlineStr">
        <is>
          <t>1995-10-12</t>
        </is>
      </c>
      <c r="X372" t="inlineStr">
        <is>
          <t>1995-10-12</t>
        </is>
      </c>
      <c r="Y372" t="inlineStr">
        <is>
          <t>1991-07-30</t>
        </is>
      </c>
      <c r="Z372" t="inlineStr">
        <is>
          <t>1991-07-30</t>
        </is>
      </c>
      <c r="AA372" t="n">
        <v>503</v>
      </c>
      <c r="AB372" t="n">
        <v>407</v>
      </c>
      <c r="AC372" t="n">
        <v>588</v>
      </c>
      <c r="AD372" t="n">
        <v>2</v>
      </c>
      <c r="AE372" t="n">
        <v>2</v>
      </c>
      <c r="AF372" t="n">
        <v>13</v>
      </c>
      <c r="AG372" t="n">
        <v>20</v>
      </c>
      <c r="AH372" t="n">
        <v>2</v>
      </c>
      <c r="AI372" t="n">
        <v>5</v>
      </c>
      <c r="AJ372" t="n">
        <v>5</v>
      </c>
      <c r="AK372" t="n">
        <v>8</v>
      </c>
      <c r="AL372" t="n">
        <v>7</v>
      </c>
      <c r="AM372" t="n">
        <v>11</v>
      </c>
      <c r="AN372" t="n">
        <v>1</v>
      </c>
      <c r="AO372" t="n">
        <v>1</v>
      </c>
      <c r="AP372" t="n">
        <v>0</v>
      </c>
      <c r="AQ372" t="n">
        <v>0</v>
      </c>
      <c r="AR372" t="inlineStr">
        <is>
          <t>No</t>
        </is>
      </c>
      <c r="AS372" t="inlineStr">
        <is>
          <t>Yes</t>
        </is>
      </c>
      <c r="AT372">
        <f>HYPERLINK("http://catalog.hathitrust.org/Record/000907729","HathiTrust Record")</f>
        <v/>
      </c>
      <c r="AU372">
        <f>HYPERLINK("https://creighton-primo.hosted.exlibrisgroup.com/primo-explore/search?tab=default_tab&amp;search_scope=EVERYTHING&amp;vid=01CRU&amp;lang=en_US&amp;offset=0&amp;query=any,contains,991001070079702656","Catalog Record")</f>
        <v/>
      </c>
      <c r="AV372">
        <f>HYPERLINK("http://www.worldcat.org/oclc/15860311","WorldCat Record")</f>
        <v/>
      </c>
      <c r="AW372" t="inlineStr">
        <is>
          <t>4776411180:eng</t>
        </is>
      </c>
      <c r="AX372" t="inlineStr">
        <is>
          <t>15860311</t>
        </is>
      </c>
      <c r="AY372" t="inlineStr">
        <is>
          <t>991001070079702656</t>
        </is>
      </c>
      <c r="AZ372" t="inlineStr">
        <is>
          <t>991001070079702656</t>
        </is>
      </c>
      <c r="BA372" t="inlineStr">
        <is>
          <t>2259020550002656</t>
        </is>
      </c>
      <c r="BB372" t="inlineStr">
        <is>
          <t>BOOK</t>
        </is>
      </c>
      <c r="BD372" t="inlineStr">
        <is>
          <t>9780262011198</t>
        </is>
      </c>
      <c r="BE372" t="inlineStr">
        <is>
          <t>32285000663335</t>
        </is>
      </c>
      <c r="BF372" t="inlineStr">
        <is>
          <t>893865940</t>
        </is>
      </c>
    </row>
    <row r="373">
      <c r="B373" t="inlineStr">
        <is>
          <t>CURAL</t>
        </is>
      </c>
      <c r="C373" t="inlineStr">
        <is>
          <t>SHELVES</t>
        </is>
      </c>
      <c r="D373" t="inlineStr">
        <is>
          <t>QP363.5 .A87 1995</t>
        </is>
      </c>
      <c r="E373" t="inlineStr">
        <is>
          <t>0                      QP 0363500A  87          1995</t>
        </is>
      </c>
      <c r="F373" t="inlineStr">
        <is>
          <t>Assessment of biological mechanisms across the life span / edited by Lisabeth F. DiLalla, Stephanie M. Clancy Dollinger.</t>
        </is>
      </c>
      <c r="H373" t="inlineStr">
        <is>
          <t>No</t>
        </is>
      </c>
      <c r="I373" t="inlineStr">
        <is>
          <t>1</t>
        </is>
      </c>
      <c r="J373" t="inlineStr">
        <is>
          <t>No</t>
        </is>
      </c>
      <c r="K373" t="inlineStr">
        <is>
          <t>No</t>
        </is>
      </c>
      <c r="L373" t="inlineStr">
        <is>
          <t>0</t>
        </is>
      </c>
      <c r="N373" t="inlineStr">
        <is>
          <t>Hillsdale, N.J. : Lawrence Erlbaum Associates, 1995.</t>
        </is>
      </c>
      <c r="O373" t="inlineStr">
        <is>
          <t>1995</t>
        </is>
      </c>
      <c r="Q373" t="inlineStr">
        <is>
          <t>eng</t>
        </is>
      </c>
      <c r="R373" t="inlineStr">
        <is>
          <t>nju</t>
        </is>
      </c>
      <c r="T373" t="inlineStr">
        <is>
          <t xml:space="preserve">QP </t>
        </is>
      </c>
      <c r="U373" t="n">
        <v>1</v>
      </c>
      <c r="V373" t="n">
        <v>1</v>
      </c>
      <c r="W373" t="inlineStr">
        <is>
          <t>2000-06-19</t>
        </is>
      </c>
      <c r="X373" t="inlineStr">
        <is>
          <t>2000-06-19</t>
        </is>
      </c>
      <c r="Y373" t="inlineStr">
        <is>
          <t>1996-09-05</t>
        </is>
      </c>
      <c r="Z373" t="inlineStr">
        <is>
          <t>1996-09-05</t>
        </is>
      </c>
      <c r="AA373" t="n">
        <v>176</v>
      </c>
      <c r="AB373" t="n">
        <v>146</v>
      </c>
      <c r="AC373" t="n">
        <v>170</v>
      </c>
      <c r="AD373" t="n">
        <v>2</v>
      </c>
      <c r="AE373" t="n">
        <v>2</v>
      </c>
      <c r="AF373" t="n">
        <v>8</v>
      </c>
      <c r="AG373" t="n">
        <v>8</v>
      </c>
      <c r="AH373" t="n">
        <v>3</v>
      </c>
      <c r="AI373" t="n">
        <v>3</v>
      </c>
      <c r="AJ373" t="n">
        <v>2</v>
      </c>
      <c r="AK373" t="n">
        <v>2</v>
      </c>
      <c r="AL373" t="n">
        <v>4</v>
      </c>
      <c r="AM373" t="n">
        <v>4</v>
      </c>
      <c r="AN373" t="n">
        <v>1</v>
      </c>
      <c r="AO373" t="n">
        <v>1</v>
      </c>
      <c r="AP373" t="n">
        <v>0</v>
      </c>
      <c r="AQ373" t="n">
        <v>0</v>
      </c>
      <c r="AR373" t="inlineStr">
        <is>
          <t>No</t>
        </is>
      </c>
      <c r="AS373" t="inlineStr">
        <is>
          <t>Yes</t>
        </is>
      </c>
      <c r="AT373">
        <f>HYPERLINK("http://catalog.hathitrust.org/Record/002954649","HathiTrust Record")</f>
        <v/>
      </c>
      <c r="AU373">
        <f>HYPERLINK("https://creighton-primo.hosted.exlibrisgroup.com/primo-explore/search?tab=default_tab&amp;search_scope=EVERYTHING&amp;vid=01CRU&amp;lang=en_US&amp;offset=0&amp;query=any,contains,991002397989702656","Catalog Record")</f>
        <v/>
      </c>
      <c r="AV373">
        <f>HYPERLINK("http://www.worldcat.org/oclc/31166487","WorldCat Record")</f>
        <v/>
      </c>
      <c r="AW373" t="inlineStr">
        <is>
          <t>901753099:eng</t>
        </is>
      </c>
      <c r="AX373" t="inlineStr">
        <is>
          <t>31166487</t>
        </is>
      </c>
      <c r="AY373" t="inlineStr">
        <is>
          <t>991002397989702656</t>
        </is>
      </c>
      <c r="AZ373" t="inlineStr">
        <is>
          <t>991002397989702656</t>
        </is>
      </c>
      <c r="BA373" t="inlineStr">
        <is>
          <t>2271816700002656</t>
        </is>
      </c>
      <c r="BB373" t="inlineStr">
        <is>
          <t>BOOK</t>
        </is>
      </c>
      <c r="BD373" t="inlineStr">
        <is>
          <t>9780805814866</t>
        </is>
      </c>
      <c r="BE373" t="inlineStr">
        <is>
          <t>32285002294675</t>
        </is>
      </c>
      <c r="BF373" t="inlineStr">
        <is>
          <t>893691569</t>
        </is>
      </c>
    </row>
    <row r="374">
      <c r="B374" t="inlineStr">
        <is>
          <t>CURAL</t>
        </is>
      </c>
      <c r="C374" t="inlineStr">
        <is>
          <t>SHELVES</t>
        </is>
      </c>
      <c r="D374" t="inlineStr">
        <is>
          <t>QP363.5 .D47 1992</t>
        </is>
      </c>
      <c r="E374" t="inlineStr">
        <is>
          <t>0                      QP 0363500D  47          1992</t>
        </is>
      </c>
      <c r="F374" t="inlineStr">
        <is>
          <t>Development and regeneration of the nervous system / edited by S. Nona ... [et al.].</t>
        </is>
      </c>
      <c r="H374" t="inlineStr">
        <is>
          <t>No</t>
        </is>
      </c>
      <c r="I374" t="inlineStr">
        <is>
          <t>1</t>
        </is>
      </c>
      <c r="J374" t="inlineStr">
        <is>
          <t>No</t>
        </is>
      </c>
      <c r="K374" t="inlineStr">
        <is>
          <t>No</t>
        </is>
      </c>
      <c r="L374" t="inlineStr">
        <is>
          <t>0</t>
        </is>
      </c>
      <c r="N374" t="inlineStr">
        <is>
          <t>London ; New York : Chapman &amp; Hall, 1992.</t>
        </is>
      </c>
      <c r="O374" t="inlineStr">
        <is>
          <t>1992</t>
        </is>
      </c>
      <c r="P374" t="inlineStr">
        <is>
          <t>1st ed.</t>
        </is>
      </c>
      <c r="Q374" t="inlineStr">
        <is>
          <t>eng</t>
        </is>
      </c>
      <c r="R374" t="inlineStr">
        <is>
          <t>enk</t>
        </is>
      </c>
      <c r="T374" t="inlineStr">
        <is>
          <t xml:space="preserve">QP </t>
        </is>
      </c>
      <c r="U374" t="n">
        <v>7</v>
      </c>
      <c r="V374" t="n">
        <v>7</v>
      </c>
      <c r="W374" t="inlineStr">
        <is>
          <t>1997-04-15</t>
        </is>
      </c>
      <c r="X374" t="inlineStr">
        <is>
          <t>1997-04-15</t>
        </is>
      </c>
      <c r="Y374" t="inlineStr">
        <is>
          <t>1994-01-14</t>
        </is>
      </c>
      <c r="Z374" t="inlineStr">
        <is>
          <t>1994-01-14</t>
        </is>
      </c>
      <c r="AA374" t="n">
        <v>78</v>
      </c>
      <c r="AB374" t="n">
        <v>47</v>
      </c>
      <c r="AC374" t="n">
        <v>72</v>
      </c>
      <c r="AD374" t="n">
        <v>1</v>
      </c>
      <c r="AE374" t="n">
        <v>1</v>
      </c>
      <c r="AF374" t="n">
        <v>1</v>
      </c>
      <c r="AG374" t="n">
        <v>2</v>
      </c>
      <c r="AH374" t="n">
        <v>0</v>
      </c>
      <c r="AI374" t="n">
        <v>1</v>
      </c>
      <c r="AJ374" t="n">
        <v>1</v>
      </c>
      <c r="AK374" t="n">
        <v>1</v>
      </c>
      <c r="AL374" t="n">
        <v>0</v>
      </c>
      <c r="AM374" t="n">
        <v>1</v>
      </c>
      <c r="AN374" t="n">
        <v>0</v>
      </c>
      <c r="AO374" t="n">
        <v>0</v>
      </c>
      <c r="AP374" t="n">
        <v>0</v>
      </c>
      <c r="AQ374" t="n">
        <v>0</v>
      </c>
      <c r="AR374" t="inlineStr">
        <is>
          <t>No</t>
        </is>
      </c>
      <c r="AS374" t="inlineStr">
        <is>
          <t>Yes</t>
        </is>
      </c>
      <c r="AT374">
        <f>HYPERLINK("http://catalog.hathitrust.org/Record/002615756","HathiTrust Record")</f>
        <v/>
      </c>
      <c r="AU374">
        <f>HYPERLINK("https://creighton-primo.hosted.exlibrisgroup.com/primo-explore/search?tab=default_tab&amp;search_scope=EVERYTHING&amp;vid=01CRU&amp;lang=en_US&amp;offset=0&amp;query=any,contains,991002177359702656","Catalog Record")</f>
        <v/>
      </c>
      <c r="AV374">
        <f>HYPERLINK("http://www.worldcat.org/oclc/28026455","WorldCat Record")</f>
        <v/>
      </c>
      <c r="AW374" t="inlineStr">
        <is>
          <t>55703301:eng</t>
        </is>
      </c>
      <c r="AX374" t="inlineStr">
        <is>
          <t>28026455</t>
        </is>
      </c>
      <c r="AY374" t="inlineStr">
        <is>
          <t>991002177359702656</t>
        </is>
      </c>
      <c r="AZ374" t="inlineStr">
        <is>
          <t>991002177359702656</t>
        </is>
      </c>
      <c r="BA374" t="inlineStr">
        <is>
          <t>2262876490002656</t>
        </is>
      </c>
      <c r="BB374" t="inlineStr">
        <is>
          <t>BOOK</t>
        </is>
      </c>
      <c r="BD374" t="inlineStr">
        <is>
          <t>9780412402807</t>
        </is>
      </c>
      <c r="BE374" t="inlineStr">
        <is>
          <t>32285001831600</t>
        </is>
      </c>
      <c r="BF374" t="inlineStr">
        <is>
          <t>893504096</t>
        </is>
      </c>
    </row>
    <row r="375">
      <c r="B375" t="inlineStr">
        <is>
          <t>CURAL</t>
        </is>
      </c>
      <c r="C375" t="inlineStr">
        <is>
          <t>SHELVES</t>
        </is>
      </c>
      <c r="D375" t="inlineStr">
        <is>
          <t>QP363.5 .D48 1986</t>
        </is>
      </c>
      <c r="E375" t="inlineStr">
        <is>
          <t>0                      QP 0363500D  48          1986</t>
        </is>
      </c>
      <c r="F375" t="inlineStr">
        <is>
          <t>Developmental neuropsychobiology / edited by William T. Greenough, Janice M. Juraska.</t>
        </is>
      </c>
      <c r="H375" t="inlineStr">
        <is>
          <t>No</t>
        </is>
      </c>
      <c r="I375" t="inlineStr">
        <is>
          <t>1</t>
        </is>
      </c>
      <c r="J375" t="inlineStr">
        <is>
          <t>No</t>
        </is>
      </c>
      <c r="K375" t="inlineStr">
        <is>
          <t>No</t>
        </is>
      </c>
      <c r="L375" t="inlineStr">
        <is>
          <t>0</t>
        </is>
      </c>
      <c r="N375" t="inlineStr">
        <is>
          <t>Orlando : Academic Press, 1986.</t>
        </is>
      </c>
      <c r="O375" t="inlineStr">
        <is>
          <t>1986</t>
        </is>
      </c>
      <c r="Q375" t="inlineStr">
        <is>
          <t>eng</t>
        </is>
      </c>
      <c r="R375" t="inlineStr">
        <is>
          <t>flu</t>
        </is>
      </c>
      <c r="S375" t="inlineStr">
        <is>
          <t>Behavioral biology</t>
        </is>
      </c>
      <c r="T375" t="inlineStr">
        <is>
          <t xml:space="preserve">QP </t>
        </is>
      </c>
      <c r="U375" t="n">
        <v>2</v>
      </c>
      <c r="V375" t="n">
        <v>2</v>
      </c>
      <c r="W375" t="inlineStr">
        <is>
          <t>1994-09-17</t>
        </is>
      </c>
      <c r="X375" t="inlineStr">
        <is>
          <t>1994-09-17</t>
        </is>
      </c>
      <c r="Y375" t="inlineStr">
        <is>
          <t>1991-01-16</t>
        </is>
      </c>
      <c r="Z375" t="inlineStr">
        <is>
          <t>1991-01-16</t>
        </is>
      </c>
      <c r="AA375" t="n">
        <v>322</v>
      </c>
      <c r="AB375" t="n">
        <v>252</v>
      </c>
      <c r="AC375" t="n">
        <v>300</v>
      </c>
      <c r="AD375" t="n">
        <v>3</v>
      </c>
      <c r="AE375" t="n">
        <v>3</v>
      </c>
      <c r="AF375" t="n">
        <v>8</v>
      </c>
      <c r="AG375" t="n">
        <v>11</v>
      </c>
      <c r="AH375" t="n">
        <v>1</v>
      </c>
      <c r="AI375" t="n">
        <v>3</v>
      </c>
      <c r="AJ375" t="n">
        <v>3</v>
      </c>
      <c r="AK375" t="n">
        <v>5</v>
      </c>
      <c r="AL375" t="n">
        <v>4</v>
      </c>
      <c r="AM375" t="n">
        <v>4</v>
      </c>
      <c r="AN375" t="n">
        <v>2</v>
      </c>
      <c r="AO375" t="n">
        <v>2</v>
      </c>
      <c r="AP375" t="n">
        <v>0</v>
      </c>
      <c r="AQ375" t="n">
        <v>0</v>
      </c>
      <c r="AR375" t="inlineStr">
        <is>
          <t>No</t>
        </is>
      </c>
      <c r="AS375" t="inlineStr">
        <is>
          <t>Yes</t>
        </is>
      </c>
      <c r="AT375">
        <f>HYPERLINK("http://catalog.hathitrust.org/Record/000393745","HathiTrust Record")</f>
        <v/>
      </c>
      <c r="AU375">
        <f>HYPERLINK("https://creighton-primo.hosted.exlibrisgroup.com/primo-explore/search?tab=default_tab&amp;search_scope=EVERYTHING&amp;vid=01CRU&amp;lang=en_US&amp;offset=0&amp;query=any,contains,991000601299702656","Catalog Record")</f>
        <v/>
      </c>
      <c r="AV375">
        <f>HYPERLINK("http://www.worldcat.org/oclc/11841473","WorldCat Record")</f>
        <v/>
      </c>
      <c r="AW375" t="inlineStr">
        <is>
          <t>355788946:eng</t>
        </is>
      </c>
      <c r="AX375" t="inlineStr">
        <is>
          <t>11841473</t>
        </is>
      </c>
      <c r="AY375" t="inlineStr">
        <is>
          <t>991000601299702656</t>
        </is>
      </c>
      <c r="AZ375" t="inlineStr">
        <is>
          <t>991000601299702656</t>
        </is>
      </c>
      <c r="BA375" t="inlineStr">
        <is>
          <t>2266154700002656</t>
        </is>
      </c>
      <c r="BB375" t="inlineStr">
        <is>
          <t>BOOK</t>
        </is>
      </c>
      <c r="BD375" t="inlineStr">
        <is>
          <t>9780123002709</t>
        </is>
      </c>
      <c r="BE375" t="inlineStr">
        <is>
          <t>32285000408228</t>
        </is>
      </c>
      <c r="BF375" t="inlineStr">
        <is>
          <t>893695982</t>
        </is>
      </c>
    </row>
    <row r="376">
      <c r="B376" t="inlineStr">
        <is>
          <t>CURAL</t>
        </is>
      </c>
      <c r="C376" t="inlineStr">
        <is>
          <t>SHELVES</t>
        </is>
      </c>
      <c r="D376" t="inlineStr">
        <is>
          <t>QP363.5 .H66 1984</t>
        </is>
      </c>
      <c r="E376" t="inlineStr">
        <is>
          <t>0                      QP 0363500H  66          1984</t>
        </is>
      </c>
      <c r="F376" t="inlineStr">
        <is>
          <t>Development of nerve cells and their connections / W.G. Hopkins and M.C. Brown.</t>
        </is>
      </c>
      <c r="H376" t="inlineStr">
        <is>
          <t>No</t>
        </is>
      </c>
      <c r="I376" t="inlineStr">
        <is>
          <t>1</t>
        </is>
      </c>
      <c r="J376" t="inlineStr">
        <is>
          <t>No</t>
        </is>
      </c>
      <c r="K376" t="inlineStr">
        <is>
          <t>No</t>
        </is>
      </c>
      <c r="L376" t="inlineStr">
        <is>
          <t>0</t>
        </is>
      </c>
      <c r="M376" t="inlineStr">
        <is>
          <t>Hopkins, W. G. (William Gary), 1947-</t>
        </is>
      </c>
      <c r="N376" t="inlineStr">
        <is>
          <t>Cambridge [Cambridgeshire] ; New York : Cambridge University Press, 1984.</t>
        </is>
      </c>
      <c r="O376" t="inlineStr">
        <is>
          <t>1984</t>
        </is>
      </c>
      <c r="Q376" t="inlineStr">
        <is>
          <t>eng</t>
        </is>
      </c>
      <c r="R376" t="inlineStr">
        <is>
          <t>enk</t>
        </is>
      </c>
      <c r="T376" t="inlineStr">
        <is>
          <t xml:space="preserve">QP </t>
        </is>
      </c>
      <c r="U376" t="n">
        <v>7</v>
      </c>
      <c r="V376" t="n">
        <v>7</v>
      </c>
      <c r="W376" t="inlineStr">
        <is>
          <t>2007-03-20</t>
        </is>
      </c>
      <c r="X376" t="inlineStr">
        <is>
          <t>2007-03-20</t>
        </is>
      </c>
      <c r="Y376" t="inlineStr">
        <is>
          <t>1993-03-03</t>
        </is>
      </c>
      <c r="Z376" t="inlineStr">
        <is>
          <t>1993-03-03</t>
        </is>
      </c>
      <c r="AA376" t="n">
        <v>543</v>
      </c>
      <c r="AB376" t="n">
        <v>452</v>
      </c>
      <c r="AC376" t="n">
        <v>457</v>
      </c>
      <c r="AD376" t="n">
        <v>4</v>
      </c>
      <c r="AE376" t="n">
        <v>4</v>
      </c>
      <c r="AF376" t="n">
        <v>24</v>
      </c>
      <c r="AG376" t="n">
        <v>24</v>
      </c>
      <c r="AH376" t="n">
        <v>11</v>
      </c>
      <c r="AI376" t="n">
        <v>11</v>
      </c>
      <c r="AJ376" t="n">
        <v>3</v>
      </c>
      <c r="AK376" t="n">
        <v>3</v>
      </c>
      <c r="AL376" t="n">
        <v>12</v>
      </c>
      <c r="AM376" t="n">
        <v>12</v>
      </c>
      <c r="AN376" t="n">
        <v>3</v>
      </c>
      <c r="AO376" t="n">
        <v>3</v>
      </c>
      <c r="AP376" t="n">
        <v>0</v>
      </c>
      <c r="AQ376" t="n">
        <v>0</v>
      </c>
      <c r="AR376" t="inlineStr">
        <is>
          <t>No</t>
        </is>
      </c>
      <c r="AS376" t="inlineStr">
        <is>
          <t>No</t>
        </is>
      </c>
      <c r="AU376">
        <f>HYPERLINK("https://creighton-primo.hosted.exlibrisgroup.com/primo-explore/search?tab=default_tab&amp;search_scope=EVERYTHING&amp;vid=01CRU&amp;lang=en_US&amp;offset=0&amp;query=any,contains,991000221879702656","Catalog Record")</f>
        <v/>
      </c>
      <c r="AV376">
        <f>HYPERLINK("http://www.worldcat.org/oclc/9576664","WorldCat Record")</f>
        <v/>
      </c>
      <c r="AW376" t="inlineStr">
        <is>
          <t>197213391:eng</t>
        </is>
      </c>
      <c r="AX376" t="inlineStr">
        <is>
          <t>9576664</t>
        </is>
      </c>
      <c r="AY376" t="inlineStr">
        <is>
          <t>991000221879702656</t>
        </is>
      </c>
      <c r="AZ376" t="inlineStr">
        <is>
          <t>991000221879702656</t>
        </is>
      </c>
      <c r="BA376" t="inlineStr">
        <is>
          <t>2267566090002656</t>
        </is>
      </c>
      <c r="BB376" t="inlineStr">
        <is>
          <t>BOOK</t>
        </is>
      </c>
      <c r="BD376" t="inlineStr">
        <is>
          <t>9780521273251</t>
        </is>
      </c>
      <c r="BE376" t="inlineStr">
        <is>
          <t>32285001561553</t>
        </is>
      </c>
      <c r="BF376" t="inlineStr">
        <is>
          <t>893224844</t>
        </is>
      </c>
    </row>
    <row r="377">
      <c r="B377" t="inlineStr">
        <is>
          <t>CURAL</t>
        </is>
      </c>
      <c r="C377" t="inlineStr">
        <is>
          <t>SHELVES</t>
        </is>
      </c>
      <c r="D377" t="inlineStr">
        <is>
          <t>QP363.5 .H86 1994</t>
        </is>
      </c>
      <c r="E377" t="inlineStr">
        <is>
          <t>0                      QP 0363500H  86          1994</t>
        </is>
      </c>
      <c r="F377" t="inlineStr">
        <is>
          <t>Human behavior and the developing brain / edited by Geraldine Dawson, Kurt W. Fischer ; foreword by Patricia S. Goldman-Rakic.</t>
        </is>
      </c>
      <c r="H377" t="inlineStr">
        <is>
          <t>No</t>
        </is>
      </c>
      <c r="I377" t="inlineStr">
        <is>
          <t>1</t>
        </is>
      </c>
      <c r="J377" t="inlineStr">
        <is>
          <t>No</t>
        </is>
      </c>
      <c r="K377" t="inlineStr">
        <is>
          <t>No</t>
        </is>
      </c>
      <c r="L377" t="inlineStr">
        <is>
          <t>0</t>
        </is>
      </c>
      <c r="N377" t="inlineStr">
        <is>
          <t>New York : Guilford Press, c1994.</t>
        </is>
      </c>
      <c r="O377" t="inlineStr">
        <is>
          <t>1994</t>
        </is>
      </c>
      <c r="Q377" t="inlineStr">
        <is>
          <t>eng</t>
        </is>
      </c>
      <c r="R377" t="inlineStr">
        <is>
          <t>nyu</t>
        </is>
      </c>
      <c r="T377" t="inlineStr">
        <is>
          <t xml:space="preserve">QP </t>
        </is>
      </c>
      <c r="U377" t="n">
        <v>13</v>
      </c>
      <c r="V377" t="n">
        <v>13</v>
      </c>
      <c r="W377" t="inlineStr">
        <is>
          <t>2002-11-19</t>
        </is>
      </c>
      <c r="X377" t="inlineStr">
        <is>
          <t>2002-11-19</t>
        </is>
      </c>
      <c r="Y377" t="inlineStr">
        <is>
          <t>1994-12-13</t>
        </is>
      </c>
      <c r="Z377" t="inlineStr">
        <is>
          <t>1994-12-13</t>
        </is>
      </c>
      <c r="AA377" t="n">
        <v>408</v>
      </c>
      <c r="AB377" t="n">
        <v>301</v>
      </c>
      <c r="AC377" t="n">
        <v>303</v>
      </c>
      <c r="AD377" t="n">
        <v>1</v>
      </c>
      <c r="AE377" t="n">
        <v>1</v>
      </c>
      <c r="AF377" t="n">
        <v>14</v>
      </c>
      <c r="AG377" t="n">
        <v>14</v>
      </c>
      <c r="AH377" t="n">
        <v>7</v>
      </c>
      <c r="AI377" t="n">
        <v>7</v>
      </c>
      <c r="AJ377" t="n">
        <v>5</v>
      </c>
      <c r="AK377" t="n">
        <v>5</v>
      </c>
      <c r="AL377" t="n">
        <v>9</v>
      </c>
      <c r="AM377" t="n">
        <v>9</v>
      </c>
      <c r="AN377" t="n">
        <v>0</v>
      </c>
      <c r="AO377" t="n">
        <v>0</v>
      </c>
      <c r="AP377" t="n">
        <v>0</v>
      </c>
      <c r="AQ377" t="n">
        <v>0</v>
      </c>
      <c r="AR377" t="inlineStr">
        <is>
          <t>No</t>
        </is>
      </c>
      <c r="AS377" t="inlineStr">
        <is>
          <t>No</t>
        </is>
      </c>
      <c r="AU377">
        <f>HYPERLINK("https://creighton-primo.hosted.exlibrisgroup.com/primo-explore/search?tab=default_tab&amp;search_scope=EVERYTHING&amp;vid=01CRU&amp;lang=en_US&amp;offset=0&amp;query=any,contains,991002235239702656","Catalog Record")</f>
        <v/>
      </c>
      <c r="AV377">
        <f>HYPERLINK("http://www.worldcat.org/oclc/28802042","WorldCat Record")</f>
        <v/>
      </c>
      <c r="AW377" t="inlineStr">
        <is>
          <t>3857211944:eng</t>
        </is>
      </c>
      <c r="AX377" t="inlineStr">
        <is>
          <t>28802042</t>
        </is>
      </c>
      <c r="AY377" t="inlineStr">
        <is>
          <t>991002235239702656</t>
        </is>
      </c>
      <c r="AZ377" t="inlineStr">
        <is>
          <t>991002235239702656</t>
        </is>
      </c>
      <c r="BA377" t="inlineStr">
        <is>
          <t>2257431140002656</t>
        </is>
      </c>
      <c r="BB377" t="inlineStr">
        <is>
          <t>BOOK</t>
        </is>
      </c>
      <c r="BD377" t="inlineStr">
        <is>
          <t>9780898620924</t>
        </is>
      </c>
      <c r="BE377" t="inlineStr">
        <is>
          <t>32285001976371</t>
        </is>
      </c>
      <c r="BF377" t="inlineStr">
        <is>
          <t>893232716</t>
        </is>
      </c>
    </row>
    <row r="378">
      <c r="B378" t="inlineStr">
        <is>
          <t>CURAL</t>
        </is>
      </c>
      <c r="C378" t="inlineStr">
        <is>
          <t>SHELVES</t>
        </is>
      </c>
      <c r="D378" t="inlineStr">
        <is>
          <t>QP363.5 .P87 1985</t>
        </is>
      </c>
      <c r="E378" t="inlineStr">
        <is>
          <t>0                      QP 0363500P  87          1985</t>
        </is>
      </c>
      <c r="F378" t="inlineStr">
        <is>
          <t>Principles of neural development / Dale Purves and Jeff W. Lichtman.</t>
        </is>
      </c>
      <c r="H378" t="inlineStr">
        <is>
          <t>No</t>
        </is>
      </c>
      <c r="I378" t="inlineStr">
        <is>
          <t>1</t>
        </is>
      </c>
      <c r="J378" t="inlineStr">
        <is>
          <t>No</t>
        </is>
      </c>
      <c r="K378" t="inlineStr">
        <is>
          <t>No</t>
        </is>
      </c>
      <c r="L378" t="inlineStr">
        <is>
          <t>0</t>
        </is>
      </c>
      <c r="M378" t="inlineStr">
        <is>
          <t>Purves, Dale.</t>
        </is>
      </c>
      <c r="N378" t="inlineStr">
        <is>
          <t>Sunderland, Mass. : Sinauer Associates, 1985.</t>
        </is>
      </c>
      <c r="O378" t="inlineStr">
        <is>
          <t>1984</t>
        </is>
      </c>
      <c r="Q378" t="inlineStr">
        <is>
          <t>eng</t>
        </is>
      </c>
      <c r="R378" t="inlineStr">
        <is>
          <t>mau</t>
        </is>
      </c>
      <c r="T378" t="inlineStr">
        <is>
          <t xml:space="preserve">QP </t>
        </is>
      </c>
      <c r="U378" t="n">
        <v>3</v>
      </c>
      <c r="V378" t="n">
        <v>3</v>
      </c>
      <c r="W378" t="inlineStr">
        <is>
          <t>2000-10-25</t>
        </is>
      </c>
      <c r="X378" t="inlineStr">
        <is>
          <t>2000-10-25</t>
        </is>
      </c>
      <c r="Y378" t="inlineStr">
        <is>
          <t>1993-03-03</t>
        </is>
      </c>
      <c r="Z378" t="inlineStr">
        <is>
          <t>1993-03-03</t>
        </is>
      </c>
      <c r="AA378" t="n">
        <v>468</v>
      </c>
      <c r="AB378" t="n">
        <v>339</v>
      </c>
      <c r="AC378" t="n">
        <v>345</v>
      </c>
      <c r="AD378" t="n">
        <v>2</v>
      </c>
      <c r="AE378" t="n">
        <v>2</v>
      </c>
      <c r="AF378" t="n">
        <v>8</v>
      </c>
      <c r="AG378" t="n">
        <v>8</v>
      </c>
      <c r="AH378" t="n">
        <v>4</v>
      </c>
      <c r="AI378" t="n">
        <v>4</v>
      </c>
      <c r="AJ378" t="n">
        <v>1</v>
      </c>
      <c r="AK378" t="n">
        <v>1</v>
      </c>
      <c r="AL378" t="n">
        <v>5</v>
      </c>
      <c r="AM378" t="n">
        <v>5</v>
      </c>
      <c r="AN378" t="n">
        <v>1</v>
      </c>
      <c r="AO378" t="n">
        <v>1</v>
      </c>
      <c r="AP378" t="n">
        <v>0</v>
      </c>
      <c r="AQ378" t="n">
        <v>0</v>
      </c>
      <c r="AR378" t="inlineStr">
        <is>
          <t>No</t>
        </is>
      </c>
      <c r="AS378" t="inlineStr">
        <is>
          <t>Yes</t>
        </is>
      </c>
      <c r="AT378">
        <f>HYPERLINK("http://catalog.hathitrust.org/Record/000613855","HathiTrust Record")</f>
        <v/>
      </c>
      <c r="AU378">
        <f>HYPERLINK("https://creighton-primo.hosted.exlibrisgroup.com/primo-explore/search?tab=default_tab&amp;search_scope=EVERYTHING&amp;vid=01CRU&amp;lang=en_US&amp;offset=0&amp;query=any,contains,991000435989702656","Catalog Record")</f>
        <v/>
      </c>
      <c r="AV378">
        <f>HYPERLINK("http://www.worldcat.org/oclc/10798963","WorldCat Record")</f>
        <v/>
      </c>
      <c r="AW378" t="inlineStr">
        <is>
          <t>980360:eng</t>
        </is>
      </c>
      <c r="AX378" t="inlineStr">
        <is>
          <t>10798963</t>
        </is>
      </c>
      <c r="AY378" t="inlineStr">
        <is>
          <t>991000435989702656</t>
        </is>
      </c>
      <c r="AZ378" t="inlineStr">
        <is>
          <t>991000435989702656</t>
        </is>
      </c>
      <c r="BA378" t="inlineStr">
        <is>
          <t>2271045060002656</t>
        </is>
      </c>
      <c r="BB378" t="inlineStr">
        <is>
          <t>BOOK</t>
        </is>
      </c>
      <c r="BD378" t="inlineStr">
        <is>
          <t>9780878937448</t>
        </is>
      </c>
      <c r="BE378" t="inlineStr">
        <is>
          <t>32285001561603</t>
        </is>
      </c>
      <c r="BF378" t="inlineStr">
        <is>
          <t>893345653</t>
        </is>
      </c>
    </row>
    <row r="379">
      <c r="B379" t="inlineStr">
        <is>
          <t>CURAL</t>
        </is>
      </c>
      <c r="C379" t="inlineStr">
        <is>
          <t>SHELVES</t>
        </is>
      </c>
      <c r="D379" t="inlineStr">
        <is>
          <t>QP363.5 .R4 1982</t>
        </is>
      </c>
      <c r="E379" t="inlineStr">
        <is>
          <t>0                      QP 0363500R  4           1982</t>
        </is>
      </c>
      <c r="F379" t="inlineStr">
        <is>
          <t>Readings in developmental neurobiology / edited by Paul H. Patterson, Dale Purves.</t>
        </is>
      </c>
      <c r="H379" t="inlineStr">
        <is>
          <t>No</t>
        </is>
      </c>
      <c r="I379" t="inlineStr">
        <is>
          <t>1</t>
        </is>
      </c>
      <c r="J379" t="inlineStr">
        <is>
          <t>No</t>
        </is>
      </c>
      <c r="K379" t="inlineStr">
        <is>
          <t>No</t>
        </is>
      </c>
      <c r="L379" t="inlineStr">
        <is>
          <t>0</t>
        </is>
      </c>
      <c r="N379" t="inlineStr">
        <is>
          <t>Cold Spring Harbor, N.Y. : Cold Spring Harbor Laboratory, 1982.</t>
        </is>
      </c>
      <c r="O379" t="inlineStr">
        <is>
          <t>1982</t>
        </is>
      </c>
      <c r="Q379" t="inlineStr">
        <is>
          <t>eng</t>
        </is>
      </c>
      <c r="R379" t="inlineStr">
        <is>
          <t>nyu</t>
        </is>
      </c>
      <c r="T379" t="inlineStr">
        <is>
          <t xml:space="preserve">QP </t>
        </is>
      </c>
      <c r="U379" t="n">
        <v>4</v>
      </c>
      <c r="V379" t="n">
        <v>4</v>
      </c>
      <c r="W379" t="inlineStr">
        <is>
          <t>1996-01-18</t>
        </is>
      </c>
      <c r="X379" t="inlineStr">
        <is>
          <t>1996-01-18</t>
        </is>
      </c>
      <c r="Y379" t="inlineStr">
        <is>
          <t>1993-03-03</t>
        </is>
      </c>
      <c r="Z379" t="inlineStr">
        <is>
          <t>1993-03-03</t>
        </is>
      </c>
      <c r="AA379" t="n">
        <v>213</v>
      </c>
      <c r="AB379" t="n">
        <v>164</v>
      </c>
      <c r="AC379" t="n">
        <v>167</v>
      </c>
      <c r="AD379" t="n">
        <v>2</v>
      </c>
      <c r="AE379" t="n">
        <v>2</v>
      </c>
      <c r="AF379" t="n">
        <v>9</v>
      </c>
      <c r="AG379" t="n">
        <v>9</v>
      </c>
      <c r="AH379" t="n">
        <v>3</v>
      </c>
      <c r="AI379" t="n">
        <v>3</v>
      </c>
      <c r="AJ379" t="n">
        <v>2</v>
      </c>
      <c r="AK379" t="n">
        <v>2</v>
      </c>
      <c r="AL379" t="n">
        <v>5</v>
      </c>
      <c r="AM379" t="n">
        <v>5</v>
      </c>
      <c r="AN379" t="n">
        <v>1</v>
      </c>
      <c r="AO379" t="n">
        <v>1</v>
      </c>
      <c r="AP379" t="n">
        <v>0</v>
      </c>
      <c r="AQ379" t="n">
        <v>0</v>
      </c>
      <c r="AR379" t="inlineStr">
        <is>
          <t>No</t>
        </is>
      </c>
      <c r="AS379" t="inlineStr">
        <is>
          <t>Yes</t>
        </is>
      </c>
      <c r="AT379">
        <f>HYPERLINK("http://catalog.hathitrust.org/Record/000286621","HathiTrust Record")</f>
        <v/>
      </c>
      <c r="AU379">
        <f>HYPERLINK("https://creighton-primo.hosted.exlibrisgroup.com/primo-explore/search?tab=default_tab&amp;search_scope=EVERYTHING&amp;vid=01CRU&amp;lang=en_US&amp;offset=0&amp;query=any,contains,991005214519702656","Catalog Record")</f>
        <v/>
      </c>
      <c r="AV379">
        <f>HYPERLINK("http://www.worldcat.org/oclc/8176649","WorldCat Record")</f>
        <v/>
      </c>
      <c r="AW379" t="inlineStr">
        <is>
          <t>365161016:eng</t>
        </is>
      </c>
      <c r="AX379" t="inlineStr">
        <is>
          <t>8176649</t>
        </is>
      </c>
      <c r="AY379" t="inlineStr">
        <is>
          <t>991005214519702656</t>
        </is>
      </c>
      <c r="AZ379" t="inlineStr">
        <is>
          <t>991005214519702656</t>
        </is>
      </c>
      <c r="BA379" t="inlineStr">
        <is>
          <t>2259550260002656</t>
        </is>
      </c>
      <c r="BB379" t="inlineStr">
        <is>
          <t>BOOK</t>
        </is>
      </c>
      <c r="BD379" t="inlineStr">
        <is>
          <t>9780879691448</t>
        </is>
      </c>
      <c r="BE379" t="inlineStr">
        <is>
          <t>32285001561611</t>
        </is>
      </c>
      <c r="BF379" t="inlineStr">
        <is>
          <t>893418564</t>
        </is>
      </c>
    </row>
    <row r="380">
      <c r="B380" t="inlineStr">
        <is>
          <t>CURAL</t>
        </is>
      </c>
      <c r="C380" t="inlineStr">
        <is>
          <t>SHELVES</t>
        </is>
      </c>
      <c r="D380" t="inlineStr">
        <is>
          <t>QP363.5 .T37 1982</t>
        </is>
      </c>
      <c r="E380" t="inlineStr">
        <is>
          <t>0                      QP 0363500T  37          1982</t>
        </is>
      </c>
      <c r="F380" t="inlineStr">
        <is>
          <t>Developing and regenerating vertebrate nervous systems : proceedings of the Fourth Tarbox Parkinson's Disease Symposium, September 30-October 2, 1982, Texas Tech University, Lubbock, Texas / editors, Penelope W. Coates, Roger R. Markwald, Alexander D. Kenny.</t>
        </is>
      </c>
      <c r="H380" t="inlineStr">
        <is>
          <t>No</t>
        </is>
      </c>
      <c r="I380" t="inlineStr">
        <is>
          <t>1</t>
        </is>
      </c>
      <c r="J380" t="inlineStr">
        <is>
          <t>No</t>
        </is>
      </c>
      <c r="K380" t="inlineStr">
        <is>
          <t>No</t>
        </is>
      </c>
      <c r="L380" t="inlineStr">
        <is>
          <t>0</t>
        </is>
      </c>
      <c r="M380" t="inlineStr">
        <is>
          <t>Tarbox Parkinson's Disease Symposium (4th : 1982 : Lubbock, Tex.)</t>
        </is>
      </c>
      <c r="N380" t="inlineStr">
        <is>
          <t>New York : A.R. Liss, c1983.</t>
        </is>
      </c>
      <c r="O380" t="inlineStr">
        <is>
          <t>1983</t>
        </is>
      </c>
      <c r="Q380" t="inlineStr">
        <is>
          <t>eng</t>
        </is>
      </c>
      <c r="R380" t="inlineStr">
        <is>
          <t>nyu</t>
        </is>
      </c>
      <c r="S380" t="inlineStr">
        <is>
          <t>Neurology and neurobiology ; v. 6</t>
        </is>
      </c>
      <c r="T380" t="inlineStr">
        <is>
          <t xml:space="preserve">QP </t>
        </is>
      </c>
      <c r="U380" t="n">
        <v>8</v>
      </c>
      <c r="V380" t="n">
        <v>8</v>
      </c>
      <c r="W380" t="inlineStr">
        <is>
          <t>1997-03-06</t>
        </is>
      </c>
      <c r="X380" t="inlineStr">
        <is>
          <t>1997-03-06</t>
        </is>
      </c>
      <c r="Y380" t="inlineStr">
        <is>
          <t>1992-02-25</t>
        </is>
      </c>
      <c r="Z380" t="inlineStr">
        <is>
          <t>1992-02-25</t>
        </is>
      </c>
      <c r="AA380" t="n">
        <v>169</v>
      </c>
      <c r="AB380" t="n">
        <v>132</v>
      </c>
      <c r="AC380" t="n">
        <v>134</v>
      </c>
      <c r="AD380" t="n">
        <v>1</v>
      </c>
      <c r="AE380" t="n">
        <v>1</v>
      </c>
      <c r="AF380" t="n">
        <v>4</v>
      </c>
      <c r="AG380" t="n">
        <v>4</v>
      </c>
      <c r="AH380" t="n">
        <v>1</v>
      </c>
      <c r="AI380" t="n">
        <v>1</v>
      </c>
      <c r="AJ380" t="n">
        <v>2</v>
      </c>
      <c r="AK380" t="n">
        <v>2</v>
      </c>
      <c r="AL380" t="n">
        <v>3</v>
      </c>
      <c r="AM380" t="n">
        <v>3</v>
      </c>
      <c r="AN380" t="n">
        <v>0</v>
      </c>
      <c r="AO380" t="n">
        <v>0</v>
      </c>
      <c r="AP380" t="n">
        <v>0</v>
      </c>
      <c r="AQ380" t="n">
        <v>0</v>
      </c>
      <c r="AR380" t="inlineStr">
        <is>
          <t>No</t>
        </is>
      </c>
      <c r="AS380" t="inlineStr">
        <is>
          <t>Yes</t>
        </is>
      </c>
      <c r="AT380">
        <f>HYPERLINK("http://catalog.hathitrust.org/Record/000204430","HathiTrust Record")</f>
        <v/>
      </c>
      <c r="AU380">
        <f>HYPERLINK("https://creighton-primo.hosted.exlibrisgroup.com/primo-explore/search?tab=default_tab&amp;search_scope=EVERYTHING&amp;vid=01CRU&amp;lang=en_US&amp;offset=0&amp;query=any,contains,991000239839702656","Catalog Record")</f>
        <v/>
      </c>
      <c r="AV380">
        <f>HYPERLINK("http://www.worldcat.org/oclc/9682975","WorldCat Record")</f>
        <v/>
      </c>
      <c r="AW380" t="inlineStr">
        <is>
          <t>43729782:eng</t>
        </is>
      </c>
      <c r="AX380" t="inlineStr">
        <is>
          <t>9682975</t>
        </is>
      </c>
      <c r="AY380" t="inlineStr">
        <is>
          <t>991000239839702656</t>
        </is>
      </c>
      <c r="AZ380" t="inlineStr">
        <is>
          <t>991000239839702656</t>
        </is>
      </c>
      <c r="BA380" t="inlineStr">
        <is>
          <t>2264002120002656</t>
        </is>
      </c>
      <c r="BB380" t="inlineStr">
        <is>
          <t>BOOK</t>
        </is>
      </c>
      <c r="BD380" t="inlineStr">
        <is>
          <t>9780845127056</t>
        </is>
      </c>
      <c r="BE380" t="inlineStr">
        <is>
          <t>32285000976331</t>
        </is>
      </c>
      <c r="BF380" t="inlineStr">
        <is>
          <t>893249203</t>
        </is>
      </c>
    </row>
    <row r="381">
      <c r="B381" t="inlineStr">
        <is>
          <t>CURAL</t>
        </is>
      </c>
      <c r="C381" t="inlineStr">
        <is>
          <t>SHELVES</t>
        </is>
      </c>
      <c r="D381" t="inlineStr">
        <is>
          <t>QP364 .S969 1987</t>
        </is>
      </c>
      <c r="E381" t="inlineStr">
        <is>
          <t>0                      QP 0364000S  969         1987</t>
        </is>
      </c>
      <c r="F381" t="inlineStr">
        <is>
          <t>Synaptic function / edited by Gerald M. Edelman, W. Einar Gall, W. Maxwell Cowan.</t>
        </is>
      </c>
      <c r="H381" t="inlineStr">
        <is>
          <t>No</t>
        </is>
      </c>
      <c r="I381" t="inlineStr">
        <is>
          <t>1</t>
        </is>
      </c>
      <c r="J381" t="inlineStr">
        <is>
          <t>No</t>
        </is>
      </c>
      <c r="K381" t="inlineStr">
        <is>
          <t>No</t>
        </is>
      </c>
      <c r="L381" t="inlineStr">
        <is>
          <t>0</t>
        </is>
      </c>
      <c r="N381" t="inlineStr">
        <is>
          <t>New York : Wiley, c1987.</t>
        </is>
      </c>
      <c r="O381" t="inlineStr">
        <is>
          <t>1987</t>
        </is>
      </c>
      <c r="Q381" t="inlineStr">
        <is>
          <t>eng</t>
        </is>
      </c>
      <c r="R381" t="inlineStr">
        <is>
          <t>nyu</t>
        </is>
      </c>
      <c r="S381" t="inlineStr">
        <is>
          <t>The Neurosciences Institute publication series</t>
        </is>
      </c>
      <c r="T381" t="inlineStr">
        <is>
          <t xml:space="preserve">QP </t>
        </is>
      </c>
      <c r="U381" t="n">
        <v>3</v>
      </c>
      <c r="V381" t="n">
        <v>3</v>
      </c>
      <c r="W381" t="inlineStr">
        <is>
          <t>1994-02-19</t>
        </is>
      </c>
      <c r="X381" t="inlineStr">
        <is>
          <t>1994-02-19</t>
        </is>
      </c>
      <c r="Y381" t="inlineStr">
        <is>
          <t>1993-03-03</t>
        </is>
      </c>
      <c r="Z381" t="inlineStr">
        <is>
          <t>1993-03-03</t>
        </is>
      </c>
      <c r="AA381" t="n">
        <v>243</v>
      </c>
      <c r="AB381" t="n">
        <v>176</v>
      </c>
      <c r="AC381" t="n">
        <v>183</v>
      </c>
      <c r="AD381" t="n">
        <v>2</v>
      </c>
      <c r="AE381" t="n">
        <v>2</v>
      </c>
      <c r="AF381" t="n">
        <v>7</v>
      </c>
      <c r="AG381" t="n">
        <v>7</v>
      </c>
      <c r="AH381" t="n">
        <v>2</v>
      </c>
      <c r="AI381" t="n">
        <v>2</v>
      </c>
      <c r="AJ381" t="n">
        <v>3</v>
      </c>
      <c r="AK381" t="n">
        <v>3</v>
      </c>
      <c r="AL381" t="n">
        <v>5</v>
      </c>
      <c r="AM381" t="n">
        <v>5</v>
      </c>
      <c r="AN381" t="n">
        <v>1</v>
      </c>
      <c r="AO381" t="n">
        <v>1</v>
      </c>
      <c r="AP381" t="n">
        <v>0</v>
      </c>
      <c r="AQ381" t="n">
        <v>0</v>
      </c>
      <c r="AR381" t="inlineStr">
        <is>
          <t>No</t>
        </is>
      </c>
      <c r="AS381" t="inlineStr">
        <is>
          <t>Yes</t>
        </is>
      </c>
      <c r="AT381">
        <f>HYPERLINK("http://catalog.hathitrust.org/Record/000833229","HathiTrust Record")</f>
        <v/>
      </c>
      <c r="AU381">
        <f>HYPERLINK("https://creighton-primo.hosted.exlibrisgroup.com/primo-explore/search?tab=default_tab&amp;search_scope=EVERYTHING&amp;vid=01CRU&amp;lang=en_US&amp;offset=0&amp;query=any,contains,991000934989702656","Catalog Record")</f>
        <v/>
      </c>
      <c r="AV381">
        <f>HYPERLINK("http://www.worldcat.org/oclc/14358847","WorldCat Record")</f>
        <v/>
      </c>
      <c r="AW381" t="inlineStr">
        <is>
          <t>906397541:eng</t>
        </is>
      </c>
      <c r="AX381" t="inlineStr">
        <is>
          <t>14358847</t>
        </is>
      </c>
      <c r="AY381" t="inlineStr">
        <is>
          <t>991000934989702656</t>
        </is>
      </c>
      <c r="AZ381" t="inlineStr">
        <is>
          <t>991000934989702656</t>
        </is>
      </c>
      <c r="BA381" t="inlineStr">
        <is>
          <t>2258622670002656</t>
        </is>
      </c>
      <c r="BB381" t="inlineStr">
        <is>
          <t>BOOK</t>
        </is>
      </c>
      <c r="BD381" t="inlineStr">
        <is>
          <t>9780471855576</t>
        </is>
      </c>
      <c r="BE381" t="inlineStr">
        <is>
          <t>32285001561637</t>
        </is>
      </c>
      <c r="BF381" t="inlineStr">
        <is>
          <t>893515762</t>
        </is>
      </c>
    </row>
    <row r="382">
      <c r="B382" t="inlineStr">
        <is>
          <t>CURAL</t>
        </is>
      </c>
      <c r="C382" t="inlineStr">
        <is>
          <t>SHELVES</t>
        </is>
      </c>
      <c r="D382" t="inlineStr">
        <is>
          <t>QP364.5 .F37 1986</t>
        </is>
      </c>
      <c r="E382" t="inlineStr">
        <is>
          <t>0                      QP 0364500F  37          1986</t>
        </is>
      </c>
      <c r="F382" t="inlineStr">
        <is>
          <t>Fast and slow chemical signalling in the nervous system / edited by L.L. Iversen and E.C. Goodman.</t>
        </is>
      </c>
      <c r="H382" t="inlineStr">
        <is>
          <t>No</t>
        </is>
      </c>
      <c r="I382" t="inlineStr">
        <is>
          <t>1</t>
        </is>
      </c>
      <c r="J382" t="inlineStr">
        <is>
          <t>No</t>
        </is>
      </c>
      <c r="K382" t="inlineStr">
        <is>
          <t>No</t>
        </is>
      </c>
      <c r="L382" t="inlineStr">
        <is>
          <t>0</t>
        </is>
      </c>
      <c r="N382" t="inlineStr">
        <is>
          <t>Oxford ; New York : Oxford University Press, 1986.</t>
        </is>
      </c>
      <c r="O382" t="inlineStr">
        <is>
          <t>1986</t>
        </is>
      </c>
      <c r="Q382" t="inlineStr">
        <is>
          <t>eng</t>
        </is>
      </c>
      <c r="R382" t="inlineStr">
        <is>
          <t>enk</t>
        </is>
      </c>
      <c r="S382" t="inlineStr">
        <is>
          <t>Oxford medical publications</t>
        </is>
      </c>
      <c r="T382" t="inlineStr">
        <is>
          <t xml:space="preserve">QP </t>
        </is>
      </c>
      <c r="U382" t="n">
        <v>8</v>
      </c>
      <c r="V382" t="n">
        <v>8</v>
      </c>
      <c r="W382" t="inlineStr">
        <is>
          <t>2007-02-15</t>
        </is>
      </c>
      <c r="X382" t="inlineStr">
        <is>
          <t>2007-02-15</t>
        </is>
      </c>
      <c r="Y382" t="inlineStr">
        <is>
          <t>1993-03-03</t>
        </is>
      </c>
      <c r="Z382" t="inlineStr">
        <is>
          <t>1993-03-03</t>
        </is>
      </c>
      <c r="AA382" t="n">
        <v>262</v>
      </c>
      <c r="AB382" t="n">
        <v>187</v>
      </c>
      <c r="AC382" t="n">
        <v>194</v>
      </c>
      <c r="AD382" t="n">
        <v>2</v>
      </c>
      <c r="AE382" t="n">
        <v>2</v>
      </c>
      <c r="AF382" t="n">
        <v>5</v>
      </c>
      <c r="AG382" t="n">
        <v>5</v>
      </c>
      <c r="AH382" t="n">
        <v>1</v>
      </c>
      <c r="AI382" t="n">
        <v>1</v>
      </c>
      <c r="AJ382" t="n">
        <v>2</v>
      </c>
      <c r="AK382" t="n">
        <v>2</v>
      </c>
      <c r="AL382" t="n">
        <v>3</v>
      </c>
      <c r="AM382" t="n">
        <v>3</v>
      </c>
      <c r="AN382" t="n">
        <v>1</v>
      </c>
      <c r="AO382" t="n">
        <v>1</v>
      </c>
      <c r="AP382" t="n">
        <v>0</v>
      </c>
      <c r="AQ382" t="n">
        <v>0</v>
      </c>
      <c r="AR382" t="inlineStr">
        <is>
          <t>No</t>
        </is>
      </c>
      <c r="AS382" t="inlineStr">
        <is>
          <t>Yes</t>
        </is>
      </c>
      <c r="AT382">
        <f>HYPERLINK("http://catalog.hathitrust.org/Record/000482850","HathiTrust Record")</f>
        <v/>
      </c>
      <c r="AU382">
        <f>HYPERLINK("https://creighton-primo.hosted.exlibrisgroup.com/primo-explore/search?tab=default_tab&amp;search_scope=EVERYTHING&amp;vid=01CRU&amp;lang=en_US&amp;offset=0&amp;query=any,contains,991000791959702656","Catalog Record")</f>
        <v/>
      </c>
      <c r="AV382">
        <f>HYPERLINK("http://www.worldcat.org/oclc/13159048","WorldCat Record")</f>
        <v/>
      </c>
      <c r="AW382" t="inlineStr">
        <is>
          <t>355444226:eng</t>
        </is>
      </c>
      <c r="AX382" t="inlineStr">
        <is>
          <t>13159048</t>
        </is>
      </c>
      <c r="AY382" t="inlineStr">
        <is>
          <t>991000791959702656</t>
        </is>
      </c>
      <c r="AZ382" t="inlineStr">
        <is>
          <t>991000791959702656</t>
        </is>
      </c>
      <c r="BA382" t="inlineStr">
        <is>
          <t>2267637460002656</t>
        </is>
      </c>
      <c r="BB382" t="inlineStr">
        <is>
          <t>BOOK</t>
        </is>
      </c>
      <c r="BD382" t="inlineStr">
        <is>
          <t>9780198572169</t>
        </is>
      </c>
      <c r="BE382" t="inlineStr">
        <is>
          <t>32285001561645</t>
        </is>
      </c>
      <c r="BF382" t="inlineStr">
        <is>
          <t>893438603</t>
        </is>
      </c>
    </row>
    <row r="383">
      <c r="B383" t="inlineStr">
        <is>
          <t>CURAL</t>
        </is>
      </c>
      <c r="C383" t="inlineStr">
        <is>
          <t>SHELVES</t>
        </is>
      </c>
      <c r="D383" t="inlineStr">
        <is>
          <t>QP364.5 .I53</t>
        </is>
      </c>
      <c r="E383" t="inlineStr">
        <is>
          <t>0                      QP 0364500I  53</t>
        </is>
      </c>
      <c r="F383" t="inlineStr">
        <is>
          <t>Information processing in the nervous system / editors, Harold M. Pinsker and William D. Willis, Jr.</t>
        </is>
      </c>
      <c r="H383" t="inlineStr">
        <is>
          <t>No</t>
        </is>
      </c>
      <c r="I383" t="inlineStr">
        <is>
          <t>1</t>
        </is>
      </c>
      <c r="J383" t="inlineStr">
        <is>
          <t>No</t>
        </is>
      </c>
      <c r="K383" t="inlineStr">
        <is>
          <t>No</t>
        </is>
      </c>
      <c r="L383" t="inlineStr">
        <is>
          <t>0</t>
        </is>
      </c>
      <c r="N383" t="inlineStr">
        <is>
          <t>New York : Raven Press, c1980.</t>
        </is>
      </c>
      <c r="O383" t="inlineStr">
        <is>
          <t>1980</t>
        </is>
      </c>
      <c r="Q383" t="inlineStr">
        <is>
          <t>eng</t>
        </is>
      </c>
      <c r="R383" t="inlineStr">
        <is>
          <t>nyu</t>
        </is>
      </c>
      <c r="T383" t="inlineStr">
        <is>
          <t xml:space="preserve">QP </t>
        </is>
      </c>
      <c r="U383" t="n">
        <v>2</v>
      </c>
      <c r="V383" t="n">
        <v>2</v>
      </c>
      <c r="W383" t="inlineStr">
        <is>
          <t>1994-03-10</t>
        </is>
      </c>
      <c r="X383" t="inlineStr">
        <is>
          <t>1994-03-10</t>
        </is>
      </c>
      <c r="Y383" t="inlineStr">
        <is>
          <t>1993-03-03</t>
        </is>
      </c>
      <c r="Z383" t="inlineStr">
        <is>
          <t>1993-03-03</t>
        </is>
      </c>
      <c r="AA383" t="n">
        <v>296</v>
      </c>
      <c r="AB383" t="n">
        <v>210</v>
      </c>
      <c r="AC383" t="n">
        <v>217</v>
      </c>
      <c r="AD383" t="n">
        <v>2</v>
      </c>
      <c r="AE383" t="n">
        <v>2</v>
      </c>
      <c r="AF383" t="n">
        <v>8</v>
      </c>
      <c r="AG383" t="n">
        <v>8</v>
      </c>
      <c r="AH383" t="n">
        <v>1</v>
      </c>
      <c r="AI383" t="n">
        <v>1</v>
      </c>
      <c r="AJ383" t="n">
        <v>3</v>
      </c>
      <c r="AK383" t="n">
        <v>3</v>
      </c>
      <c r="AL383" t="n">
        <v>6</v>
      </c>
      <c r="AM383" t="n">
        <v>6</v>
      </c>
      <c r="AN383" t="n">
        <v>1</v>
      </c>
      <c r="AO383" t="n">
        <v>1</v>
      </c>
      <c r="AP383" t="n">
        <v>0</v>
      </c>
      <c r="AQ383" t="n">
        <v>0</v>
      </c>
      <c r="AR383" t="inlineStr">
        <is>
          <t>No</t>
        </is>
      </c>
      <c r="AS383" t="inlineStr">
        <is>
          <t>Yes</t>
        </is>
      </c>
      <c r="AT383">
        <f>HYPERLINK("http://catalog.hathitrust.org/Record/000688401","HathiTrust Record")</f>
        <v/>
      </c>
      <c r="AU383">
        <f>HYPERLINK("https://creighton-primo.hosted.exlibrisgroup.com/primo-explore/search?tab=default_tab&amp;search_scope=EVERYTHING&amp;vid=01CRU&amp;lang=en_US&amp;offset=0&amp;query=any,contains,991004918999702656","Catalog Record")</f>
        <v/>
      </c>
      <c r="AV383">
        <f>HYPERLINK("http://www.worldcat.org/oclc/6040580","WorldCat Record")</f>
        <v/>
      </c>
      <c r="AW383" t="inlineStr">
        <is>
          <t>355793869:eng</t>
        </is>
      </c>
      <c r="AX383" t="inlineStr">
        <is>
          <t>6040580</t>
        </is>
      </c>
      <c r="AY383" t="inlineStr">
        <is>
          <t>991004918999702656</t>
        </is>
      </c>
      <c r="AZ383" t="inlineStr">
        <is>
          <t>991004918999702656</t>
        </is>
      </c>
      <c r="BA383" t="inlineStr">
        <is>
          <t>2259319810002656</t>
        </is>
      </c>
      <c r="BB383" t="inlineStr">
        <is>
          <t>BOOK</t>
        </is>
      </c>
      <c r="BD383" t="inlineStr">
        <is>
          <t>9780890044223</t>
        </is>
      </c>
      <c r="BE383" t="inlineStr">
        <is>
          <t>32285001561652</t>
        </is>
      </c>
      <c r="BF383" t="inlineStr">
        <is>
          <t>893353594</t>
        </is>
      </c>
    </row>
    <row r="384">
      <c r="B384" t="inlineStr">
        <is>
          <t>CURAL</t>
        </is>
      </c>
      <c r="C384" t="inlineStr">
        <is>
          <t>SHELVES</t>
        </is>
      </c>
      <c r="D384" t="inlineStr">
        <is>
          <t>QP364.7 .N48 1990</t>
        </is>
      </c>
      <c r="E384" t="inlineStr">
        <is>
          <t>0                      QP 0364700N  48          1990</t>
        </is>
      </c>
      <c r="F384" t="inlineStr">
        <is>
          <t>Neurotransmitter release : the neuromuscular junction / edited by Francesco Clementi and Jacopo Meldolesi.</t>
        </is>
      </c>
      <c r="H384" t="inlineStr">
        <is>
          <t>No</t>
        </is>
      </c>
      <c r="I384" t="inlineStr">
        <is>
          <t>1</t>
        </is>
      </c>
      <c r="J384" t="inlineStr">
        <is>
          <t>No</t>
        </is>
      </c>
      <c r="K384" t="inlineStr">
        <is>
          <t>No</t>
        </is>
      </c>
      <c r="L384" t="inlineStr">
        <is>
          <t>0</t>
        </is>
      </c>
      <c r="N384" t="inlineStr">
        <is>
          <t>London : Academic Press, c1990.</t>
        </is>
      </c>
      <c r="O384" t="inlineStr">
        <is>
          <t>1990</t>
        </is>
      </c>
      <c r="Q384" t="inlineStr">
        <is>
          <t>eng</t>
        </is>
      </c>
      <c r="R384" t="inlineStr">
        <is>
          <t>enk</t>
        </is>
      </c>
      <c r="T384" t="inlineStr">
        <is>
          <t xml:space="preserve">QP </t>
        </is>
      </c>
      <c r="U384" t="n">
        <v>4</v>
      </c>
      <c r="V384" t="n">
        <v>4</v>
      </c>
      <c r="W384" t="inlineStr">
        <is>
          <t>1994-01-15</t>
        </is>
      </c>
      <c r="X384" t="inlineStr">
        <is>
          <t>1994-01-15</t>
        </is>
      </c>
      <c r="Y384" t="inlineStr">
        <is>
          <t>1991-07-17</t>
        </is>
      </c>
      <c r="Z384" t="inlineStr">
        <is>
          <t>1991-07-17</t>
        </is>
      </c>
      <c r="AA384" t="n">
        <v>54</v>
      </c>
      <c r="AB384" t="n">
        <v>28</v>
      </c>
      <c r="AC384" t="n">
        <v>70</v>
      </c>
      <c r="AD384" t="n">
        <v>1</v>
      </c>
      <c r="AE384" t="n">
        <v>1</v>
      </c>
      <c r="AF384" t="n">
        <v>2</v>
      </c>
      <c r="AG384" t="n">
        <v>4</v>
      </c>
      <c r="AH384" t="n">
        <v>0</v>
      </c>
      <c r="AI384" t="n">
        <v>1</v>
      </c>
      <c r="AJ384" t="n">
        <v>1</v>
      </c>
      <c r="AK384" t="n">
        <v>2</v>
      </c>
      <c r="AL384" t="n">
        <v>2</v>
      </c>
      <c r="AM384" t="n">
        <v>2</v>
      </c>
      <c r="AN384" t="n">
        <v>0</v>
      </c>
      <c r="AO384" t="n">
        <v>0</v>
      </c>
      <c r="AP384" t="n">
        <v>0</v>
      </c>
      <c r="AQ384" t="n">
        <v>0</v>
      </c>
      <c r="AR384" t="inlineStr">
        <is>
          <t>No</t>
        </is>
      </c>
      <c r="AS384" t="inlineStr">
        <is>
          <t>Yes</t>
        </is>
      </c>
      <c r="AT384">
        <f>HYPERLINK("http://catalog.hathitrust.org/Record/002498886","HathiTrust Record")</f>
        <v/>
      </c>
      <c r="AU384">
        <f>HYPERLINK("https://creighton-primo.hosted.exlibrisgroup.com/primo-explore/search?tab=default_tab&amp;search_scope=EVERYTHING&amp;vid=01CRU&amp;lang=en_US&amp;offset=0&amp;query=any,contains,991001710779702656","Catalog Record")</f>
        <v/>
      </c>
      <c r="AV384">
        <f>HYPERLINK("http://www.worldcat.org/oclc/21596042","WorldCat Record")</f>
        <v/>
      </c>
      <c r="AW384" t="inlineStr">
        <is>
          <t>144546103:eng</t>
        </is>
      </c>
      <c r="AX384" t="inlineStr">
        <is>
          <t>21596042</t>
        </is>
      </c>
      <c r="AY384" t="inlineStr">
        <is>
          <t>991001710779702656</t>
        </is>
      </c>
      <c r="AZ384" t="inlineStr">
        <is>
          <t>991001710779702656</t>
        </is>
      </c>
      <c r="BA384" t="inlineStr">
        <is>
          <t>2254783340002656</t>
        </is>
      </c>
      <c r="BB384" t="inlineStr">
        <is>
          <t>BOOK</t>
        </is>
      </c>
      <c r="BD384" t="inlineStr">
        <is>
          <t>9780121764609</t>
        </is>
      </c>
      <c r="BE384" t="inlineStr">
        <is>
          <t>32285000661479</t>
        </is>
      </c>
      <c r="BF384" t="inlineStr">
        <is>
          <t>893340630</t>
        </is>
      </c>
    </row>
    <row r="385">
      <c r="B385" t="inlineStr">
        <is>
          <t>CURAL</t>
        </is>
      </c>
      <c r="C385" t="inlineStr">
        <is>
          <t>SHELVES</t>
        </is>
      </c>
      <c r="D385" t="inlineStr">
        <is>
          <t>QP364.7 .N56 1994</t>
        </is>
      </c>
      <c r="E385" t="inlineStr">
        <is>
          <t>0                      QP 0364700N  56          1994</t>
        </is>
      </c>
      <c r="F385" t="inlineStr">
        <is>
          <t>Nitric oxide : roles in neuronal communication and neurotoxicity / edited by Hiroshi Takagi, Noboru Toda, and Robert D. Hawkins.</t>
        </is>
      </c>
      <c r="H385" t="inlineStr">
        <is>
          <t>No</t>
        </is>
      </c>
      <c r="I385" t="inlineStr">
        <is>
          <t>1</t>
        </is>
      </c>
      <c r="J385" t="inlineStr">
        <is>
          <t>No</t>
        </is>
      </c>
      <c r="K385" t="inlineStr">
        <is>
          <t>No</t>
        </is>
      </c>
      <c r="L385" t="inlineStr">
        <is>
          <t>0</t>
        </is>
      </c>
      <c r="N385" t="inlineStr">
        <is>
          <t>Tokyo : Japan Scientific Societies Press ; Boca Raton : CRC Press, c1994.</t>
        </is>
      </c>
      <c r="O385" t="inlineStr">
        <is>
          <t>1994</t>
        </is>
      </c>
      <c r="Q385" t="inlineStr">
        <is>
          <t>eng</t>
        </is>
      </c>
      <c r="R385" t="inlineStr">
        <is>
          <t xml:space="preserve">ja </t>
        </is>
      </c>
      <c r="S385" t="inlineStr">
        <is>
          <t>Taniguchi symposia on brain sciences ; no. 17</t>
        </is>
      </c>
      <c r="T385" t="inlineStr">
        <is>
          <t xml:space="preserve">QP </t>
        </is>
      </c>
      <c r="U385" t="n">
        <v>2</v>
      </c>
      <c r="V385" t="n">
        <v>2</v>
      </c>
      <c r="W385" t="inlineStr">
        <is>
          <t>1998-04-29</t>
        </is>
      </c>
      <c r="X385" t="inlineStr">
        <is>
          <t>1998-04-29</t>
        </is>
      </c>
      <c r="Y385" t="inlineStr">
        <is>
          <t>1996-09-10</t>
        </is>
      </c>
      <c r="Z385" t="inlineStr">
        <is>
          <t>1996-09-10</t>
        </is>
      </c>
      <c r="AA385" t="n">
        <v>111</v>
      </c>
      <c r="AB385" t="n">
        <v>85</v>
      </c>
      <c r="AC385" t="n">
        <v>86</v>
      </c>
      <c r="AD385" t="n">
        <v>1</v>
      </c>
      <c r="AE385" t="n">
        <v>1</v>
      </c>
      <c r="AF385" t="n">
        <v>1</v>
      </c>
      <c r="AG385" t="n">
        <v>1</v>
      </c>
      <c r="AH385" t="n">
        <v>0</v>
      </c>
      <c r="AI385" t="n">
        <v>0</v>
      </c>
      <c r="AJ385" t="n">
        <v>1</v>
      </c>
      <c r="AK385" t="n">
        <v>1</v>
      </c>
      <c r="AL385" t="n">
        <v>1</v>
      </c>
      <c r="AM385" t="n">
        <v>1</v>
      </c>
      <c r="AN385" t="n">
        <v>0</v>
      </c>
      <c r="AO385" t="n">
        <v>0</v>
      </c>
      <c r="AP385" t="n">
        <v>0</v>
      </c>
      <c r="AQ385" t="n">
        <v>0</v>
      </c>
      <c r="AR385" t="inlineStr">
        <is>
          <t>No</t>
        </is>
      </c>
      <c r="AS385" t="inlineStr">
        <is>
          <t>Yes</t>
        </is>
      </c>
      <c r="AT385">
        <f>HYPERLINK("http://catalog.hathitrust.org/Record/002960119","HathiTrust Record")</f>
        <v/>
      </c>
      <c r="AU385">
        <f>HYPERLINK("https://creighton-primo.hosted.exlibrisgroup.com/primo-explore/search?tab=default_tab&amp;search_scope=EVERYTHING&amp;vid=01CRU&amp;lang=en_US&amp;offset=0&amp;query=any,contains,991002330209702656","Catalog Record")</f>
        <v/>
      </c>
      <c r="AV385">
        <f>HYPERLINK("http://www.worldcat.org/oclc/30319865","WorldCat Record")</f>
        <v/>
      </c>
      <c r="AW385" t="inlineStr">
        <is>
          <t>836866249:eng</t>
        </is>
      </c>
      <c r="AX385" t="inlineStr">
        <is>
          <t>30319865</t>
        </is>
      </c>
      <c r="AY385" t="inlineStr">
        <is>
          <t>991002330209702656</t>
        </is>
      </c>
      <c r="AZ385" t="inlineStr">
        <is>
          <t>991002330209702656</t>
        </is>
      </c>
      <c r="BA385" t="inlineStr">
        <is>
          <t>2267961270002656</t>
        </is>
      </c>
      <c r="BB385" t="inlineStr">
        <is>
          <t>BOOK</t>
        </is>
      </c>
      <c r="BD385" t="inlineStr">
        <is>
          <t>9780849377761</t>
        </is>
      </c>
      <c r="BE385" t="inlineStr">
        <is>
          <t>32285002316460</t>
        </is>
      </c>
      <c r="BF385" t="inlineStr">
        <is>
          <t>893510608</t>
        </is>
      </c>
    </row>
    <row r="386">
      <c r="B386" t="inlineStr">
        <is>
          <t>CURAL</t>
        </is>
      </c>
      <c r="C386" t="inlineStr">
        <is>
          <t>SHELVES</t>
        </is>
      </c>
      <c r="D386" t="inlineStr">
        <is>
          <t>QP364.7 .R47 1995</t>
        </is>
      </c>
      <c r="E386" t="inlineStr">
        <is>
          <t>0                      QP 0364700R  47          1995</t>
        </is>
      </c>
      <c r="F386" t="inlineStr">
        <is>
          <t>Receptors / Richard M. Restak.</t>
        </is>
      </c>
      <c r="H386" t="inlineStr">
        <is>
          <t>No</t>
        </is>
      </c>
      <c r="I386" t="inlineStr">
        <is>
          <t>1</t>
        </is>
      </c>
      <c r="J386" t="inlineStr">
        <is>
          <t>No</t>
        </is>
      </c>
      <c r="K386" t="inlineStr">
        <is>
          <t>No</t>
        </is>
      </c>
      <c r="L386" t="inlineStr">
        <is>
          <t>0</t>
        </is>
      </c>
      <c r="M386" t="inlineStr">
        <is>
          <t>Restak, Richard, 1942-</t>
        </is>
      </c>
      <c r="N386" t="inlineStr">
        <is>
          <t>New York : Bantam Books, 1995, c1994.</t>
        </is>
      </c>
      <c r="O386" t="inlineStr">
        <is>
          <t>1995</t>
        </is>
      </c>
      <c r="P386" t="inlineStr">
        <is>
          <t>Bantam trade pbk. ed.</t>
        </is>
      </c>
      <c r="Q386" t="inlineStr">
        <is>
          <t>eng</t>
        </is>
      </c>
      <c r="R386" t="inlineStr">
        <is>
          <t>nyu</t>
        </is>
      </c>
      <c r="T386" t="inlineStr">
        <is>
          <t xml:space="preserve">QP </t>
        </is>
      </c>
      <c r="U386" t="n">
        <v>14</v>
      </c>
      <c r="V386" t="n">
        <v>14</v>
      </c>
      <c r="W386" t="inlineStr">
        <is>
          <t>2005-10-17</t>
        </is>
      </c>
      <c r="X386" t="inlineStr">
        <is>
          <t>2005-10-17</t>
        </is>
      </c>
      <c r="Y386" t="inlineStr">
        <is>
          <t>1996-01-02</t>
        </is>
      </c>
      <c r="Z386" t="inlineStr">
        <is>
          <t>1996-01-02</t>
        </is>
      </c>
      <c r="AA386" t="n">
        <v>124</v>
      </c>
      <c r="AB386" t="n">
        <v>117</v>
      </c>
      <c r="AC386" t="n">
        <v>607</v>
      </c>
      <c r="AD386" t="n">
        <v>1</v>
      </c>
      <c r="AE386" t="n">
        <v>4</v>
      </c>
      <c r="AF386" t="n">
        <v>1</v>
      </c>
      <c r="AG386" t="n">
        <v>19</v>
      </c>
      <c r="AH386" t="n">
        <v>1</v>
      </c>
      <c r="AI386" t="n">
        <v>6</v>
      </c>
      <c r="AJ386" t="n">
        <v>0</v>
      </c>
      <c r="AK386" t="n">
        <v>5</v>
      </c>
      <c r="AL386" t="n">
        <v>0</v>
      </c>
      <c r="AM386" t="n">
        <v>11</v>
      </c>
      <c r="AN386" t="n">
        <v>0</v>
      </c>
      <c r="AO386" t="n">
        <v>2</v>
      </c>
      <c r="AP386" t="n">
        <v>0</v>
      </c>
      <c r="AQ386" t="n">
        <v>0</v>
      </c>
      <c r="AR386" t="inlineStr">
        <is>
          <t>No</t>
        </is>
      </c>
      <c r="AS386" t="inlineStr">
        <is>
          <t>No</t>
        </is>
      </c>
      <c r="AU386">
        <f>HYPERLINK("https://creighton-primo.hosted.exlibrisgroup.com/primo-explore/search?tab=default_tab&amp;search_scope=EVERYTHING&amp;vid=01CRU&amp;lang=en_US&amp;offset=0&amp;query=any,contains,991002487619702656","Catalog Record")</f>
        <v/>
      </c>
      <c r="AV386">
        <f>HYPERLINK("http://www.worldcat.org/oclc/32375653","WorldCat Record")</f>
        <v/>
      </c>
      <c r="AW386" t="inlineStr">
        <is>
          <t>30976747:eng</t>
        </is>
      </c>
      <c r="AX386" t="inlineStr">
        <is>
          <t>32375653</t>
        </is>
      </c>
      <c r="AY386" t="inlineStr">
        <is>
          <t>991002487619702656</t>
        </is>
      </c>
      <c r="AZ386" t="inlineStr">
        <is>
          <t>991002487619702656</t>
        </is>
      </c>
      <c r="BA386" t="inlineStr">
        <is>
          <t>2258234020002656</t>
        </is>
      </c>
      <c r="BB386" t="inlineStr">
        <is>
          <t>BOOK</t>
        </is>
      </c>
      <c r="BD386" t="inlineStr">
        <is>
          <t>9780553374414</t>
        </is>
      </c>
      <c r="BE386" t="inlineStr">
        <is>
          <t>32285002113933</t>
        </is>
      </c>
      <c r="BF386" t="inlineStr">
        <is>
          <t>893498175</t>
        </is>
      </c>
    </row>
    <row r="387">
      <c r="B387" t="inlineStr">
        <is>
          <t>CURAL</t>
        </is>
      </c>
      <c r="C387" t="inlineStr">
        <is>
          <t>SHELVES</t>
        </is>
      </c>
      <c r="D387" t="inlineStr">
        <is>
          <t>QP369.5 .M676 1985</t>
        </is>
      </c>
      <c r="E387" t="inlineStr">
        <is>
          <t>0                      QP 0369500M  676         1985</t>
        </is>
      </c>
      <c r="F387" t="inlineStr">
        <is>
          <t>The Motor system in neurobiology / edited by Edward V. Evarts, Steven P. Wise, and David Bousfield.</t>
        </is>
      </c>
      <c r="H387" t="inlineStr">
        <is>
          <t>No</t>
        </is>
      </c>
      <c r="I387" t="inlineStr">
        <is>
          <t>1</t>
        </is>
      </c>
      <c r="J387" t="inlineStr">
        <is>
          <t>No</t>
        </is>
      </c>
      <c r="K387" t="inlineStr">
        <is>
          <t>No</t>
        </is>
      </c>
      <c r="L387" t="inlineStr">
        <is>
          <t>0</t>
        </is>
      </c>
      <c r="N387" t="inlineStr">
        <is>
          <t>Amsterdam ; New York : Elsevier Biomedical Press, 1985</t>
        </is>
      </c>
      <c r="O387" t="inlineStr">
        <is>
          <t>1985</t>
        </is>
      </c>
      <c r="Q387" t="inlineStr">
        <is>
          <t>eng</t>
        </is>
      </c>
      <c r="R387" t="inlineStr">
        <is>
          <t xml:space="preserve">ne </t>
        </is>
      </c>
      <c r="T387" t="inlineStr">
        <is>
          <t xml:space="preserve">QP </t>
        </is>
      </c>
      <c r="U387" t="n">
        <v>1</v>
      </c>
      <c r="V387" t="n">
        <v>1</v>
      </c>
      <c r="W387" t="inlineStr">
        <is>
          <t>2005-01-19</t>
        </is>
      </c>
      <c r="X387" t="inlineStr">
        <is>
          <t>2005-01-19</t>
        </is>
      </c>
      <c r="Y387" t="inlineStr">
        <is>
          <t>1993-03-03</t>
        </is>
      </c>
      <c r="Z387" t="inlineStr">
        <is>
          <t>1993-03-03</t>
        </is>
      </c>
      <c r="AA387" t="n">
        <v>114</v>
      </c>
      <c r="AB387" t="n">
        <v>73</v>
      </c>
      <c r="AC387" t="n">
        <v>74</v>
      </c>
      <c r="AD387" t="n">
        <v>2</v>
      </c>
      <c r="AE387" t="n">
        <v>2</v>
      </c>
      <c r="AF387" t="n">
        <v>4</v>
      </c>
      <c r="AG387" t="n">
        <v>4</v>
      </c>
      <c r="AH387" t="n">
        <v>2</v>
      </c>
      <c r="AI387" t="n">
        <v>2</v>
      </c>
      <c r="AJ387" t="n">
        <v>0</v>
      </c>
      <c r="AK387" t="n">
        <v>0</v>
      </c>
      <c r="AL387" t="n">
        <v>2</v>
      </c>
      <c r="AM387" t="n">
        <v>2</v>
      </c>
      <c r="AN387" t="n">
        <v>1</v>
      </c>
      <c r="AO387" t="n">
        <v>1</v>
      </c>
      <c r="AP387" t="n">
        <v>0</v>
      </c>
      <c r="AQ387" t="n">
        <v>0</v>
      </c>
      <c r="AR387" t="inlineStr">
        <is>
          <t>No</t>
        </is>
      </c>
      <c r="AS387" t="inlineStr">
        <is>
          <t>Yes</t>
        </is>
      </c>
      <c r="AT387">
        <f>HYPERLINK("http://catalog.hathitrust.org/Record/000816989","HathiTrust Record")</f>
        <v/>
      </c>
      <c r="AU387">
        <f>HYPERLINK("https://creighton-primo.hosted.exlibrisgroup.com/primo-explore/search?tab=default_tab&amp;search_scope=EVERYTHING&amp;vid=01CRU&amp;lang=en_US&amp;offset=0&amp;query=any,contains,991000838219702656","Catalog Record")</f>
        <v/>
      </c>
      <c r="AV387">
        <f>HYPERLINK("http://www.worldcat.org/oclc/13510978","WorldCat Record")</f>
        <v/>
      </c>
      <c r="AW387" t="inlineStr">
        <is>
          <t>375067900:eng</t>
        </is>
      </c>
      <c r="AX387" t="inlineStr">
        <is>
          <t>13510978</t>
        </is>
      </c>
      <c r="AY387" t="inlineStr">
        <is>
          <t>991000838219702656</t>
        </is>
      </c>
      <c r="AZ387" t="inlineStr">
        <is>
          <t>991000838219702656</t>
        </is>
      </c>
      <c r="BA387" t="inlineStr">
        <is>
          <t>2261576800002656</t>
        </is>
      </c>
      <c r="BB387" t="inlineStr">
        <is>
          <t>BOOK</t>
        </is>
      </c>
      <c r="BD387" t="inlineStr">
        <is>
          <t>9780444807380</t>
        </is>
      </c>
      <c r="BE387" t="inlineStr">
        <is>
          <t>32285001561694</t>
        </is>
      </c>
      <c r="BF387" t="inlineStr">
        <is>
          <t>893407576</t>
        </is>
      </c>
    </row>
    <row r="388">
      <c r="B388" t="inlineStr">
        <is>
          <t>CURAL</t>
        </is>
      </c>
      <c r="C388" t="inlineStr">
        <is>
          <t>JUVENILE</t>
        </is>
      </c>
      <c r="D388" t="inlineStr">
        <is>
          <t>QP37 .M28 2008</t>
        </is>
      </c>
      <c r="E388" t="inlineStr">
        <is>
          <t>0                      QP 0037000M  28          2008</t>
        </is>
      </c>
      <c r="F388" t="inlineStr">
        <is>
          <t>The way we work : getting to know the amazing human body / David Macaulay, with Richard Walker.</t>
        </is>
      </c>
      <c r="H388" t="inlineStr">
        <is>
          <t>No</t>
        </is>
      </c>
      <c r="I388" t="inlineStr">
        <is>
          <t>1</t>
        </is>
      </c>
      <c r="J388" t="inlineStr">
        <is>
          <t>No</t>
        </is>
      </c>
      <c r="K388" t="inlineStr">
        <is>
          <t>No</t>
        </is>
      </c>
      <c r="L388" t="inlineStr">
        <is>
          <t>0</t>
        </is>
      </c>
      <c r="M388" t="inlineStr">
        <is>
          <t>Macaulay, David.</t>
        </is>
      </c>
      <c r="N388" t="inlineStr">
        <is>
          <t>Boston : Houghton Mifflin, 2008.</t>
        </is>
      </c>
      <c r="O388" t="inlineStr">
        <is>
          <t>2008</t>
        </is>
      </c>
      <c r="Q388" t="inlineStr">
        <is>
          <t>eng</t>
        </is>
      </c>
      <c r="R388" t="inlineStr">
        <is>
          <t>mau</t>
        </is>
      </c>
      <c r="T388" t="inlineStr">
        <is>
          <t xml:space="preserve">QP </t>
        </is>
      </c>
      <c r="U388" t="n">
        <v>2</v>
      </c>
      <c r="V388" t="n">
        <v>2</v>
      </c>
      <c r="W388" t="inlineStr">
        <is>
          <t>2009-07-13</t>
        </is>
      </c>
      <c r="X388" t="inlineStr">
        <is>
          <t>2009-07-13</t>
        </is>
      </c>
      <c r="Y388" t="inlineStr">
        <is>
          <t>2009-07-13</t>
        </is>
      </c>
      <c r="Z388" t="inlineStr">
        <is>
          <t>2009-07-13</t>
        </is>
      </c>
      <c r="AA388" t="n">
        <v>2263</v>
      </c>
      <c r="AB388" t="n">
        <v>2167</v>
      </c>
      <c r="AC388" t="n">
        <v>2183</v>
      </c>
      <c r="AD388" t="n">
        <v>19</v>
      </c>
      <c r="AE388" t="n">
        <v>19</v>
      </c>
      <c r="AF388" t="n">
        <v>28</v>
      </c>
      <c r="AG388" t="n">
        <v>28</v>
      </c>
      <c r="AH388" t="n">
        <v>13</v>
      </c>
      <c r="AI388" t="n">
        <v>13</v>
      </c>
      <c r="AJ388" t="n">
        <v>6</v>
      </c>
      <c r="AK388" t="n">
        <v>6</v>
      </c>
      <c r="AL388" t="n">
        <v>13</v>
      </c>
      <c r="AM388" t="n">
        <v>13</v>
      </c>
      <c r="AN388" t="n">
        <v>4</v>
      </c>
      <c r="AO388" t="n">
        <v>4</v>
      </c>
      <c r="AP388" t="n">
        <v>0</v>
      </c>
      <c r="AQ388" t="n">
        <v>0</v>
      </c>
      <c r="AR388" t="inlineStr">
        <is>
          <t>No</t>
        </is>
      </c>
      <c r="AS388" t="inlineStr">
        <is>
          <t>No</t>
        </is>
      </c>
      <c r="AU388">
        <f>HYPERLINK("https://creighton-primo.hosted.exlibrisgroup.com/primo-explore/search?tab=default_tab&amp;search_scope=EVERYTHING&amp;vid=01CRU&amp;lang=en_US&amp;offset=0&amp;query=any,contains,991005325299702656","Catalog Record")</f>
        <v/>
      </c>
      <c r="AV388">
        <f>HYPERLINK("http://www.worldcat.org/oclc/231745610","WorldCat Record")</f>
        <v/>
      </c>
      <c r="AW388" t="inlineStr">
        <is>
          <t>8953527987:eng</t>
        </is>
      </c>
      <c r="AX388" t="inlineStr">
        <is>
          <t>231745610</t>
        </is>
      </c>
      <c r="AY388" t="inlineStr">
        <is>
          <t>991005325299702656</t>
        </is>
      </c>
      <c r="AZ388" t="inlineStr">
        <is>
          <t>991005325299702656</t>
        </is>
      </c>
      <c r="BA388" t="inlineStr">
        <is>
          <t>2268092590002656</t>
        </is>
      </c>
      <c r="BB388" t="inlineStr">
        <is>
          <t>BOOK</t>
        </is>
      </c>
      <c r="BD388" t="inlineStr">
        <is>
          <t>9780618233786</t>
        </is>
      </c>
      <c r="BE388" t="inlineStr">
        <is>
          <t>32285005537716</t>
        </is>
      </c>
      <c r="BF388" t="inlineStr">
        <is>
          <t>893493093</t>
        </is>
      </c>
    </row>
    <row r="389">
      <c r="B389" t="inlineStr">
        <is>
          <t>CURAL</t>
        </is>
      </c>
      <c r="C389" t="inlineStr">
        <is>
          <t>SHELVES</t>
        </is>
      </c>
      <c r="D389" t="inlineStr">
        <is>
          <t>QP372 .L28 1968</t>
        </is>
      </c>
      <c r="E389" t="inlineStr">
        <is>
          <t>0                      QP 0372000L  28          1968</t>
        </is>
      </c>
      <c r="F389" t="inlineStr">
        <is>
          <t>The startle pattern / [by] Carney Landis and William A. Hunt ; with a chapter by Hans Strauss.</t>
        </is>
      </c>
      <c r="H389" t="inlineStr">
        <is>
          <t>No</t>
        </is>
      </c>
      <c r="I389" t="inlineStr">
        <is>
          <t>1</t>
        </is>
      </c>
      <c r="J389" t="inlineStr">
        <is>
          <t>No</t>
        </is>
      </c>
      <c r="K389" t="inlineStr">
        <is>
          <t>No</t>
        </is>
      </c>
      <c r="L389" t="inlineStr">
        <is>
          <t>0</t>
        </is>
      </c>
      <c r="M389" t="inlineStr">
        <is>
          <t>Landis, Carney, 1897-1962.</t>
        </is>
      </c>
      <c r="N389" t="inlineStr">
        <is>
          <t>New York, Farrar &amp; Rinehart, Inc. [c1939] New York, Johnson Reprint Corp. [1968]</t>
        </is>
      </c>
      <c r="O389" t="inlineStr">
        <is>
          <t>1968</t>
        </is>
      </c>
      <c r="Q389" t="inlineStr">
        <is>
          <t>eng</t>
        </is>
      </c>
      <c r="R389" t="inlineStr">
        <is>
          <t>nyu</t>
        </is>
      </c>
      <c r="T389" t="inlineStr">
        <is>
          <t xml:space="preserve">QP </t>
        </is>
      </c>
      <c r="U389" t="n">
        <v>0</v>
      </c>
      <c r="V389" t="n">
        <v>0</v>
      </c>
      <c r="W389" t="inlineStr">
        <is>
          <t>2001-08-20</t>
        </is>
      </c>
      <c r="X389" t="inlineStr">
        <is>
          <t>2001-08-20</t>
        </is>
      </c>
      <c r="Y389" t="inlineStr">
        <is>
          <t>1997-08-08</t>
        </is>
      </c>
      <c r="Z389" t="inlineStr">
        <is>
          <t>1997-08-08</t>
        </is>
      </c>
      <c r="AA389" t="n">
        <v>154</v>
      </c>
      <c r="AB389" t="n">
        <v>138</v>
      </c>
      <c r="AC389" t="n">
        <v>284</v>
      </c>
      <c r="AD389" t="n">
        <v>3</v>
      </c>
      <c r="AE389" t="n">
        <v>3</v>
      </c>
      <c r="AF389" t="n">
        <v>8</v>
      </c>
      <c r="AG389" t="n">
        <v>14</v>
      </c>
      <c r="AH389" t="n">
        <v>2</v>
      </c>
      <c r="AI389" t="n">
        <v>3</v>
      </c>
      <c r="AJ389" t="n">
        <v>2</v>
      </c>
      <c r="AK389" t="n">
        <v>5</v>
      </c>
      <c r="AL389" t="n">
        <v>3</v>
      </c>
      <c r="AM389" t="n">
        <v>6</v>
      </c>
      <c r="AN389" t="n">
        <v>2</v>
      </c>
      <c r="AO389" t="n">
        <v>2</v>
      </c>
      <c r="AP389" t="n">
        <v>0</v>
      </c>
      <c r="AQ389" t="n">
        <v>0</v>
      </c>
      <c r="AR389" t="inlineStr">
        <is>
          <t>No</t>
        </is>
      </c>
      <c r="AS389" t="inlineStr">
        <is>
          <t>No</t>
        </is>
      </c>
      <c r="AU389">
        <f>HYPERLINK("https://creighton-primo.hosted.exlibrisgroup.com/primo-explore/search?tab=default_tab&amp;search_scope=EVERYTHING&amp;vid=01CRU&amp;lang=en_US&amp;offset=0&amp;query=any,contains,991002401189702656","Catalog Record")</f>
        <v/>
      </c>
      <c r="AV389">
        <f>HYPERLINK("http://www.worldcat.org/oclc/336780","WorldCat Record")</f>
        <v/>
      </c>
      <c r="AW389" t="inlineStr">
        <is>
          <t>1458192:eng</t>
        </is>
      </c>
      <c r="AX389" t="inlineStr">
        <is>
          <t>336780</t>
        </is>
      </c>
      <c r="AY389" t="inlineStr">
        <is>
          <t>991002401189702656</t>
        </is>
      </c>
      <c r="AZ389" t="inlineStr">
        <is>
          <t>991002401189702656</t>
        </is>
      </c>
      <c r="BA389" t="inlineStr">
        <is>
          <t>2254932700002656</t>
        </is>
      </c>
      <c r="BB389" t="inlineStr">
        <is>
          <t>BOOK</t>
        </is>
      </c>
      <c r="BE389" t="inlineStr">
        <is>
          <t>32285003013496</t>
        </is>
      </c>
      <c r="BF389" t="inlineStr">
        <is>
          <t>893873468</t>
        </is>
      </c>
    </row>
    <row r="390">
      <c r="B390" t="inlineStr">
        <is>
          <t>CURAL</t>
        </is>
      </c>
      <c r="C390" t="inlineStr">
        <is>
          <t>SHELVES</t>
        </is>
      </c>
      <c r="D390" t="inlineStr">
        <is>
          <t>QP376 .A225 2004</t>
        </is>
      </c>
      <c r="E390" t="inlineStr">
        <is>
          <t>0                      QP 0376000A  225         2004</t>
        </is>
      </c>
      <c r="F390" t="inlineStr">
        <is>
          <t>An alchemy of mind : the marvel and mystery of the brain / Diane Ackerman.</t>
        </is>
      </c>
      <c r="H390" t="inlineStr">
        <is>
          <t>No</t>
        </is>
      </c>
      <c r="I390" t="inlineStr">
        <is>
          <t>1</t>
        </is>
      </c>
      <c r="J390" t="inlineStr">
        <is>
          <t>No</t>
        </is>
      </c>
      <c r="K390" t="inlineStr">
        <is>
          <t>No</t>
        </is>
      </c>
      <c r="L390" t="inlineStr">
        <is>
          <t>0</t>
        </is>
      </c>
      <c r="M390" t="inlineStr">
        <is>
          <t>Ackerman, Diane, 1948-</t>
        </is>
      </c>
      <c r="N390" t="inlineStr">
        <is>
          <t>New York : Scribner, 2004.</t>
        </is>
      </c>
      <c r="O390" t="inlineStr">
        <is>
          <t>2004</t>
        </is>
      </c>
      <c r="Q390" t="inlineStr">
        <is>
          <t>eng</t>
        </is>
      </c>
      <c r="R390" t="inlineStr">
        <is>
          <t>nyu</t>
        </is>
      </c>
      <c r="T390" t="inlineStr">
        <is>
          <t xml:space="preserve">QP </t>
        </is>
      </c>
      <c r="U390" t="n">
        <v>2</v>
      </c>
      <c r="V390" t="n">
        <v>2</v>
      </c>
      <c r="W390" t="inlineStr">
        <is>
          <t>2008-11-12</t>
        </is>
      </c>
      <c r="X390" t="inlineStr">
        <is>
          <t>2008-11-12</t>
        </is>
      </c>
      <c r="Y390" t="inlineStr">
        <is>
          <t>2005-01-27</t>
        </is>
      </c>
      <c r="Z390" t="inlineStr">
        <is>
          <t>2005-01-27</t>
        </is>
      </c>
      <c r="AA390" t="n">
        <v>1440</v>
      </c>
      <c r="AB390" t="n">
        <v>1363</v>
      </c>
      <c r="AC390" t="n">
        <v>1393</v>
      </c>
      <c r="AD390" t="n">
        <v>12</v>
      </c>
      <c r="AE390" t="n">
        <v>12</v>
      </c>
      <c r="AF390" t="n">
        <v>28</v>
      </c>
      <c r="AG390" t="n">
        <v>28</v>
      </c>
      <c r="AH390" t="n">
        <v>11</v>
      </c>
      <c r="AI390" t="n">
        <v>11</v>
      </c>
      <c r="AJ390" t="n">
        <v>6</v>
      </c>
      <c r="AK390" t="n">
        <v>6</v>
      </c>
      <c r="AL390" t="n">
        <v>13</v>
      </c>
      <c r="AM390" t="n">
        <v>13</v>
      </c>
      <c r="AN390" t="n">
        <v>5</v>
      </c>
      <c r="AO390" t="n">
        <v>5</v>
      </c>
      <c r="AP390" t="n">
        <v>0</v>
      </c>
      <c r="AQ390" t="n">
        <v>0</v>
      </c>
      <c r="AR390" t="inlineStr">
        <is>
          <t>No</t>
        </is>
      </c>
      <c r="AS390" t="inlineStr">
        <is>
          <t>No</t>
        </is>
      </c>
      <c r="AU390">
        <f>HYPERLINK("https://creighton-primo.hosted.exlibrisgroup.com/primo-explore/search?tab=default_tab&amp;search_scope=EVERYTHING&amp;vid=01CRU&amp;lang=en_US&amp;offset=0&amp;query=any,contains,991004305289702656","Catalog Record")</f>
        <v/>
      </c>
      <c r="AV390">
        <f>HYPERLINK("http://www.worldcat.org/oclc/54006936","WorldCat Record")</f>
        <v/>
      </c>
      <c r="AW390" t="inlineStr">
        <is>
          <t>200034086:eng</t>
        </is>
      </c>
      <c r="AX390" t="inlineStr">
        <is>
          <t>54006936</t>
        </is>
      </c>
      <c r="AY390" t="inlineStr">
        <is>
          <t>991004305289702656</t>
        </is>
      </c>
      <c r="AZ390" t="inlineStr">
        <is>
          <t>991004305289702656</t>
        </is>
      </c>
      <c r="BA390" t="inlineStr">
        <is>
          <t>2271645040002656</t>
        </is>
      </c>
      <c r="BB390" t="inlineStr">
        <is>
          <t>BOOK</t>
        </is>
      </c>
      <c r="BD390" t="inlineStr">
        <is>
          <t>9780743246729</t>
        </is>
      </c>
      <c r="BE390" t="inlineStr">
        <is>
          <t>32285005023311</t>
        </is>
      </c>
      <c r="BF390" t="inlineStr">
        <is>
          <t>893700078</t>
        </is>
      </c>
    </row>
    <row r="391">
      <c r="B391" t="inlineStr">
        <is>
          <t>CURAL</t>
        </is>
      </c>
      <c r="C391" t="inlineStr">
        <is>
          <t>SHELVES</t>
        </is>
      </c>
      <c r="D391" t="inlineStr">
        <is>
          <t>QP376 .A427 1989</t>
        </is>
      </c>
      <c r="E391" t="inlineStr">
        <is>
          <t>0                      QP 0376000A  427         1989</t>
        </is>
      </c>
      <c r="F391" t="inlineStr">
        <is>
          <t>Modeling brain function : the world of attractor neural networks / Daniel J. Amit.</t>
        </is>
      </c>
      <c r="H391" t="inlineStr">
        <is>
          <t>No</t>
        </is>
      </c>
      <c r="I391" t="inlineStr">
        <is>
          <t>1</t>
        </is>
      </c>
      <c r="J391" t="inlineStr">
        <is>
          <t>No</t>
        </is>
      </c>
      <c r="K391" t="inlineStr">
        <is>
          <t>No</t>
        </is>
      </c>
      <c r="L391" t="inlineStr">
        <is>
          <t>0</t>
        </is>
      </c>
      <c r="M391" t="inlineStr">
        <is>
          <t>Amit, D. J., 1938-2007.</t>
        </is>
      </c>
      <c r="N391" t="inlineStr">
        <is>
          <t>Cambridge [England] ; New York : Cambridge University Press, 1989.</t>
        </is>
      </c>
      <c r="O391" t="inlineStr">
        <is>
          <t>1989</t>
        </is>
      </c>
      <c r="Q391" t="inlineStr">
        <is>
          <t>eng</t>
        </is>
      </c>
      <c r="R391" t="inlineStr">
        <is>
          <t>enk</t>
        </is>
      </c>
      <c r="T391" t="inlineStr">
        <is>
          <t xml:space="preserve">QP </t>
        </is>
      </c>
      <c r="U391" t="n">
        <v>2</v>
      </c>
      <c r="V391" t="n">
        <v>2</v>
      </c>
      <c r="W391" t="inlineStr">
        <is>
          <t>2002-06-17</t>
        </is>
      </c>
      <c r="X391" t="inlineStr">
        <is>
          <t>2002-06-17</t>
        </is>
      </c>
      <c r="Y391" t="inlineStr">
        <is>
          <t>1990-06-28</t>
        </is>
      </c>
      <c r="Z391" t="inlineStr">
        <is>
          <t>1990-06-28</t>
        </is>
      </c>
      <c r="AA391" t="n">
        <v>446</v>
      </c>
      <c r="AB391" t="n">
        <v>301</v>
      </c>
      <c r="AC391" t="n">
        <v>320</v>
      </c>
      <c r="AD391" t="n">
        <v>2</v>
      </c>
      <c r="AE391" t="n">
        <v>2</v>
      </c>
      <c r="AF391" t="n">
        <v>13</v>
      </c>
      <c r="AG391" t="n">
        <v>13</v>
      </c>
      <c r="AH391" t="n">
        <v>1</v>
      </c>
      <c r="AI391" t="n">
        <v>1</v>
      </c>
      <c r="AJ391" t="n">
        <v>5</v>
      </c>
      <c r="AK391" t="n">
        <v>5</v>
      </c>
      <c r="AL391" t="n">
        <v>10</v>
      </c>
      <c r="AM391" t="n">
        <v>10</v>
      </c>
      <c r="AN391" t="n">
        <v>1</v>
      </c>
      <c r="AO391" t="n">
        <v>1</v>
      </c>
      <c r="AP391" t="n">
        <v>0</v>
      </c>
      <c r="AQ391" t="n">
        <v>0</v>
      </c>
      <c r="AR391" t="inlineStr">
        <is>
          <t>No</t>
        </is>
      </c>
      <c r="AS391" t="inlineStr">
        <is>
          <t>No</t>
        </is>
      </c>
      <c r="AU391">
        <f>HYPERLINK("https://creighton-primo.hosted.exlibrisgroup.com/primo-explore/search?tab=default_tab&amp;search_scope=EVERYTHING&amp;vid=01CRU&amp;lang=en_US&amp;offset=0&amp;query=any,contains,991001516229702656","Catalog Record")</f>
        <v/>
      </c>
      <c r="AV391">
        <f>HYPERLINK("http://www.worldcat.org/oclc/19922497","WorldCat Record")</f>
        <v/>
      </c>
      <c r="AW391" t="inlineStr">
        <is>
          <t>21480168:eng</t>
        </is>
      </c>
      <c r="AX391" t="inlineStr">
        <is>
          <t>19922497</t>
        </is>
      </c>
      <c r="AY391" t="inlineStr">
        <is>
          <t>991001516229702656</t>
        </is>
      </c>
      <c r="AZ391" t="inlineStr">
        <is>
          <t>991001516229702656</t>
        </is>
      </c>
      <c r="BA391" t="inlineStr">
        <is>
          <t>2267550220002656</t>
        </is>
      </c>
      <c r="BB391" t="inlineStr">
        <is>
          <t>BOOK</t>
        </is>
      </c>
      <c r="BD391" t="inlineStr">
        <is>
          <t>9780521361002</t>
        </is>
      </c>
      <c r="BE391" t="inlineStr">
        <is>
          <t>32285000205863</t>
        </is>
      </c>
      <c r="BF391" t="inlineStr">
        <is>
          <t>893590416</t>
        </is>
      </c>
    </row>
    <row r="392">
      <c r="B392" t="inlineStr">
        <is>
          <t>CURAL</t>
        </is>
      </c>
      <c r="C392" t="inlineStr">
        <is>
          <t>SHELVES</t>
        </is>
      </c>
      <c r="D392" t="inlineStr">
        <is>
          <t>QP376 .B37</t>
        </is>
      </c>
      <c r="E392" t="inlineStr">
        <is>
          <t>0                      QP 0376000B  37</t>
        </is>
      </c>
      <c r="F392" t="inlineStr">
        <is>
          <t>EEG-brain dynamics : relation between EEG and Brain evoked potentials / Erol Bașar.</t>
        </is>
      </c>
      <c r="H392" t="inlineStr">
        <is>
          <t>No</t>
        </is>
      </c>
      <c r="I392" t="inlineStr">
        <is>
          <t>1</t>
        </is>
      </c>
      <c r="J392" t="inlineStr">
        <is>
          <t>No</t>
        </is>
      </c>
      <c r="K392" t="inlineStr">
        <is>
          <t>No</t>
        </is>
      </c>
      <c r="L392" t="inlineStr">
        <is>
          <t>0</t>
        </is>
      </c>
      <c r="M392" t="inlineStr">
        <is>
          <t>Başar, Erol.</t>
        </is>
      </c>
      <c r="N392" t="inlineStr">
        <is>
          <t>Amsterdam ; New York : Elsevier/North-Holland Biomedical Press ; New York, N.Y. : sole distributors for the U.S.A. and Canada, Elsevier North-Holland, 1980.</t>
        </is>
      </c>
      <c r="O392" t="inlineStr">
        <is>
          <t>1980</t>
        </is>
      </c>
      <c r="Q392" t="inlineStr">
        <is>
          <t>eng</t>
        </is>
      </c>
      <c r="R392" t="inlineStr">
        <is>
          <t xml:space="preserve">ne </t>
        </is>
      </c>
      <c r="T392" t="inlineStr">
        <is>
          <t xml:space="preserve">QP </t>
        </is>
      </c>
      <c r="U392" t="n">
        <v>4</v>
      </c>
      <c r="V392" t="n">
        <v>4</v>
      </c>
      <c r="W392" t="inlineStr">
        <is>
          <t>1993-05-20</t>
        </is>
      </c>
      <c r="X392" t="inlineStr">
        <is>
          <t>1993-05-20</t>
        </is>
      </c>
      <c r="Y392" t="inlineStr">
        <is>
          <t>1990-07-12</t>
        </is>
      </c>
      <c r="Z392" t="inlineStr">
        <is>
          <t>1990-07-12</t>
        </is>
      </c>
      <c r="AA392" t="n">
        <v>136</v>
      </c>
      <c r="AB392" t="n">
        <v>78</v>
      </c>
      <c r="AC392" t="n">
        <v>80</v>
      </c>
      <c r="AD392" t="n">
        <v>2</v>
      </c>
      <c r="AE392" t="n">
        <v>2</v>
      </c>
      <c r="AF392" t="n">
        <v>2</v>
      </c>
      <c r="AG392" t="n">
        <v>2</v>
      </c>
      <c r="AH392" t="n">
        <v>1</v>
      </c>
      <c r="AI392" t="n">
        <v>1</v>
      </c>
      <c r="AJ392" t="n">
        <v>0</v>
      </c>
      <c r="AK392" t="n">
        <v>0</v>
      </c>
      <c r="AL392" t="n">
        <v>0</v>
      </c>
      <c r="AM392" t="n">
        <v>0</v>
      </c>
      <c r="AN392" t="n">
        <v>1</v>
      </c>
      <c r="AO392" t="n">
        <v>1</v>
      </c>
      <c r="AP392" t="n">
        <v>0</v>
      </c>
      <c r="AQ392" t="n">
        <v>0</v>
      </c>
      <c r="AR392" t="inlineStr">
        <is>
          <t>No</t>
        </is>
      </c>
      <c r="AS392" t="inlineStr">
        <is>
          <t>Yes</t>
        </is>
      </c>
      <c r="AT392">
        <f>HYPERLINK("http://catalog.hathitrust.org/Record/000169219","HathiTrust Record")</f>
        <v/>
      </c>
      <c r="AU392">
        <f>HYPERLINK("https://creighton-primo.hosted.exlibrisgroup.com/primo-explore/search?tab=default_tab&amp;search_scope=EVERYTHING&amp;vid=01CRU&amp;lang=en_US&amp;offset=0&amp;query=any,contains,991005008049702656","Catalog Record")</f>
        <v/>
      </c>
      <c r="AV392">
        <f>HYPERLINK("http://www.worldcat.org/oclc/6581213","WorldCat Record")</f>
        <v/>
      </c>
      <c r="AW392" t="inlineStr">
        <is>
          <t>375135560:eng</t>
        </is>
      </c>
      <c r="AX392" t="inlineStr">
        <is>
          <t>6581213</t>
        </is>
      </c>
      <c r="AY392" t="inlineStr">
        <is>
          <t>991005008049702656</t>
        </is>
      </c>
      <c r="AZ392" t="inlineStr">
        <is>
          <t>991005008049702656</t>
        </is>
      </c>
      <c r="BA392" t="inlineStr">
        <is>
          <t>2258161030002656</t>
        </is>
      </c>
      <c r="BB392" t="inlineStr">
        <is>
          <t>BOOK</t>
        </is>
      </c>
      <c r="BD392" t="inlineStr">
        <is>
          <t>9780444802491</t>
        </is>
      </c>
      <c r="BE392" t="inlineStr">
        <is>
          <t>32285000236405</t>
        </is>
      </c>
      <c r="BF392" t="inlineStr">
        <is>
          <t>893628455</t>
        </is>
      </c>
    </row>
    <row r="393">
      <c r="B393" t="inlineStr">
        <is>
          <t>CURAL</t>
        </is>
      </c>
      <c r="C393" t="inlineStr">
        <is>
          <t>SHELVES</t>
        </is>
      </c>
      <c r="D393" t="inlineStr">
        <is>
          <t>QP376 .B695 1979</t>
        </is>
      </c>
      <c r="E393" t="inlineStr">
        <is>
          <t>0                      QP 0376000B  695         1979</t>
        </is>
      </c>
      <c r="F393" t="inlineStr">
        <is>
          <t>The Brain.</t>
        </is>
      </c>
      <c r="H393" t="inlineStr">
        <is>
          <t>No</t>
        </is>
      </c>
      <c r="I393" t="inlineStr">
        <is>
          <t>1</t>
        </is>
      </c>
      <c r="J393" t="inlineStr">
        <is>
          <t>Yes</t>
        </is>
      </c>
      <c r="K393" t="inlineStr">
        <is>
          <t>No</t>
        </is>
      </c>
      <c r="L393" t="inlineStr">
        <is>
          <t>0</t>
        </is>
      </c>
      <c r="N393" t="inlineStr">
        <is>
          <t>New York : W. H. Freeman, c1979.</t>
        </is>
      </c>
      <c r="O393" t="inlineStr">
        <is>
          <t>1979</t>
        </is>
      </c>
      <c r="Q393" t="inlineStr">
        <is>
          <t>eng</t>
        </is>
      </c>
      <c r="R393" t="inlineStr">
        <is>
          <t>cau</t>
        </is>
      </c>
      <c r="T393" t="inlineStr">
        <is>
          <t xml:space="preserve">QP </t>
        </is>
      </c>
      <c r="U393" t="n">
        <v>8</v>
      </c>
      <c r="V393" t="n">
        <v>15</v>
      </c>
      <c r="W393" t="inlineStr">
        <is>
          <t>2003-03-02</t>
        </is>
      </c>
      <c r="X393" t="inlineStr">
        <is>
          <t>2004-04-18</t>
        </is>
      </c>
      <c r="Y393" t="inlineStr">
        <is>
          <t>1992-02-07</t>
        </is>
      </c>
      <c r="Z393" t="inlineStr">
        <is>
          <t>1992-02-07</t>
        </is>
      </c>
      <c r="AA393" t="n">
        <v>742</v>
      </c>
      <c r="AB393" t="n">
        <v>593</v>
      </c>
      <c r="AC393" t="n">
        <v>593</v>
      </c>
      <c r="AD393" t="n">
        <v>3</v>
      </c>
      <c r="AE393" t="n">
        <v>3</v>
      </c>
      <c r="AF393" t="n">
        <v>20</v>
      </c>
      <c r="AG393" t="n">
        <v>20</v>
      </c>
      <c r="AH393" t="n">
        <v>9</v>
      </c>
      <c r="AI393" t="n">
        <v>9</v>
      </c>
      <c r="AJ393" t="n">
        <v>4</v>
      </c>
      <c r="AK393" t="n">
        <v>4</v>
      </c>
      <c r="AL393" t="n">
        <v>12</v>
      </c>
      <c r="AM393" t="n">
        <v>12</v>
      </c>
      <c r="AN393" t="n">
        <v>0</v>
      </c>
      <c r="AO393" t="n">
        <v>0</v>
      </c>
      <c r="AP393" t="n">
        <v>0</v>
      </c>
      <c r="AQ393" t="n">
        <v>0</v>
      </c>
      <c r="AR393" t="inlineStr">
        <is>
          <t>No</t>
        </is>
      </c>
      <c r="AS393" t="inlineStr">
        <is>
          <t>No</t>
        </is>
      </c>
      <c r="AU393">
        <f>HYPERLINK("https://creighton-primo.hosted.exlibrisgroup.com/primo-explore/search?tab=default_tab&amp;search_scope=EVERYTHING&amp;vid=01CRU&amp;lang=en_US&amp;offset=0&amp;query=any,contains,991001758609702656","Catalog Record")</f>
        <v/>
      </c>
      <c r="AV393">
        <f>HYPERLINK("http://www.worldcat.org/oclc/5411390","WorldCat Record")</f>
        <v/>
      </c>
      <c r="AW393" t="inlineStr">
        <is>
          <t>5622152404:eng</t>
        </is>
      </c>
      <c r="AX393" t="inlineStr">
        <is>
          <t>5411390</t>
        </is>
      </c>
      <c r="AY393" t="inlineStr">
        <is>
          <t>991001758609702656</t>
        </is>
      </c>
      <c r="AZ393" t="inlineStr">
        <is>
          <t>991001758609702656</t>
        </is>
      </c>
      <c r="BA393" t="inlineStr">
        <is>
          <t>2256356280002656</t>
        </is>
      </c>
      <c r="BB393" t="inlineStr">
        <is>
          <t>BOOK</t>
        </is>
      </c>
      <c r="BD393" t="inlineStr">
        <is>
          <t>9780716711506</t>
        </is>
      </c>
      <c r="BE393" t="inlineStr">
        <is>
          <t>32285000950435</t>
        </is>
      </c>
      <c r="BF393" t="inlineStr">
        <is>
          <t>893509884</t>
        </is>
      </c>
    </row>
    <row r="394">
      <c r="B394" t="inlineStr">
        <is>
          <t>CURAL</t>
        </is>
      </c>
      <c r="C394" t="inlineStr">
        <is>
          <t>SHELVES</t>
        </is>
      </c>
      <c r="D394" t="inlineStr">
        <is>
          <t>QP376 .B696</t>
        </is>
      </c>
      <c r="E394" t="inlineStr">
        <is>
          <t>0                      QP 0376000B  696</t>
        </is>
      </c>
      <c r="F394" t="inlineStr">
        <is>
          <t>Brain and human behavior. Edited by A. G. Karczmar [and] J. C. Eccles.</t>
        </is>
      </c>
      <c r="H394" t="inlineStr">
        <is>
          <t>No</t>
        </is>
      </c>
      <c r="I394" t="inlineStr">
        <is>
          <t>1</t>
        </is>
      </c>
      <c r="J394" t="inlineStr">
        <is>
          <t>No</t>
        </is>
      </c>
      <c r="K394" t="inlineStr">
        <is>
          <t>No</t>
        </is>
      </c>
      <c r="L394" t="inlineStr">
        <is>
          <t>0</t>
        </is>
      </c>
      <c r="N394" t="inlineStr">
        <is>
          <t>Berlin, New York, Springer-Verlag, 1972.</t>
        </is>
      </c>
      <c r="O394" t="inlineStr">
        <is>
          <t>1972</t>
        </is>
      </c>
      <c r="Q394" t="inlineStr">
        <is>
          <t>eng</t>
        </is>
      </c>
      <c r="R394" t="inlineStr">
        <is>
          <t xml:space="preserve">gw </t>
        </is>
      </c>
      <c r="T394" t="inlineStr">
        <is>
          <t xml:space="preserve">QP </t>
        </is>
      </c>
      <c r="U394" t="n">
        <v>9</v>
      </c>
      <c r="V394" t="n">
        <v>9</v>
      </c>
      <c r="W394" t="inlineStr">
        <is>
          <t>1999-09-23</t>
        </is>
      </c>
      <c r="X394" t="inlineStr">
        <is>
          <t>1999-09-23</t>
        </is>
      </c>
      <c r="Y394" t="inlineStr">
        <is>
          <t>1993-03-03</t>
        </is>
      </c>
      <c r="Z394" t="inlineStr">
        <is>
          <t>1993-03-03</t>
        </is>
      </c>
      <c r="AA394" t="n">
        <v>367</v>
      </c>
      <c r="AB394" t="n">
        <v>249</v>
      </c>
      <c r="AC394" t="n">
        <v>278</v>
      </c>
      <c r="AD394" t="n">
        <v>3</v>
      </c>
      <c r="AE394" t="n">
        <v>3</v>
      </c>
      <c r="AF394" t="n">
        <v>10</v>
      </c>
      <c r="AG394" t="n">
        <v>10</v>
      </c>
      <c r="AH394" t="n">
        <v>1</v>
      </c>
      <c r="AI394" t="n">
        <v>1</v>
      </c>
      <c r="AJ394" t="n">
        <v>3</v>
      </c>
      <c r="AK394" t="n">
        <v>3</v>
      </c>
      <c r="AL394" t="n">
        <v>7</v>
      </c>
      <c r="AM394" t="n">
        <v>7</v>
      </c>
      <c r="AN394" t="n">
        <v>2</v>
      </c>
      <c r="AO394" t="n">
        <v>2</v>
      </c>
      <c r="AP394" t="n">
        <v>0</v>
      </c>
      <c r="AQ394" t="n">
        <v>0</v>
      </c>
      <c r="AR394" t="inlineStr">
        <is>
          <t>No</t>
        </is>
      </c>
      <c r="AS394" t="inlineStr">
        <is>
          <t>Yes</t>
        </is>
      </c>
      <c r="AT394">
        <f>HYPERLINK("http://catalog.hathitrust.org/Record/001554797","HathiTrust Record")</f>
        <v/>
      </c>
      <c r="AU394">
        <f>HYPERLINK("https://creighton-primo.hosted.exlibrisgroup.com/primo-explore/search?tab=default_tab&amp;search_scope=EVERYTHING&amp;vid=01CRU&amp;lang=en_US&amp;offset=0&amp;query=any,contains,991002260659702656","Catalog Record")</f>
        <v/>
      </c>
      <c r="AV394">
        <f>HYPERLINK("http://www.worldcat.org/oclc/304002","WorldCat Record")</f>
        <v/>
      </c>
      <c r="AW394" t="inlineStr">
        <is>
          <t>477305711:eng</t>
        </is>
      </c>
      <c r="AX394" t="inlineStr">
        <is>
          <t>304002</t>
        </is>
      </c>
      <c r="AY394" t="inlineStr">
        <is>
          <t>991002260659702656</t>
        </is>
      </c>
      <c r="AZ394" t="inlineStr">
        <is>
          <t>991002260659702656</t>
        </is>
      </c>
      <c r="BA394" t="inlineStr">
        <is>
          <t>2271094760002656</t>
        </is>
      </c>
      <c r="BB394" t="inlineStr">
        <is>
          <t>BOOK</t>
        </is>
      </c>
      <c r="BD394" t="inlineStr">
        <is>
          <t>9780387053318</t>
        </is>
      </c>
      <c r="BE394" t="inlineStr">
        <is>
          <t>32285001561702</t>
        </is>
      </c>
      <c r="BF394" t="inlineStr">
        <is>
          <t>893251000</t>
        </is>
      </c>
    </row>
    <row r="395">
      <c r="B395" t="inlineStr">
        <is>
          <t>CURAL</t>
        </is>
      </c>
      <c r="C395" t="inlineStr">
        <is>
          <t>SHELVES</t>
        </is>
      </c>
      <c r="D395" t="inlineStr">
        <is>
          <t>QP376 .B6963</t>
        </is>
      </c>
      <c r="E395" t="inlineStr">
        <is>
          <t>0                      QP 0376000B  6963</t>
        </is>
      </c>
      <c r="F395" t="inlineStr">
        <is>
          <t>The Brain and psychology / edited by M. C. Wittrock.</t>
        </is>
      </c>
      <c r="H395" t="inlineStr">
        <is>
          <t>No</t>
        </is>
      </c>
      <c r="I395" t="inlineStr">
        <is>
          <t>1</t>
        </is>
      </c>
      <c r="J395" t="inlineStr">
        <is>
          <t>No</t>
        </is>
      </c>
      <c r="K395" t="inlineStr">
        <is>
          <t>No</t>
        </is>
      </c>
      <c r="L395" t="inlineStr">
        <is>
          <t>0</t>
        </is>
      </c>
      <c r="N395" t="inlineStr">
        <is>
          <t>New York : Academic Press, 1980.</t>
        </is>
      </c>
      <c r="O395" t="inlineStr">
        <is>
          <t>1980</t>
        </is>
      </c>
      <c r="Q395" t="inlineStr">
        <is>
          <t>eng</t>
        </is>
      </c>
      <c r="R395" t="inlineStr">
        <is>
          <t>nyu</t>
        </is>
      </c>
      <c r="S395" t="inlineStr">
        <is>
          <t>Educational psychology series</t>
        </is>
      </c>
      <c r="T395" t="inlineStr">
        <is>
          <t xml:space="preserve">QP </t>
        </is>
      </c>
      <c r="U395" t="n">
        <v>13</v>
      </c>
      <c r="V395" t="n">
        <v>13</v>
      </c>
      <c r="W395" t="inlineStr">
        <is>
          <t>1999-09-23</t>
        </is>
      </c>
      <c r="X395" t="inlineStr">
        <is>
          <t>1999-09-23</t>
        </is>
      </c>
      <c r="Y395" t="inlineStr">
        <is>
          <t>1990-04-10</t>
        </is>
      </c>
      <c r="Z395" t="inlineStr">
        <is>
          <t>1990-04-10</t>
        </is>
      </c>
      <c r="AA395" t="n">
        <v>443</v>
      </c>
      <c r="AB395" t="n">
        <v>305</v>
      </c>
      <c r="AC395" t="n">
        <v>341</v>
      </c>
      <c r="AD395" t="n">
        <v>4</v>
      </c>
      <c r="AE395" t="n">
        <v>5</v>
      </c>
      <c r="AF395" t="n">
        <v>18</v>
      </c>
      <c r="AG395" t="n">
        <v>21</v>
      </c>
      <c r="AH395" t="n">
        <v>5</v>
      </c>
      <c r="AI395" t="n">
        <v>6</v>
      </c>
      <c r="AJ395" t="n">
        <v>4</v>
      </c>
      <c r="AK395" t="n">
        <v>6</v>
      </c>
      <c r="AL395" t="n">
        <v>12</v>
      </c>
      <c r="AM395" t="n">
        <v>12</v>
      </c>
      <c r="AN395" t="n">
        <v>2</v>
      </c>
      <c r="AO395" t="n">
        <v>3</v>
      </c>
      <c r="AP395" t="n">
        <v>0</v>
      </c>
      <c r="AQ395" t="n">
        <v>0</v>
      </c>
      <c r="AR395" t="inlineStr">
        <is>
          <t>No</t>
        </is>
      </c>
      <c r="AS395" t="inlineStr">
        <is>
          <t>Yes</t>
        </is>
      </c>
      <c r="AT395">
        <f>HYPERLINK("http://catalog.hathitrust.org/Record/000738589","HathiTrust Record")</f>
        <v/>
      </c>
      <c r="AU395">
        <f>HYPERLINK("https://creighton-primo.hosted.exlibrisgroup.com/primo-explore/search?tab=default_tab&amp;search_scope=EVERYTHING&amp;vid=01CRU&amp;lang=en_US&amp;offset=0&amp;query=any,contains,991004918689702656","Catalog Record")</f>
        <v/>
      </c>
      <c r="AV395">
        <f>HYPERLINK("http://www.worldcat.org/oclc/6039908","WorldCat Record")</f>
        <v/>
      </c>
      <c r="AW395" t="inlineStr">
        <is>
          <t>54367248:eng</t>
        </is>
      </c>
      <c r="AX395" t="inlineStr">
        <is>
          <t>6039908</t>
        </is>
      </c>
      <c r="AY395" t="inlineStr">
        <is>
          <t>991004918689702656</t>
        </is>
      </c>
      <c r="AZ395" t="inlineStr">
        <is>
          <t>991004918689702656</t>
        </is>
      </c>
      <c r="BA395" t="inlineStr">
        <is>
          <t>2260455540002656</t>
        </is>
      </c>
      <c r="BB395" t="inlineStr">
        <is>
          <t>BOOK</t>
        </is>
      </c>
      <c r="BD395" t="inlineStr">
        <is>
          <t>9780127610504</t>
        </is>
      </c>
      <c r="BE395" t="inlineStr">
        <is>
          <t>32285000103753</t>
        </is>
      </c>
      <c r="BF395" t="inlineStr">
        <is>
          <t>893332174</t>
        </is>
      </c>
    </row>
    <row r="396">
      <c r="B396" t="inlineStr">
        <is>
          <t>CURAL</t>
        </is>
      </c>
      <c r="C396" t="inlineStr">
        <is>
          <t>SHELVES</t>
        </is>
      </c>
      <c r="D396" t="inlineStr">
        <is>
          <t>QP376 .B717</t>
        </is>
      </c>
      <c r="E396" t="inlineStr">
        <is>
          <t>0                      QP 0376000B  717</t>
        </is>
      </c>
      <c r="F396" t="inlineStr">
        <is>
          <t>Brain neurotransmitters and receptors in aging and age-related disorders / editors, S.J. Enna, T. Samorajski, Bernard Beer.</t>
        </is>
      </c>
      <c r="H396" t="inlineStr">
        <is>
          <t>No</t>
        </is>
      </c>
      <c r="I396" t="inlineStr">
        <is>
          <t>1</t>
        </is>
      </c>
      <c r="J396" t="inlineStr">
        <is>
          <t>No</t>
        </is>
      </c>
      <c r="K396" t="inlineStr">
        <is>
          <t>No</t>
        </is>
      </c>
      <c r="L396" t="inlineStr">
        <is>
          <t>0</t>
        </is>
      </c>
      <c r="N396" t="inlineStr">
        <is>
          <t>New York : Raven Press, c1981.</t>
        </is>
      </c>
      <c r="O396" t="inlineStr">
        <is>
          <t>1981</t>
        </is>
      </c>
      <c r="Q396" t="inlineStr">
        <is>
          <t>eng</t>
        </is>
      </c>
      <c r="R396" t="inlineStr">
        <is>
          <t>nyu</t>
        </is>
      </c>
      <c r="S396" t="inlineStr">
        <is>
          <t>Aging ; v. 17</t>
        </is>
      </c>
      <c r="T396" t="inlineStr">
        <is>
          <t xml:space="preserve">QP </t>
        </is>
      </c>
      <c r="U396" t="n">
        <v>6</v>
      </c>
      <c r="V396" t="n">
        <v>6</v>
      </c>
      <c r="W396" t="inlineStr">
        <is>
          <t>1999-09-23</t>
        </is>
      </c>
      <c r="X396" t="inlineStr">
        <is>
          <t>1999-09-23</t>
        </is>
      </c>
      <c r="Y396" t="inlineStr">
        <is>
          <t>1993-03-03</t>
        </is>
      </c>
      <c r="Z396" t="inlineStr">
        <is>
          <t>1993-03-03</t>
        </is>
      </c>
      <c r="AA396" t="n">
        <v>263</v>
      </c>
      <c r="AB396" t="n">
        <v>208</v>
      </c>
      <c r="AC396" t="n">
        <v>210</v>
      </c>
      <c r="AD396" t="n">
        <v>3</v>
      </c>
      <c r="AE396" t="n">
        <v>3</v>
      </c>
      <c r="AF396" t="n">
        <v>4</v>
      </c>
      <c r="AG396" t="n">
        <v>4</v>
      </c>
      <c r="AH396" t="n">
        <v>0</v>
      </c>
      <c r="AI396" t="n">
        <v>0</v>
      </c>
      <c r="AJ396" t="n">
        <v>2</v>
      </c>
      <c r="AK396" t="n">
        <v>2</v>
      </c>
      <c r="AL396" t="n">
        <v>1</v>
      </c>
      <c r="AM396" t="n">
        <v>1</v>
      </c>
      <c r="AN396" t="n">
        <v>2</v>
      </c>
      <c r="AO396" t="n">
        <v>2</v>
      </c>
      <c r="AP396" t="n">
        <v>0</v>
      </c>
      <c r="AQ396" t="n">
        <v>0</v>
      </c>
      <c r="AR396" t="inlineStr">
        <is>
          <t>No</t>
        </is>
      </c>
      <c r="AS396" t="inlineStr">
        <is>
          <t>Yes</t>
        </is>
      </c>
      <c r="AT396">
        <f>HYPERLINK("http://catalog.hathitrust.org/Record/000194612","HathiTrust Record")</f>
        <v/>
      </c>
      <c r="AU396">
        <f>HYPERLINK("https://creighton-primo.hosted.exlibrisgroup.com/primo-explore/search?tab=default_tab&amp;search_scope=EVERYTHING&amp;vid=01CRU&amp;lang=en_US&amp;offset=0&amp;query=any,contains,991005152679702656","Catalog Record")</f>
        <v/>
      </c>
      <c r="AV396">
        <f>HYPERLINK("http://www.worldcat.org/oclc/7734534","WorldCat Record")</f>
        <v/>
      </c>
      <c r="AW396" t="inlineStr">
        <is>
          <t>10032524432:eng</t>
        </is>
      </c>
      <c r="AX396" t="inlineStr">
        <is>
          <t>7734534</t>
        </is>
      </c>
      <c r="AY396" t="inlineStr">
        <is>
          <t>991005152679702656</t>
        </is>
      </c>
      <c r="AZ396" t="inlineStr">
        <is>
          <t>991005152679702656</t>
        </is>
      </c>
      <c r="BA396" t="inlineStr">
        <is>
          <t>2255854450002656</t>
        </is>
      </c>
      <c r="BB396" t="inlineStr">
        <is>
          <t>BOOK</t>
        </is>
      </c>
      <c r="BD396" t="inlineStr">
        <is>
          <t>9780890046432</t>
        </is>
      </c>
      <c r="BE396" t="inlineStr">
        <is>
          <t>32285001561710</t>
        </is>
      </c>
      <c r="BF396" t="inlineStr">
        <is>
          <t>893905258</t>
        </is>
      </c>
    </row>
    <row r="397">
      <c r="B397" t="inlineStr">
        <is>
          <t>CURAL</t>
        </is>
      </c>
      <c r="C397" t="inlineStr">
        <is>
          <t>SHELVES</t>
        </is>
      </c>
      <c r="D397" t="inlineStr">
        <is>
          <t>QP376 .B73</t>
        </is>
      </c>
      <c r="E397" t="inlineStr">
        <is>
          <t>0                      QP 0376000B  73</t>
        </is>
      </c>
      <c r="F397" t="inlineStr">
        <is>
          <t>Brain functions : a collection of articles reprinted from Psychology today. --</t>
        </is>
      </c>
      <c r="H397" t="inlineStr">
        <is>
          <t>No</t>
        </is>
      </c>
      <c r="I397" t="inlineStr">
        <is>
          <t>1</t>
        </is>
      </c>
      <c r="J397" t="inlineStr">
        <is>
          <t>No</t>
        </is>
      </c>
      <c r="K397" t="inlineStr">
        <is>
          <t>No</t>
        </is>
      </c>
      <c r="L397" t="inlineStr">
        <is>
          <t>0</t>
        </is>
      </c>
      <c r="N397" t="inlineStr">
        <is>
          <t>[s.l.] : Ziff-Davis , [n.d.]</t>
        </is>
      </c>
      <c r="Q397" t="inlineStr">
        <is>
          <t>eng</t>
        </is>
      </c>
      <c r="R397" t="inlineStr">
        <is>
          <t xml:space="preserve">xx </t>
        </is>
      </c>
      <c r="T397" t="inlineStr">
        <is>
          <t xml:space="preserve">QP </t>
        </is>
      </c>
      <c r="U397" t="n">
        <v>4</v>
      </c>
      <c r="V397" t="n">
        <v>4</v>
      </c>
      <c r="W397" t="inlineStr">
        <is>
          <t>1998-03-28</t>
        </is>
      </c>
      <c r="X397" t="inlineStr">
        <is>
          <t>1998-03-28</t>
        </is>
      </c>
      <c r="Y397" t="inlineStr">
        <is>
          <t>1993-03-03</t>
        </is>
      </c>
      <c r="Z397" t="inlineStr">
        <is>
          <t>1993-03-03</t>
        </is>
      </c>
      <c r="AA397" t="n">
        <v>2</v>
      </c>
      <c r="AB397" t="n">
        <v>2</v>
      </c>
      <c r="AC397" t="n">
        <v>2</v>
      </c>
      <c r="AD397" t="n">
        <v>1</v>
      </c>
      <c r="AE397" t="n">
        <v>1</v>
      </c>
      <c r="AF397" t="n">
        <v>0</v>
      </c>
      <c r="AG397" t="n">
        <v>0</v>
      </c>
      <c r="AH397" t="n">
        <v>0</v>
      </c>
      <c r="AI397" t="n">
        <v>0</v>
      </c>
      <c r="AJ397" t="n">
        <v>0</v>
      </c>
      <c r="AK397" t="n">
        <v>0</v>
      </c>
      <c r="AL397" t="n">
        <v>0</v>
      </c>
      <c r="AM397" t="n">
        <v>0</v>
      </c>
      <c r="AN397" t="n">
        <v>0</v>
      </c>
      <c r="AO397" t="n">
        <v>0</v>
      </c>
      <c r="AP397" t="n">
        <v>0</v>
      </c>
      <c r="AQ397" t="n">
        <v>0</v>
      </c>
      <c r="AR397" t="inlineStr">
        <is>
          <t>No</t>
        </is>
      </c>
      <c r="AS397" t="inlineStr">
        <is>
          <t>No</t>
        </is>
      </c>
      <c r="AU397">
        <f>HYPERLINK("https://creighton-primo.hosted.exlibrisgroup.com/primo-explore/search?tab=default_tab&amp;search_scope=EVERYTHING&amp;vid=01CRU&amp;lang=en_US&amp;offset=0&amp;query=any,contains,991004632779702656","Catalog Record")</f>
        <v/>
      </c>
      <c r="AV397">
        <f>HYPERLINK("http://www.worldcat.org/oclc/4384070","WorldCat Record")</f>
        <v/>
      </c>
      <c r="AW397" t="inlineStr">
        <is>
          <t>14725362:eng</t>
        </is>
      </c>
      <c r="AX397" t="inlineStr">
        <is>
          <t>4384070</t>
        </is>
      </c>
      <c r="AY397" t="inlineStr">
        <is>
          <t>991004632779702656</t>
        </is>
      </c>
      <c r="AZ397" t="inlineStr">
        <is>
          <t>991004632779702656</t>
        </is>
      </c>
      <c r="BA397" t="inlineStr">
        <is>
          <t>2260942600002656</t>
        </is>
      </c>
      <c r="BB397" t="inlineStr">
        <is>
          <t>BOOK</t>
        </is>
      </c>
      <c r="BE397" t="inlineStr">
        <is>
          <t>32285001561728</t>
        </is>
      </c>
      <c r="BF397" t="inlineStr">
        <is>
          <t>893424015</t>
        </is>
      </c>
    </row>
    <row r="398">
      <c r="B398" t="inlineStr">
        <is>
          <t>CURAL</t>
        </is>
      </c>
      <c r="C398" t="inlineStr">
        <is>
          <t>SHELVES</t>
        </is>
      </c>
      <c r="D398" t="inlineStr">
        <is>
          <t>QP376 .C23 1969</t>
        </is>
      </c>
      <c r="E398" t="inlineStr">
        <is>
          <t>0                      QP 0376000C  23          1969</t>
        </is>
      </c>
      <c r="F398" t="inlineStr">
        <is>
          <t>Brain and early behaviour development in the fetus and infant : proceedings of a C.A.S.D.S. Study Group on "Brain Mechanisms of Early Behavioural Development" held jointly with the Ciba Foundation, London, February 1968, being the second study group in a C.A.S.D.S. programme on "The origins of human behaviour" / edited by R. J. Robinson.</t>
        </is>
      </c>
      <c r="H398" t="inlineStr">
        <is>
          <t>No</t>
        </is>
      </c>
      <c r="I398" t="inlineStr">
        <is>
          <t>1</t>
        </is>
      </c>
      <c r="J398" t="inlineStr">
        <is>
          <t>No</t>
        </is>
      </c>
      <c r="K398" t="inlineStr">
        <is>
          <t>No</t>
        </is>
      </c>
      <c r="L398" t="inlineStr">
        <is>
          <t>0</t>
        </is>
      </c>
      <c r="M398" t="inlineStr">
        <is>
          <t>C.A.S.D.S. Study Group on Brain Mechanisms of Early Behavioural Development (1968 : London, England)</t>
        </is>
      </c>
      <c r="N398" t="inlineStr">
        <is>
          <t>London ; New York : Academic Press, 1969.</t>
        </is>
      </c>
      <c r="O398" t="inlineStr">
        <is>
          <t>1969</t>
        </is>
      </c>
      <c r="Q398" t="inlineStr">
        <is>
          <t>eng</t>
        </is>
      </c>
      <c r="R398" t="inlineStr">
        <is>
          <t>enk</t>
        </is>
      </c>
      <c r="T398" t="inlineStr">
        <is>
          <t xml:space="preserve">QP </t>
        </is>
      </c>
      <c r="U398" t="n">
        <v>2</v>
      </c>
      <c r="V398" t="n">
        <v>2</v>
      </c>
      <c r="W398" t="inlineStr">
        <is>
          <t>1995-02-22</t>
        </is>
      </c>
      <c r="X398" t="inlineStr">
        <is>
          <t>1995-02-22</t>
        </is>
      </c>
      <c r="Y398" t="inlineStr">
        <is>
          <t>1994-12-22</t>
        </is>
      </c>
      <c r="Z398" t="inlineStr">
        <is>
          <t>1994-12-22</t>
        </is>
      </c>
      <c r="AA398" t="n">
        <v>490</v>
      </c>
      <c r="AB398" t="n">
        <v>393</v>
      </c>
      <c r="AC398" t="n">
        <v>404</v>
      </c>
      <c r="AD398" t="n">
        <v>5</v>
      </c>
      <c r="AE398" t="n">
        <v>5</v>
      </c>
      <c r="AF398" t="n">
        <v>16</v>
      </c>
      <c r="AG398" t="n">
        <v>16</v>
      </c>
      <c r="AH398" t="n">
        <v>7</v>
      </c>
      <c r="AI398" t="n">
        <v>7</v>
      </c>
      <c r="AJ398" t="n">
        <v>3</v>
      </c>
      <c r="AK398" t="n">
        <v>3</v>
      </c>
      <c r="AL398" t="n">
        <v>6</v>
      </c>
      <c r="AM398" t="n">
        <v>6</v>
      </c>
      <c r="AN398" t="n">
        <v>4</v>
      </c>
      <c r="AO398" t="n">
        <v>4</v>
      </c>
      <c r="AP398" t="n">
        <v>0</v>
      </c>
      <c r="AQ398" t="n">
        <v>0</v>
      </c>
      <c r="AR398" t="inlineStr">
        <is>
          <t>No</t>
        </is>
      </c>
      <c r="AS398" t="inlineStr">
        <is>
          <t>Yes</t>
        </is>
      </c>
      <c r="AT398">
        <f>HYPERLINK("http://catalog.hathitrust.org/Record/006755083","HathiTrust Record")</f>
        <v/>
      </c>
      <c r="AU398">
        <f>HYPERLINK("https://creighton-primo.hosted.exlibrisgroup.com/primo-explore/search?tab=default_tab&amp;search_scope=EVERYTHING&amp;vid=01CRU&amp;lang=en_US&amp;offset=0&amp;query=any,contains,991001923069702656","Catalog Record")</f>
        <v/>
      </c>
      <c r="AV398">
        <f>HYPERLINK("http://www.worldcat.org/oclc/245753","WorldCat Record")</f>
        <v/>
      </c>
      <c r="AW398" t="inlineStr">
        <is>
          <t>42157741:eng</t>
        </is>
      </c>
      <c r="AX398" t="inlineStr">
        <is>
          <t>245753</t>
        </is>
      </c>
      <c r="AY398" t="inlineStr">
        <is>
          <t>991001923069702656</t>
        </is>
      </c>
      <c r="AZ398" t="inlineStr">
        <is>
          <t>991001923069702656</t>
        </is>
      </c>
      <c r="BA398" t="inlineStr">
        <is>
          <t>2267047700002656</t>
        </is>
      </c>
      <c r="BB398" t="inlineStr">
        <is>
          <t>BOOK</t>
        </is>
      </c>
      <c r="BD398" t="inlineStr">
        <is>
          <t>9780125900508</t>
        </is>
      </c>
      <c r="BE398" t="inlineStr">
        <is>
          <t>32285001985075</t>
        </is>
      </c>
      <c r="BF398" t="inlineStr">
        <is>
          <t>893226231</t>
        </is>
      </c>
    </row>
    <row r="399">
      <c r="B399" t="inlineStr">
        <is>
          <t>CURAL</t>
        </is>
      </c>
      <c r="C399" t="inlineStr">
        <is>
          <t>SHELVES</t>
        </is>
      </c>
      <c r="D399" t="inlineStr">
        <is>
          <t>QP376 .C42</t>
        </is>
      </c>
      <c r="E399" t="inlineStr">
        <is>
          <t>0                      QP 0376000C  42</t>
        </is>
      </c>
      <c r="F399" t="inlineStr">
        <is>
          <t>Brain research and learning : a position paper / written by Mary Claybomb. --</t>
        </is>
      </c>
      <c r="H399" t="inlineStr">
        <is>
          <t>No</t>
        </is>
      </c>
      <c r="I399" t="inlineStr">
        <is>
          <t>1</t>
        </is>
      </c>
      <c r="J399" t="inlineStr">
        <is>
          <t>No</t>
        </is>
      </c>
      <c r="K399" t="inlineStr">
        <is>
          <t>No</t>
        </is>
      </c>
      <c r="L399" t="inlineStr">
        <is>
          <t>0</t>
        </is>
      </c>
      <c r="M399" t="inlineStr">
        <is>
          <t>Claycomb, Mary.</t>
        </is>
      </c>
      <c r="N399" t="inlineStr">
        <is>
          <t>Washington, D.C. : National Education Association, 1978.</t>
        </is>
      </c>
      <c r="Q399" t="inlineStr">
        <is>
          <t>eng</t>
        </is>
      </c>
      <c r="R399" t="inlineStr">
        <is>
          <t>dcu</t>
        </is>
      </c>
      <c r="S399" t="inlineStr">
        <is>
          <t>National Education Association publication</t>
        </is>
      </c>
      <c r="T399" t="inlineStr">
        <is>
          <t xml:space="preserve">QP </t>
        </is>
      </c>
      <c r="U399" t="n">
        <v>1</v>
      </c>
      <c r="V399" t="n">
        <v>1</v>
      </c>
      <c r="W399" t="inlineStr">
        <is>
          <t>2000-06-15</t>
        </is>
      </c>
      <c r="X399" t="inlineStr">
        <is>
          <t>2000-06-15</t>
        </is>
      </c>
      <c r="Y399" t="inlineStr">
        <is>
          <t>1993-03-03</t>
        </is>
      </c>
      <c r="Z399" t="inlineStr">
        <is>
          <t>1993-03-03</t>
        </is>
      </c>
      <c r="AA399" t="n">
        <v>158</v>
      </c>
      <c r="AB399" t="n">
        <v>156</v>
      </c>
      <c r="AC399" t="n">
        <v>160</v>
      </c>
      <c r="AD399" t="n">
        <v>3</v>
      </c>
      <c r="AE399" t="n">
        <v>3</v>
      </c>
      <c r="AF399" t="n">
        <v>4</v>
      </c>
      <c r="AG399" t="n">
        <v>4</v>
      </c>
      <c r="AH399" t="n">
        <v>1</v>
      </c>
      <c r="AI399" t="n">
        <v>1</v>
      </c>
      <c r="AJ399" t="n">
        <v>1</v>
      </c>
      <c r="AK399" t="n">
        <v>1</v>
      </c>
      <c r="AL399" t="n">
        <v>2</v>
      </c>
      <c r="AM399" t="n">
        <v>2</v>
      </c>
      <c r="AN399" t="n">
        <v>2</v>
      </c>
      <c r="AO399" t="n">
        <v>2</v>
      </c>
      <c r="AP399" t="n">
        <v>0</v>
      </c>
      <c r="AQ399" t="n">
        <v>0</v>
      </c>
      <c r="AR399" t="inlineStr">
        <is>
          <t>No</t>
        </is>
      </c>
      <c r="AS399" t="inlineStr">
        <is>
          <t>Yes</t>
        </is>
      </c>
      <c r="AT399">
        <f>HYPERLINK("http://catalog.hathitrust.org/Record/101986208","HathiTrust Record")</f>
        <v/>
      </c>
      <c r="AU399">
        <f>HYPERLINK("https://creighton-primo.hosted.exlibrisgroup.com/primo-explore/search?tab=default_tab&amp;search_scope=EVERYTHING&amp;vid=01CRU&amp;lang=en_US&amp;offset=0&amp;query=any,contains,991004627919702656","Catalog Record")</f>
        <v/>
      </c>
      <c r="AV399">
        <f>HYPERLINK("http://www.worldcat.org/oclc/4352397","WorldCat Record")</f>
        <v/>
      </c>
      <c r="AW399" t="inlineStr">
        <is>
          <t>14634024:eng</t>
        </is>
      </c>
      <c r="AX399" t="inlineStr">
        <is>
          <t>4352397</t>
        </is>
      </c>
      <c r="AY399" t="inlineStr">
        <is>
          <t>991004627919702656</t>
        </is>
      </c>
      <c r="AZ399" t="inlineStr">
        <is>
          <t>991004627919702656</t>
        </is>
      </c>
      <c r="BA399" t="inlineStr">
        <is>
          <t>2268952340002656</t>
        </is>
      </c>
      <c r="BB399" t="inlineStr">
        <is>
          <t>BOOK</t>
        </is>
      </c>
      <c r="BE399" t="inlineStr">
        <is>
          <t>32285001561744</t>
        </is>
      </c>
      <c r="BF399" t="inlineStr">
        <is>
          <t>893507068</t>
        </is>
      </c>
    </row>
    <row r="400">
      <c r="B400" t="inlineStr">
        <is>
          <t>CURAL</t>
        </is>
      </c>
      <c r="C400" t="inlineStr">
        <is>
          <t>SHELVES</t>
        </is>
      </c>
      <c r="D400" t="inlineStr">
        <is>
          <t>QP376 .C59 1988</t>
        </is>
      </c>
      <c r="E400" t="inlineStr">
        <is>
          <t>0                      QP 0376000C  59          1988</t>
        </is>
      </c>
      <c r="F400" t="inlineStr">
        <is>
          <t>The brain in human aging / Gene D. Cohen.</t>
        </is>
      </c>
      <c r="H400" t="inlineStr">
        <is>
          <t>No</t>
        </is>
      </c>
      <c r="I400" t="inlineStr">
        <is>
          <t>1</t>
        </is>
      </c>
      <c r="J400" t="inlineStr">
        <is>
          <t>Yes</t>
        </is>
      </c>
      <c r="K400" t="inlineStr">
        <is>
          <t>No</t>
        </is>
      </c>
      <c r="L400" t="inlineStr">
        <is>
          <t>0</t>
        </is>
      </c>
      <c r="M400" t="inlineStr">
        <is>
          <t>Cohen, Gene D.</t>
        </is>
      </c>
      <c r="N400" t="inlineStr">
        <is>
          <t>New York : Springer Pub. Co., c1988.</t>
        </is>
      </c>
      <c r="O400" t="inlineStr">
        <is>
          <t>1988</t>
        </is>
      </c>
      <c r="Q400" t="inlineStr">
        <is>
          <t>eng</t>
        </is>
      </c>
      <c r="R400" t="inlineStr">
        <is>
          <t>nyu</t>
        </is>
      </c>
      <c r="S400" t="inlineStr">
        <is>
          <t>Springer series on adulthood and aging ; v. 23</t>
        </is>
      </c>
      <c r="T400" t="inlineStr">
        <is>
          <t xml:space="preserve">QP </t>
        </is>
      </c>
      <c r="U400" t="n">
        <v>27</v>
      </c>
      <c r="V400" t="n">
        <v>27</v>
      </c>
      <c r="W400" t="inlineStr">
        <is>
          <t>2004-11-12</t>
        </is>
      </c>
      <c r="X400" t="inlineStr">
        <is>
          <t>2004-11-12</t>
        </is>
      </c>
      <c r="Y400" t="inlineStr">
        <is>
          <t>1990-03-20</t>
        </is>
      </c>
      <c r="Z400" t="inlineStr">
        <is>
          <t>1990-03-20</t>
        </is>
      </c>
      <c r="AA400" t="n">
        <v>462</v>
      </c>
      <c r="AB400" t="n">
        <v>404</v>
      </c>
      <c r="AC400" t="n">
        <v>406</v>
      </c>
      <c r="AD400" t="n">
        <v>4</v>
      </c>
      <c r="AE400" t="n">
        <v>4</v>
      </c>
      <c r="AF400" t="n">
        <v>16</v>
      </c>
      <c r="AG400" t="n">
        <v>16</v>
      </c>
      <c r="AH400" t="n">
        <v>5</v>
      </c>
      <c r="AI400" t="n">
        <v>5</v>
      </c>
      <c r="AJ400" t="n">
        <v>4</v>
      </c>
      <c r="AK400" t="n">
        <v>4</v>
      </c>
      <c r="AL400" t="n">
        <v>9</v>
      </c>
      <c r="AM400" t="n">
        <v>9</v>
      </c>
      <c r="AN400" t="n">
        <v>2</v>
      </c>
      <c r="AO400" t="n">
        <v>2</v>
      </c>
      <c r="AP400" t="n">
        <v>0</v>
      </c>
      <c r="AQ400" t="n">
        <v>0</v>
      </c>
      <c r="AR400" t="inlineStr">
        <is>
          <t>No</t>
        </is>
      </c>
      <c r="AS400" t="inlineStr">
        <is>
          <t>Yes</t>
        </is>
      </c>
      <c r="AT400">
        <f>HYPERLINK("http://catalog.hathitrust.org/Record/001083286","HathiTrust Record")</f>
        <v/>
      </c>
      <c r="AU400">
        <f>HYPERLINK("https://creighton-primo.hosted.exlibrisgroup.com/primo-explore/search?tab=default_tab&amp;search_scope=EVERYTHING&amp;vid=01CRU&amp;lang=en_US&amp;offset=0&amp;query=any,contains,991001384369702656","Catalog Record")</f>
        <v/>
      </c>
      <c r="AV400">
        <f>HYPERLINK("http://www.worldcat.org/oclc/18715082","WorldCat Record")</f>
        <v/>
      </c>
      <c r="AW400" t="inlineStr">
        <is>
          <t>967466:eng</t>
        </is>
      </c>
      <c r="AX400" t="inlineStr">
        <is>
          <t>18715082</t>
        </is>
      </c>
      <c r="AY400" t="inlineStr">
        <is>
          <t>991001384369702656</t>
        </is>
      </c>
      <c r="AZ400" t="inlineStr">
        <is>
          <t>991001384369702656</t>
        </is>
      </c>
      <c r="BA400" t="inlineStr">
        <is>
          <t>2262943430002656</t>
        </is>
      </c>
      <c r="BB400" t="inlineStr">
        <is>
          <t>BOOK</t>
        </is>
      </c>
      <c r="BD400" t="inlineStr">
        <is>
          <t>9780826158307</t>
        </is>
      </c>
      <c r="BE400" t="inlineStr">
        <is>
          <t>32285000088434</t>
        </is>
      </c>
      <c r="BF400" t="inlineStr">
        <is>
          <t>893702990</t>
        </is>
      </c>
    </row>
    <row r="401">
      <c r="B401" t="inlineStr">
        <is>
          <t>CURAL</t>
        </is>
      </c>
      <c r="C401" t="inlineStr">
        <is>
          <t>SHELVES</t>
        </is>
      </c>
      <c r="D401" t="inlineStr">
        <is>
          <t>QP376 .C97 2001</t>
        </is>
      </c>
      <c r="E401" t="inlineStr">
        <is>
          <t>0                      QP 0376000C  97          2001</t>
        </is>
      </c>
      <c r="F401" t="inlineStr">
        <is>
          <t>What makes you tick? : the brain in plain English / Thomas B. Czerner.</t>
        </is>
      </c>
      <c r="H401" t="inlineStr">
        <is>
          <t>No</t>
        </is>
      </c>
      <c r="I401" t="inlineStr">
        <is>
          <t>1</t>
        </is>
      </c>
      <c r="J401" t="inlineStr">
        <is>
          <t>No</t>
        </is>
      </c>
      <c r="K401" t="inlineStr">
        <is>
          <t>No</t>
        </is>
      </c>
      <c r="L401" t="inlineStr">
        <is>
          <t>0</t>
        </is>
      </c>
      <c r="M401" t="inlineStr">
        <is>
          <t>Czerner, Thomas B., 1938-</t>
        </is>
      </c>
      <c r="N401" t="inlineStr">
        <is>
          <t>New York : Wiley, c2001.</t>
        </is>
      </c>
      <c r="O401" t="inlineStr">
        <is>
          <t>2001</t>
        </is>
      </c>
      <c r="Q401" t="inlineStr">
        <is>
          <t>eng</t>
        </is>
      </c>
      <c r="R401" t="inlineStr">
        <is>
          <t>nyu</t>
        </is>
      </c>
      <c r="T401" t="inlineStr">
        <is>
          <t xml:space="preserve">QP </t>
        </is>
      </c>
      <c r="U401" t="n">
        <v>2</v>
      </c>
      <c r="V401" t="n">
        <v>2</v>
      </c>
      <c r="W401" t="inlineStr">
        <is>
          <t>2008-10-17</t>
        </is>
      </c>
      <c r="X401" t="inlineStr">
        <is>
          <t>2008-10-17</t>
        </is>
      </c>
      <c r="Y401" t="inlineStr">
        <is>
          <t>2003-03-24</t>
        </is>
      </c>
      <c r="Z401" t="inlineStr">
        <is>
          <t>2003-03-24</t>
        </is>
      </c>
      <c r="AA401" t="n">
        <v>714</v>
      </c>
      <c r="AB401" t="n">
        <v>633</v>
      </c>
      <c r="AC401" t="n">
        <v>656</v>
      </c>
      <c r="AD401" t="n">
        <v>6</v>
      </c>
      <c r="AE401" t="n">
        <v>6</v>
      </c>
      <c r="AF401" t="n">
        <v>19</v>
      </c>
      <c r="AG401" t="n">
        <v>19</v>
      </c>
      <c r="AH401" t="n">
        <v>9</v>
      </c>
      <c r="AI401" t="n">
        <v>9</v>
      </c>
      <c r="AJ401" t="n">
        <v>3</v>
      </c>
      <c r="AK401" t="n">
        <v>3</v>
      </c>
      <c r="AL401" t="n">
        <v>7</v>
      </c>
      <c r="AM401" t="n">
        <v>7</v>
      </c>
      <c r="AN401" t="n">
        <v>4</v>
      </c>
      <c r="AO401" t="n">
        <v>4</v>
      </c>
      <c r="AP401" t="n">
        <v>0</v>
      </c>
      <c r="AQ401" t="n">
        <v>0</v>
      </c>
      <c r="AR401" t="inlineStr">
        <is>
          <t>No</t>
        </is>
      </c>
      <c r="AS401" t="inlineStr">
        <is>
          <t>Yes</t>
        </is>
      </c>
      <c r="AT401">
        <f>HYPERLINK("http://catalog.hathitrust.org/Record/100032854","HathiTrust Record")</f>
        <v/>
      </c>
      <c r="AU401">
        <f>HYPERLINK("https://creighton-primo.hosted.exlibrisgroup.com/primo-explore/search?tab=default_tab&amp;search_scope=EVERYTHING&amp;vid=01CRU&amp;lang=en_US&amp;offset=0&amp;query=any,contains,991004020629702656","Catalog Record")</f>
        <v/>
      </c>
      <c r="AV401">
        <f>HYPERLINK("http://www.worldcat.org/oclc/43615466","WorldCat Record")</f>
        <v/>
      </c>
      <c r="AW401" t="inlineStr">
        <is>
          <t>836948491:eng</t>
        </is>
      </c>
      <c r="AX401" t="inlineStr">
        <is>
          <t>43615466</t>
        </is>
      </c>
      <c r="AY401" t="inlineStr">
        <is>
          <t>991004020629702656</t>
        </is>
      </c>
      <c r="AZ401" t="inlineStr">
        <is>
          <t>991004020629702656</t>
        </is>
      </c>
      <c r="BA401" t="inlineStr">
        <is>
          <t>2261981500002656</t>
        </is>
      </c>
      <c r="BB401" t="inlineStr">
        <is>
          <t>BOOK</t>
        </is>
      </c>
      <c r="BD401" t="inlineStr">
        <is>
          <t>9780471371007</t>
        </is>
      </c>
      <c r="BE401" t="inlineStr">
        <is>
          <t>32285004686175</t>
        </is>
      </c>
      <c r="BF401" t="inlineStr">
        <is>
          <t>893699731</t>
        </is>
      </c>
    </row>
    <row r="402">
      <c r="B402" t="inlineStr">
        <is>
          <t>CURAL</t>
        </is>
      </c>
      <c r="C402" t="inlineStr">
        <is>
          <t>SHELVES</t>
        </is>
      </c>
      <c r="D402" t="inlineStr">
        <is>
          <t>QP376 .E258 1989</t>
        </is>
      </c>
      <c r="E402" t="inlineStr">
        <is>
          <t>0                      QP 0376000E  258         1989</t>
        </is>
      </c>
      <c r="F402" t="inlineStr">
        <is>
          <t>Evolution of the brain : creation of the self / John C. Eccles.</t>
        </is>
      </c>
      <c r="H402" t="inlineStr">
        <is>
          <t>No</t>
        </is>
      </c>
      <c r="I402" t="inlineStr">
        <is>
          <t>1</t>
        </is>
      </c>
      <c r="J402" t="inlineStr">
        <is>
          <t>No</t>
        </is>
      </c>
      <c r="K402" t="inlineStr">
        <is>
          <t>No</t>
        </is>
      </c>
      <c r="L402" t="inlineStr">
        <is>
          <t>0</t>
        </is>
      </c>
      <c r="M402" t="inlineStr">
        <is>
          <t>Eccles, John C. (John Carew), 1903-1997.</t>
        </is>
      </c>
      <c r="N402" t="inlineStr">
        <is>
          <t>London ; New York : Routledge, 1989.</t>
        </is>
      </c>
      <c r="O402" t="inlineStr">
        <is>
          <t>1989</t>
        </is>
      </c>
      <c r="Q402" t="inlineStr">
        <is>
          <t>eng</t>
        </is>
      </c>
      <c r="R402" t="inlineStr">
        <is>
          <t>enk</t>
        </is>
      </c>
      <c r="T402" t="inlineStr">
        <is>
          <t xml:space="preserve">QP </t>
        </is>
      </c>
      <c r="U402" t="n">
        <v>4</v>
      </c>
      <c r="V402" t="n">
        <v>4</v>
      </c>
      <c r="W402" t="inlineStr">
        <is>
          <t>1994-07-28</t>
        </is>
      </c>
      <c r="X402" t="inlineStr">
        <is>
          <t>1994-07-28</t>
        </is>
      </c>
      <c r="Y402" t="inlineStr">
        <is>
          <t>1990-05-03</t>
        </is>
      </c>
      <c r="Z402" t="inlineStr">
        <is>
          <t>1990-05-03</t>
        </is>
      </c>
      <c r="AA402" t="n">
        <v>622</v>
      </c>
      <c r="AB402" t="n">
        <v>455</v>
      </c>
      <c r="AC402" t="n">
        <v>553</v>
      </c>
      <c r="AD402" t="n">
        <v>5</v>
      </c>
      <c r="AE402" t="n">
        <v>5</v>
      </c>
      <c r="AF402" t="n">
        <v>24</v>
      </c>
      <c r="AG402" t="n">
        <v>27</v>
      </c>
      <c r="AH402" t="n">
        <v>6</v>
      </c>
      <c r="AI402" t="n">
        <v>7</v>
      </c>
      <c r="AJ402" t="n">
        <v>6</v>
      </c>
      <c r="AK402" t="n">
        <v>6</v>
      </c>
      <c r="AL402" t="n">
        <v>14</v>
      </c>
      <c r="AM402" t="n">
        <v>16</v>
      </c>
      <c r="AN402" t="n">
        <v>4</v>
      </c>
      <c r="AO402" t="n">
        <v>4</v>
      </c>
      <c r="AP402" t="n">
        <v>0</v>
      </c>
      <c r="AQ402" t="n">
        <v>0</v>
      </c>
      <c r="AR402" t="inlineStr">
        <is>
          <t>No</t>
        </is>
      </c>
      <c r="AS402" t="inlineStr">
        <is>
          <t>No</t>
        </is>
      </c>
      <c r="AU402">
        <f>HYPERLINK("https://creighton-primo.hosted.exlibrisgroup.com/primo-explore/search?tab=default_tab&amp;search_scope=EVERYTHING&amp;vid=01CRU&amp;lang=en_US&amp;offset=0&amp;query=any,contains,991001348169702656","Catalog Record")</f>
        <v/>
      </c>
      <c r="AV402">
        <f>HYPERLINK("http://www.worldcat.org/oclc/18417579","WorldCat Record")</f>
        <v/>
      </c>
      <c r="AW402" t="inlineStr">
        <is>
          <t>4916211055:eng</t>
        </is>
      </c>
      <c r="AX402" t="inlineStr">
        <is>
          <t>18417579</t>
        </is>
      </c>
      <c r="AY402" t="inlineStr">
        <is>
          <t>991001348169702656</t>
        </is>
      </c>
      <c r="AZ402" t="inlineStr">
        <is>
          <t>991001348169702656</t>
        </is>
      </c>
      <c r="BA402" t="inlineStr">
        <is>
          <t>2258858470002656</t>
        </is>
      </c>
      <c r="BB402" t="inlineStr">
        <is>
          <t>BOOK</t>
        </is>
      </c>
      <c r="BD402" t="inlineStr">
        <is>
          <t>9780415032247</t>
        </is>
      </c>
      <c r="BE402" t="inlineStr">
        <is>
          <t>32285000117662</t>
        </is>
      </c>
      <c r="BF402" t="inlineStr">
        <is>
          <t>893809038</t>
        </is>
      </c>
    </row>
    <row r="403">
      <c r="B403" t="inlineStr">
        <is>
          <t>CURAL</t>
        </is>
      </c>
      <c r="C403" t="inlineStr">
        <is>
          <t>SHELVES</t>
        </is>
      </c>
      <c r="D403" t="inlineStr">
        <is>
          <t>QP376 .E265 1979</t>
        </is>
      </c>
      <c r="E403" t="inlineStr">
        <is>
          <t>0                      QP 0376000E  265         1979</t>
        </is>
      </c>
      <c r="F403" t="inlineStr">
        <is>
          <t>The human mystery / John C. Eccles.</t>
        </is>
      </c>
      <c r="H403" t="inlineStr">
        <is>
          <t>No</t>
        </is>
      </c>
      <c r="I403" t="inlineStr">
        <is>
          <t>1</t>
        </is>
      </c>
      <c r="J403" t="inlineStr">
        <is>
          <t>No</t>
        </is>
      </c>
      <c r="K403" t="inlineStr">
        <is>
          <t>No</t>
        </is>
      </c>
      <c r="L403" t="inlineStr">
        <is>
          <t>0</t>
        </is>
      </c>
      <c r="M403" t="inlineStr">
        <is>
          <t>Eccles, John C. (John Carew), 1903-1997.</t>
        </is>
      </c>
      <c r="N403" t="inlineStr">
        <is>
          <t>Berlin ; New York : Springer-Verlag, 1979.</t>
        </is>
      </c>
      <c r="O403" t="inlineStr">
        <is>
          <t>1978</t>
        </is>
      </c>
      <c r="Q403" t="inlineStr">
        <is>
          <t>eng</t>
        </is>
      </c>
      <c r="R403" t="inlineStr">
        <is>
          <t xml:space="preserve">gw </t>
        </is>
      </c>
      <c r="S403" t="inlineStr">
        <is>
          <t>Gifford lectures ; 1978</t>
        </is>
      </c>
      <c r="T403" t="inlineStr">
        <is>
          <t xml:space="preserve">QP </t>
        </is>
      </c>
      <c r="U403" t="n">
        <v>10</v>
      </c>
      <c r="V403" t="n">
        <v>10</v>
      </c>
      <c r="W403" t="inlineStr">
        <is>
          <t>1996-11-11</t>
        </is>
      </c>
      <c r="X403" t="inlineStr">
        <is>
          <t>1996-11-11</t>
        </is>
      </c>
      <c r="Y403" t="inlineStr">
        <is>
          <t>1993-03-03</t>
        </is>
      </c>
      <c r="Z403" t="inlineStr">
        <is>
          <t>1993-03-03</t>
        </is>
      </c>
      <c r="AA403" t="n">
        <v>572</v>
      </c>
      <c r="AB403" t="n">
        <v>437</v>
      </c>
      <c r="AC403" t="n">
        <v>499</v>
      </c>
      <c r="AD403" t="n">
        <v>2</v>
      </c>
      <c r="AE403" t="n">
        <v>2</v>
      </c>
      <c r="AF403" t="n">
        <v>20</v>
      </c>
      <c r="AG403" t="n">
        <v>22</v>
      </c>
      <c r="AH403" t="n">
        <v>6</v>
      </c>
      <c r="AI403" t="n">
        <v>7</v>
      </c>
      <c r="AJ403" t="n">
        <v>5</v>
      </c>
      <c r="AK403" t="n">
        <v>6</v>
      </c>
      <c r="AL403" t="n">
        <v>14</v>
      </c>
      <c r="AM403" t="n">
        <v>16</v>
      </c>
      <c r="AN403" t="n">
        <v>1</v>
      </c>
      <c r="AO403" t="n">
        <v>1</v>
      </c>
      <c r="AP403" t="n">
        <v>0</v>
      </c>
      <c r="AQ403" t="n">
        <v>0</v>
      </c>
      <c r="AR403" t="inlineStr">
        <is>
          <t>No</t>
        </is>
      </c>
      <c r="AS403" t="inlineStr">
        <is>
          <t>Yes</t>
        </is>
      </c>
      <c r="AT403">
        <f>HYPERLINK("http://catalog.hathitrust.org/Record/000716726","HathiTrust Record")</f>
        <v/>
      </c>
      <c r="AU403">
        <f>HYPERLINK("https://creighton-primo.hosted.exlibrisgroup.com/primo-explore/search?tab=default_tab&amp;search_scope=EVERYTHING&amp;vid=01CRU&amp;lang=en_US&amp;offset=0&amp;query=any,contains,991004661879702656","Catalog Record")</f>
        <v/>
      </c>
      <c r="AV403">
        <f>HYPERLINK("http://www.worldcat.org/oclc/4497402","WorldCat Record")</f>
        <v/>
      </c>
      <c r="AW403" t="inlineStr">
        <is>
          <t>477305872:eng</t>
        </is>
      </c>
      <c r="AX403" t="inlineStr">
        <is>
          <t>4497402</t>
        </is>
      </c>
      <c r="AY403" t="inlineStr">
        <is>
          <t>991004661879702656</t>
        </is>
      </c>
      <c r="AZ403" t="inlineStr">
        <is>
          <t>991004661879702656</t>
        </is>
      </c>
      <c r="BA403" t="inlineStr">
        <is>
          <t>2266875870002656</t>
        </is>
      </c>
      <c r="BB403" t="inlineStr">
        <is>
          <t>BOOK</t>
        </is>
      </c>
      <c r="BD403" t="inlineStr">
        <is>
          <t>9780387090160</t>
        </is>
      </c>
      <c r="BE403" t="inlineStr">
        <is>
          <t>32285001561769</t>
        </is>
      </c>
      <c r="BF403" t="inlineStr">
        <is>
          <t>893430340</t>
        </is>
      </c>
    </row>
    <row r="404">
      <c r="B404" t="inlineStr">
        <is>
          <t>CURAL</t>
        </is>
      </c>
      <c r="C404" t="inlineStr">
        <is>
          <t>SHELVES</t>
        </is>
      </c>
      <c r="D404" t="inlineStr">
        <is>
          <t>QP376 .E266 1992</t>
        </is>
      </c>
      <c r="E404" t="inlineStr">
        <is>
          <t>0                      QP 0376000E  266         1992</t>
        </is>
      </c>
      <c r="F404" t="inlineStr">
        <is>
          <t>The human psyche / John C. Eccles.</t>
        </is>
      </c>
      <c r="H404" t="inlineStr">
        <is>
          <t>No</t>
        </is>
      </c>
      <c r="I404" t="inlineStr">
        <is>
          <t>1</t>
        </is>
      </c>
      <c r="J404" t="inlineStr">
        <is>
          <t>No</t>
        </is>
      </c>
      <c r="K404" t="inlineStr">
        <is>
          <t>No</t>
        </is>
      </c>
      <c r="L404" t="inlineStr">
        <is>
          <t>0</t>
        </is>
      </c>
      <c r="M404" t="inlineStr">
        <is>
          <t>Eccles, John C. (John Carew), 1903-1997.</t>
        </is>
      </c>
      <c r="N404" t="inlineStr">
        <is>
          <t>London ; New York : Routledge, 1992.</t>
        </is>
      </c>
      <c r="O404" t="inlineStr">
        <is>
          <t>1992</t>
        </is>
      </c>
      <c r="Q404" t="inlineStr">
        <is>
          <t>eng</t>
        </is>
      </c>
      <c r="R404" t="inlineStr">
        <is>
          <t>nyu</t>
        </is>
      </c>
      <c r="T404" t="inlineStr">
        <is>
          <t xml:space="preserve">QP </t>
        </is>
      </c>
      <c r="U404" t="n">
        <v>4</v>
      </c>
      <c r="V404" t="n">
        <v>4</v>
      </c>
      <c r="W404" t="inlineStr">
        <is>
          <t>2004-11-10</t>
        </is>
      </c>
      <c r="X404" t="inlineStr">
        <is>
          <t>2004-11-10</t>
        </is>
      </c>
      <c r="Y404" t="inlineStr">
        <is>
          <t>1992-06-10</t>
        </is>
      </c>
      <c r="Z404" t="inlineStr">
        <is>
          <t>1992-06-10</t>
        </is>
      </c>
      <c r="AA404" t="n">
        <v>92</v>
      </c>
      <c r="AB404" t="n">
        <v>57</v>
      </c>
      <c r="AC404" t="n">
        <v>301</v>
      </c>
      <c r="AD404" t="n">
        <v>1</v>
      </c>
      <c r="AE404" t="n">
        <v>2</v>
      </c>
      <c r="AF404" t="n">
        <v>3</v>
      </c>
      <c r="AG404" t="n">
        <v>13</v>
      </c>
      <c r="AH404" t="n">
        <v>2</v>
      </c>
      <c r="AI404" t="n">
        <v>3</v>
      </c>
      <c r="AJ404" t="n">
        <v>0</v>
      </c>
      <c r="AK404" t="n">
        <v>4</v>
      </c>
      <c r="AL404" t="n">
        <v>3</v>
      </c>
      <c r="AM404" t="n">
        <v>10</v>
      </c>
      <c r="AN404" t="n">
        <v>0</v>
      </c>
      <c r="AO404" t="n">
        <v>1</v>
      </c>
      <c r="AP404" t="n">
        <v>0</v>
      </c>
      <c r="AQ404" t="n">
        <v>0</v>
      </c>
      <c r="AR404" t="inlineStr">
        <is>
          <t>No</t>
        </is>
      </c>
      <c r="AS404" t="inlineStr">
        <is>
          <t>No</t>
        </is>
      </c>
      <c r="AU404">
        <f>HYPERLINK("https://creighton-primo.hosted.exlibrisgroup.com/primo-explore/search?tab=default_tab&amp;search_scope=EVERYTHING&amp;vid=01CRU&amp;lang=en_US&amp;offset=0&amp;query=any,contains,991001915689702656","Catalog Record")</f>
        <v/>
      </c>
      <c r="AV404">
        <f>HYPERLINK("http://www.worldcat.org/oclc/24175127","WorldCat Record")</f>
        <v/>
      </c>
      <c r="AW404" t="inlineStr">
        <is>
          <t>477305713:eng</t>
        </is>
      </c>
      <c r="AX404" t="inlineStr">
        <is>
          <t>24175127</t>
        </is>
      </c>
      <c r="AY404" t="inlineStr">
        <is>
          <t>991001915689702656</t>
        </is>
      </c>
      <c r="AZ404" t="inlineStr">
        <is>
          <t>991001915689702656</t>
        </is>
      </c>
      <c r="BA404" t="inlineStr">
        <is>
          <t>2259124790002656</t>
        </is>
      </c>
      <c r="BB404" t="inlineStr">
        <is>
          <t>BOOK</t>
        </is>
      </c>
      <c r="BD404" t="inlineStr">
        <is>
          <t>9780415072229</t>
        </is>
      </c>
      <c r="BE404" t="inlineStr">
        <is>
          <t>32285001127363</t>
        </is>
      </c>
      <c r="BF404" t="inlineStr">
        <is>
          <t>893238447</t>
        </is>
      </c>
    </row>
    <row r="405">
      <c r="B405" t="inlineStr">
        <is>
          <t>CURAL</t>
        </is>
      </c>
      <c r="C405" t="inlineStr">
        <is>
          <t>SHELVES</t>
        </is>
      </c>
      <c r="D405" t="inlineStr">
        <is>
          <t>QP376 .E32 1987</t>
        </is>
      </c>
      <c r="E405" t="inlineStr">
        <is>
          <t>0                      QP 0376000E  32          1987</t>
        </is>
      </c>
      <c r="F405" t="inlineStr">
        <is>
          <t>Neural Darwinism : the theory of neuronal group selection / Gerald M. Edelman.</t>
        </is>
      </c>
      <c r="H405" t="inlineStr">
        <is>
          <t>No</t>
        </is>
      </c>
      <c r="I405" t="inlineStr">
        <is>
          <t>1</t>
        </is>
      </c>
      <c r="J405" t="inlineStr">
        <is>
          <t>No</t>
        </is>
      </c>
      <c r="K405" t="inlineStr">
        <is>
          <t>No</t>
        </is>
      </c>
      <c r="L405" t="inlineStr">
        <is>
          <t>0</t>
        </is>
      </c>
      <c r="M405" t="inlineStr">
        <is>
          <t>Edelman, Gerald M.</t>
        </is>
      </c>
      <c r="N405" t="inlineStr">
        <is>
          <t>New York : Basic Books, c1987.</t>
        </is>
      </c>
      <c r="O405" t="inlineStr">
        <is>
          <t>1987</t>
        </is>
      </c>
      <c r="Q405" t="inlineStr">
        <is>
          <t>eng</t>
        </is>
      </c>
      <c r="R405" t="inlineStr">
        <is>
          <t>nyu</t>
        </is>
      </c>
      <c r="T405" t="inlineStr">
        <is>
          <t xml:space="preserve">QP </t>
        </is>
      </c>
      <c r="U405" t="n">
        <v>10</v>
      </c>
      <c r="V405" t="n">
        <v>10</v>
      </c>
      <c r="W405" t="inlineStr">
        <is>
          <t>2006-06-22</t>
        </is>
      </c>
      <c r="X405" t="inlineStr">
        <is>
          <t>2006-06-22</t>
        </is>
      </c>
      <c r="Y405" t="inlineStr">
        <is>
          <t>1993-03-03</t>
        </is>
      </c>
      <c r="Z405" t="inlineStr">
        <is>
          <t>1993-03-03</t>
        </is>
      </c>
      <c r="AA405" t="n">
        <v>578</v>
      </c>
      <c r="AB405" t="n">
        <v>444</v>
      </c>
      <c r="AC405" t="n">
        <v>448</v>
      </c>
      <c r="AD405" t="n">
        <v>3</v>
      </c>
      <c r="AE405" t="n">
        <v>3</v>
      </c>
      <c r="AF405" t="n">
        <v>17</v>
      </c>
      <c r="AG405" t="n">
        <v>17</v>
      </c>
      <c r="AH405" t="n">
        <v>5</v>
      </c>
      <c r="AI405" t="n">
        <v>5</v>
      </c>
      <c r="AJ405" t="n">
        <v>5</v>
      </c>
      <c r="AK405" t="n">
        <v>5</v>
      </c>
      <c r="AL405" t="n">
        <v>12</v>
      </c>
      <c r="AM405" t="n">
        <v>12</v>
      </c>
      <c r="AN405" t="n">
        <v>2</v>
      </c>
      <c r="AO405" t="n">
        <v>2</v>
      </c>
      <c r="AP405" t="n">
        <v>0</v>
      </c>
      <c r="AQ405" t="n">
        <v>0</v>
      </c>
      <c r="AR405" t="inlineStr">
        <is>
          <t>No</t>
        </is>
      </c>
      <c r="AS405" t="inlineStr">
        <is>
          <t>Yes</t>
        </is>
      </c>
      <c r="AT405">
        <f>HYPERLINK("http://catalog.hathitrust.org/Record/000877934","HathiTrust Record")</f>
        <v/>
      </c>
      <c r="AU405">
        <f>HYPERLINK("https://creighton-primo.hosted.exlibrisgroup.com/primo-explore/search?tab=default_tab&amp;search_scope=EVERYTHING&amp;vid=01CRU&amp;lang=en_US&amp;offset=0&amp;query=any,contains,991001082059702656","Catalog Record")</f>
        <v/>
      </c>
      <c r="AV405">
        <f>HYPERLINK("http://www.worldcat.org/oclc/16089387","WorldCat Record")</f>
        <v/>
      </c>
      <c r="AW405" t="inlineStr">
        <is>
          <t>11723191:eng</t>
        </is>
      </c>
      <c r="AX405" t="inlineStr">
        <is>
          <t>16089387</t>
        </is>
      </c>
      <c r="AY405" t="inlineStr">
        <is>
          <t>991001082059702656</t>
        </is>
      </c>
      <c r="AZ405" t="inlineStr">
        <is>
          <t>991001082059702656</t>
        </is>
      </c>
      <c r="BA405" t="inlineStr">
        <is>
          <t>2256507620002656</t>
        </is>
      </c>
      <c r="BB405" t="inlineStr">
        <is>
          <t>BOOK</t>
        </is>
      </c>
      <c r="BD405" t="inlineStr">
        <is>
          <t>9780465049349</t>
        </is>
      </c>
      <c r="BE405" t="inlineStr">
        <is>
          <t>32285001561777</t>
        </is>
      </c>
      <c r="BF405" t="inlineStr">
        <is>
          <t>893626559</t>
        </is>
      </c>
    </row>
    <row r="406">
      <c r="B406" t="inlineStr">
        <is>
          <t>CURAL</t>
        </is>
      </c>
      <c r="C406" t="inlineStr">
        <is>
          <t>SHELVES</t>
        </is>
      </c>
      <c r="D406" t="inlineStr">
        <is>
          <t>QP376 .F48 1984</t>
        </is>
      </c>
      <c r="E406" t="inlineStr">
        <is>
          <t>0                      QP 0376000F  48          1984</t>
        </is>
      </c>
      <c r="F406" t="inlineStr">
        <is>
          <t>The brain : mystery of matter and mind / [Jack Fincher].</t>
        </is>
      </c>
      <c r="H406" t="inlineStr">
        <is>
          <t>No</t>
        </is>
      </c>
      <c r="I406" t="inlineStr">
        <is>
          <t>1</t>
        </is>
      </c>
      <c r="J406" t="inlineStr">
        <is>
          <t>No</t>
        </is>
      </c>
      <c r="K406" t="inlineStr">
        <is>
          <t>No</t>
        </is>
      </c>
      <c r="L406" t="inlineStr">
        <is>
          <t>0</t>
        </is>
      </c>
      <c r="M406" t="inlineStr">
        <is>
          <t>Fincher, Jack, 1930-</t>
        </is>
      </c>
      <c r="N406" t="inlineStr">
        <is>
          <t>New York ; Toronto : Torstar Books, 1984.</t>
        </is>
      </c>
      <c r="O406" t="inlineStr">
        <is>
          <t>1984</t>
        </is>
      </c>
      <c r="Q406" t="inlineStr">
        <is>
          <t>eng</t>
        </is>
      </c>
      <c r="R406" t="inlineStr">
        <is>
          <t>nyu</t>
        </is>
      </c>
      <c r="S406" t="inlineStr">
        <is>
          <t>The human body</t>
        </is>
      </c>
      <c r="T406" t="inlineStr">
        <is>
          <t xml:space="preserve">QP </t>
        </is>
      </c>
      <c r="U406" t="n">
        <v>5</v>
      </c>
      <c r="V406" t="n">
        <v>5</v>
      </c>
      <c r="W406" t="inlineStr">
        <is>
          <t>1995-02-11</t>
        </is>
      </c>
      <c r="X406" t="inlineStr">
        <is>
          <t>1995-02-11</t>
        </is>
      </c>
      <c r="Y406" t="inlineStr">
        <is>
          <t>1993-03-03</t>
        </is>
      </c>
      <c r="Z406" t="inlineStr">
        <is>
          <t>1993-03-03</t>
        </is>
      </c>
      <c r="AA406" t="n">
        <v>361</v>
      </c>
      <c r="AB406" t="n">
        <v>318</v>
      </c>
      <c r="AC406" t="n">
        <v>1256</v>
      </c>
      <c r="AD406" t="n">
        <v>3</v>
      </c>
      <c r="AE406" t="n">
        <v>9</v>
      </c>
      <c r="AF406" t="n">
        <v>2</v>
      </c>
      <c r="AG406" t="n">
        <v>19</v>
      </c>
      <c r="AH406" t="n">
        <v>2</v>
      </c>
      <c r="AI406" t="n">
        <v>8</v>
      </c>
      <c r="AJ406" t="n">
        <v>0</v>
      </c>
      <c r="AK406" t="n">
        <v>2</v>
      </c>
      <c r="AL406" t="n">
        <v>1</v>
      </c>
      <c r="AM406" t="n">
        <v>12</v>
      </c>
      <c r="AN406" t="n">
        <v>0</v>
      </c>
      <c r="AO406" t="n">
        <v>2</v>
      </c>
      <c r="AP406" t="n">
        <v>0</v>
      </c>
      <c r="AQ406" t="n">
        <v>0</v>
      </c>
      <c r="AR406" t="inlineStr">
        <is>
          <t>No</t>
        </is>
      </c>
      <c r="AS406" t="inlineStr">
        <is>
          <t>No</t>
        </is>
      </c>
      <c r="AU406">
        <f>HYPERLINK("https://creighton-primo.hosted.exlibrisgroup.com/primo-explore/search?tab=default_tab&amp;search_scope=EVERYTHING&amp;vid=01CRU&amp;lang=en_US&amp;offset=0&amp;query=any,contains,991000557519702656","Catalog Record")</f>
        <v/>
      </c>
      <c r="AV406">
        <f>HYPERLINK("http://www.worldcat.org/oclc/11572796","WorldCat Record")</f>
        <v/>
      </c>
      <c r="AW406" t="inlineStr">
        <is>
          <t>27385167:eng</t>
        </is>
      </c>
      <c r="AX406" t="inlineStr">
        <is>
          <t>11572796</t>
        </is>
      </c>
      <c r="AY406" t="inlineStr">
        <is>
          <t>991000557519702656</t>
        </is>
      </c>
      <c r="AZ406" t="inlineStr">
        <is>
          <t>991000557519702656</t>
        </is>
      </c>
      <c r="BA406" t="inlineStr">
        <is>
          <t>2262473790002656</t>
        </is>
      </c>
      <c r="BB406" t="inlineStr">
        <is>
          <t>BOOK</t>
        </is>
      </c>
      <c r="BD406" t="inlineStr">
        <is>
          <t>9780920269343</t>
        </is>
      </c>
      <c r="BE406" t="inlineStr">
        <is>
          <t>32285001561785</t>
        </is>
      </c>
      <c r="BF406" t="inlineStr">
        <is>
          <t>893333578</t>
        </is>
      </c>
    </row>
    <row r="407">
      <c r="B407" t="inlineStr">
        <is>
          <t>CURAL</t>
        </is>
      </c>
      <c r="C407" t="inlineStr">
        <is>
          <t>SHELVES</t>
        </is>
      </c>
      <c r="D407" t="inlineStr">
        <is>
          <t>QP376 .F686 2007</t>
        </is>
      </c>
      <c r="E407" t="inlineStr">
        <is>
          <t>0                      QP 0376000F  686         2007</t>
        </is>
      </c>
      <c r="F407" t="inlineStr">
        <is>
          <t>Making up the mind : how the brain creates our mental world / Chris Frith.</t>
        </is>
      </c>
      <c r="H407" t="inlineStr">
        <is>
          <t>No</t>
        </is>
      </c>
      <c r="I407" t="inlineStr">
        <is>
          <t>1</t>
        </is>
      </c>
      <c r="J407" t="inlineStr">
        <is>
          <t>No</t>
        </is>
      </c>
      <c r="K407" t="inlineStr">
        <is>
          <t>No</t>
        </is>
      </c>
      <c r="L407" t="inlineStr">
        <is>
          <t>0</t>
        </is>
      </c>
      <c r="M407" t="inlineStr">
        <is>
          <t>Frith, Christopher D.</t>
        </is>
      </c>
      <c r="N407" t="inlineStr">
        <is>
          <t>Malden, MA : Blackwell Pub., 2007.</t>
        </is>
      </c>
      <c r="O407" t="inlineStr">
        <is>
          <t>2007</t>
        </is>
      </c>
      <c r="Q407" t="inlineStr">
        <is>
          <t>eng</t>
        </is>
      </c>
      <c r="R407" t="inlineStr">
        <is>
          <t>mau</t>
        </is>
      </c>
      <c r="T407" t="inlineStr">
        <is>
          <t xml:space="preserve">QP </t>
        </is>
      </c>
      <c r="U407" t="n">
        <v>4</v>
      </c>
      <c r="V407" t="n">
        <v>4</v>
      </c>
      <c r="W407" t="inlineStr">
        <is>
          <t>2010-03-30</t>
        </is>
      </c>
      <c r="X407" t="inlineStr">
        <is>
          <t>2010-03-30</t>
        </is>
      </c>
      <c r="Y407" t="inlineStr">
        <is>
          <t>2009-05-06</t>
        </is>
      </c>
      <c r="Z407" t="inlineStr">
        <is>
          <t>2009-05-06</t>
        </is>
      </c>
      <c r="AA407" t="n">
        <v>896</v>
      </c>
      <c r="AB407" t="n">
        <v>767</v>
      </c>
      <c r="AC407" t="n">
        <v>840</v>
      </c>
      <c r="AD407" t="n">
        <v>6</v>
      </c>
      <c r="AE407" t="n">
        <v>7</v>
      </c>
      <c r="AF407" t="n">
        <v>34</v>
      </c>
      <c r="AG407" t="n">
        <v>37</v>
      </c>
      <c r="AH407" t="n">
        <v>13</v>
      </c>
      <c r="AI407" t="n">
        <v>14</v>
      </c>
      <c r="AJ407" t="n">
        <v>7</v>
      </c>
      <c r="AK407" t="n">
        <v>9</v>
      </c>
      <c r="AL407" t="n">
        <v>15</v>
      </c>
      <c r="AM407" t="n">
        <v>16</v>
      </c>
      <c r="AN407" t="n">
        <v>5</v>
      </c>
      <c r="AO407" t="n">
        <v>6</v>
      </c>
      <c r="AP407" t="n">
        <v>0</v>
      </c>
      <c r="AQ407" t="n">
        <v>0</v>
      </c>
      <c r="AR407" t="inlineStr">
        <is>
          <t>No</t>
        </is>
      </c>
      <c r="AS407" t="inlineStr">
        <is>
          <t>No</t>
        </is>
      </c>
      <c r="AU407">
        <f>HYPERLINK("https://creighton-primo.hosted.exlibrisgroup.com/primo-explore/search?tab=default_tab&amp;search_scope=EVERYTHING&amp;vid=01CRU&amp;lang=en_US&amp;offset=0&amp;query=any,contains,991005313129702656","Catalog Record")</f>
        <v/>
      </c>
      <c r="AV407">
        <f>HYPERLINK("http://www.worldcat.org/oclc/76416643","WorldCat Record")</f>
        <v/>
      </c>
      <c r="AW407" t="inlineStr">
        <is>
          <t>794345491:eng</t>
        </is>
      </c>
      <c r="AX407" t="inlineStr">
        <is>
          <t>76416643</t>
        </is>
      </c>
      <c r="AY407" t="inlineStr">
        <is>
          <t>991005313129702656</t>
        </is>
      </c>
      <c r="AZ407" t="inlineStr">
        <is>
          <t>991005313129702656</t>
        </is>
      </c>
      <c r="BA407" t="inlineStr">
        <is>
          <t>2265995040002656</t>
        </is>
      </c>
      <c r="BB407" t="inlineStr">
        <is>
          <t>BOOK</t>
        </is>
      </c>
      <c r="BD407" t="inlineStr">
        <is>
          <t>9781405160223</t>
        </is>
      </c>
      <c r="BE407" t="inlineStr">
        <is>
          <t>32285005531081</t>
        </is>
      </c>
      <c r="BF407" t="inlineStr">
        <is>
          <t>893254811</t>
        </is>
      </c>
    </row>
    <row r="408">
      <c r="B408" t="inlineStr">
        <is>
          <t>CURAL</t>
        </is>
      </c>
      <c r="C408" t="inlineStr">
        <is>
          <t>SHELVES</t>
        </is>
      </c>
      <c r="D408" t="inlineStr">
        <is>
          <t>QP376 .F85 1979</t>
        </is>
      </c>
      <c r="E408" t="inlineStr">
        <is>
          <t>0                      QP 0376000F  85          1979</t>
        </is>
      </c>
      <c r="F408" t="inlineStr">
        <is>
          <t>Origins of the mind : mind-brain connections / Charles Furst.</t>
        </is>
      </c>
      <c r="H408" t="inlineStr">
        <is>
          <t>No</t>
        </is>
      </c>
      <c r="I408" t="inlineStr">
        <is>
          <t>1</t>
        </is>
      </c>
      <c r="J408" t="inlineStr">
        <is>
          <t>No</t>
        </is>
      </c>
      <c r="K408" t="inlineStr">
        <is>
          <t>No</t>
        </is>
      </c>
      <c r="L408" t="inlineStr">
        <is>
          <t>0</t>
        </is>
      </c>
      <c r="M408" t="inlineStr">
        <is>
          <t>Furst, Charles.</t>
        </is>
      </c>
      <c r="N408" t="inlineStr">
        <is>
          <t>Englewood Cliffs, N.J. : Prentice-Hall, c1979.</t>
        </is>
      </c>
      <c r="O408" t="inlineStr">
        <is>
          <t>1979</t>
        </is>
      </c>
      <c r="Q408" t="inlineStr">
        <is>
          <t>eng</t>
        </is>
      </c>
      <c r="R408" t="inlineStr">
        <is>
          <t>nju</t>
        </is>
      </c>
      <c r="S408" t="inlineStr">
        <is>
          <t>A Spectrum book</t>
        </is>
      </c>
      <c r="T408" t="inlineStr">
        <is>
          <t xml:space="preserve">QP </t>
        </is>
      </c>
      <c r="U408" t="n">
        <v>4</v>
      </c>
      <c r="V408" t="n">
        <v>4</v>
      </c>
      <c r="W408" t="inlineStr">
        <is>
          <t>2004-11-10</t>
        </is>
      </c>
      <c r="X408" t="inlineStr">
        <is>
          <t>2004-11-10</t>
        </is>
      </c>
      <c r="Y408" t="inlineStr">
        <is>
          <t>1993-03-03</t>
        </is>
      </c>
      <c r="Z408" t="inlineStr">
        <is>
          <t>1993-03-03</t>
        </is>
      </c>
      <c r="AA408" t="n">
        <v>590</v>
      </c>
      <c r="AB408" t="n">
        <v>492</v>
      </c>
      <c r="AC408" t="n">
        <v>499</v>
      </c>
      <c r="AD408" t="n">
        <v>2</v>
      </c>
      <c r="AE408" t="n">
        <v>2</v>
      </c>
      <c r="AF408" t="n">
        <v>21</v>
      </c>
      <c r="AG408" t="n">
        <v>21</v>
      </c>
      <c r="AH408" t="n">
        <v>10</v>
      </c>
      <c r="AI408" t="n">
        <v>10</v>
      </c>
      <c r="AJ408" t="n">
        <v>3</v>
      </c>
      <c r="AK408" t="n">
        <v>3</v>
      </c>
      <c r="AL408" t="n">
        <v>10</v>
      </c>
      <c r="AM408" t="n">
        <v>10</v>
      </c>
      <c r="AN408" t="n">
        <v>1</v>
      </c>
      <c r="AO408" t="n">
        <v>1</v>
      </c>
      <c r="AP408" t="n">
        <v>0</v>
      </c>
      <c r="AQ408" t="n">
        <v>0</v>
      </c>
      <c r="AR408" t="inlineStr">
        <is>
          <t>No</t>
        </is>
      </c>
      <c r="AS408" t="inlineStr">
        <is>
          <t>Yes</t>
        </is>
      </c>
      <c r="AT408">
        <f>HYPERLINK("http://catalog.hathitrust.org/Record/009495846","HathiTrust Record")</f>
        <v/>
      </c>
      <c r="AU408">
        <f>HYPERLINK("https://creighton-primo.hosted.exlibrisgroup.com/primo-explore/search?tab=default_tab&amp;search_scope=EVERYTHING&amp;vid=01CRU&amp;lang=en_US&amp;offset=0&amp;query=any,contains,991004666829702656","Catalog Record")</f>
        <v/>
      </c>
      <c r="AV408">
        <f>HYPERLINK("http://www.worldcat.org/oclc/4504488","WorldCat Record")</f>
        <v/>
      </c>
      <c r="AW408" t="inlineStr">
        <is>
          <t>815043638:eng</t>
        </is>
      </c>
      <c r="AX408" t="inlineStr">
        <is>
          <t>4504488</t>
        </is>
      </c>
      <c r="AY408" t="inlineStr">
        <is>
          <t>991004666829702656</t>
        </is>
      </c>
      <c r="AZ408" t="inlineStr">
        <is>
          <t>991004666829702656</t>
        </is>
      </c>
      <c r="BA408" t="inlineStr">
        <is>
          <t>2264847110002656</t>
        </is>
      </c>
      <c r="BB408" t="inlineStr">
        <is>
          <t>BOOK</t>
        </is>
      </c>
      <c r="BD408" t="inlineStr">
        <is>
          <t>9780136427773</t>
        </is>
      </c>
      <c r="BE408" t="inlineStr">
        <is>
          <t>32285001561793</t>
        </is>
      </c>
      <c r="BF408" t="inlineStr">
        <is>
          <t>893801203</t>
        </is>
      </c>
    </row>
    <row r="409">
      <c r="B409" t="inlineStr">
        <is>
          <t>CURAL</t>
        </is>
      </c>
      <c r="C409" t="inlineStr">
        <is>
          <t>SHELVES</t>
        </is>
      </c>
      <c r="D409" t="inlineStr">
        <is>
          <t>QP376 .G38</t>
        </is>
      </c>
      <c r="E409" t="inlineStr">
        <is>
          <t>0                      QP 0376000G  38</t>
        </is>
      </c>
      <c r="F409" t="inlineStr">
        <is>
          <t>Functional neuroscience / Michael S. Gazzaniga, Diana Steen, Bruce T. Volpe.</t>
        </is>
      </c>
      <c r="H409" t="inlineStr">
        <is>
          <t>No</t>
        </is>
      </c>
      <c r="I409" t="inlineStr">
        <is>
          <t>1</t>
        </is>
      </c>
      <c r="J409" t="inlineStr">
        <is>
          <t>No</t>
        </is>
      </c>
      <c r="K409" t="inlineStr">
        <is>
          <t>No</t>
        </is>
      </c>
      <c r="L409" t="inlineStr">
        <is>
          <t>0</t>
        </is>
      </c>
      <c r="M409" t="inlineStr">
        <is>
          <t>Gazzaniga, Michael S.</t>
        </is>
      </c>
      <c r="N409" t="inlineStr">
        <is>
          <t>New York : Harper &amp; Row, c1979.</t>
        </is>
      </c>
      <c r="O409" t="inlineStr">
        <is>
          <t>1979</t>
        </is>
      </c>
      <c r="Q409" t="inlineStr">
        <is>
          <t>eng</t>
        </is>
      </c>
      <c r="R409" t="inlineStr">
        <is>
          <t>nyu</t>
        </is>
      </c>
      <c r="T409" t="inlineStr">
        <is>
          <t xml:space="preserve">QP </t>
        </is>
      </c>
      <c r="U409" t="n">
        <v>10</v>
      </c>
      <c r="V409" t="n">
        <v>10</v>
      </c>
      <c r="W409" t="inlineStr">
        <is>
          <t>2003-03-02</t>
        </is>
      </c>
      <c r="X409" t="inlineStr">
        <is>
          <t>2003-03-02</t>
        </is>
      </c>
      <c r="Y409" t="inlineStr">
        <is>
          <t>1993-03-03</t>
        </is>
      </c>
      <c r="Z409" t="inlineStr">
        <is>
          <t>1993-03-03</t>
        </is>
      </c>
      <c r="AA409" t="n">
        <v>217</v>
      </c>
      <c r="AB409" t="n">
        <v>147</v>
      </c>
      <c r="AC409" t="n">
        <v>152</v>
      </c>
      <c r="AD409" t="n">
        <v>2</v>
      </c>
      <c r="AE409" t="n">
        <v>2</v>
      </c>
      <c r="AF409" t="n">
        <v>10</v>
      </c>
      <c r="AG409" t="n">
        <v>10</v>
      </c>
      <c r="AH409" t="n">
        <v>2</v>
      </c>
      <c r="AI409" t="n">
        <v>2</v>
      </c>
      <c r="AJ409" t="n">
        <v>2</v>
      </c>
      <c r="AK409" t="n">
        <v>2</v>
      </c>
      <c r="AL409" t="n">
        <v>7</v>
      </c>
      <c r="AM409" t="n">
        <v>7</v>
      </c>
      <c r="AN409" t="n">
        <v>1</v>
      </c>
      <c r="AO409" t="n">
        <v>1</v>
      </c>
      <c r="AP409" t="n">
        <v>0</v>
      </c>
      <c r="AQ409" t="n">
        <v>0</v>
      </c>
      <c r="AR409" t="inlineStr">
        <is>
          <t>No</t>
        </is>
      </c>
      <c r="AS409" t="inlineStr">
        <is>
          <t>No</t>
        </is>
      </c>
      <c r="AU409">
        <f>HYPERLINK("https://creighton-primo.hosted.exlibrisgroup.com/primo-explore/search?tab=default_tab&amp;search_scope=EVERYTHING&amp;vid=01CRU&amp;lang=en_US&amp;offset=0&amp;query=any,contains,991004653509702656","Catalog Record")</f>
        <v/>
      </c>
      <c r="AV409">
        <f>HYPERLINK("http://www.worldcat.org/oclc/4494652","WorldCat Record")</f>
        <v/>
      </c>
      <c r="AW409" t="inlineStr">
        <is>
          <t>3943961348:eng</t>
        </is>
      </c>
      <c r="AX409" t="inlineStr">
        <is>
          <t>4494652</t>
        </is>
      </c>
      <c r="AY409" t="inlineStr">
        <is>
          <t>991004653509702656</t>
        </is>
      </c>
      <c r="AZ409" t="inlineStr">
        <is>
          <t>991004653509702656</t>
        </is>
      </c>
      <c r="BA409" t="inlineStr">
        <is>
          <t>2265330350002656</t>
        </is>
      </c>
      <c r="BB409" t="inlineStr">
        <is>
          <t>BOOK</t>
        </is>
      </c>
      <c r="BD409" t="inlineStr">
        <is>
          <t>9780060422912</t>
        </is>
      </c>
      <c r="BE409" t="inlineStr">
        <is>
          <t>32285001561801</t>
        </is>
      </c>
      <c r="BF409" t="inlineStr">
        <is>
          <t>893901484</t>
        </is>
      </c>
    </row>
    <row r="410">
      <c r="B410" t="inlineStr">
        <is>
          <t>CURAL</t>
        </is>
      </c>
      <c r="C410" t="inlineStr">
        <is>
          <t>SHELVES</t>
        </is>
      </c>
      <c r="D410" t="inlineStr">
        <is>
          <t>QP376 .G45 1985</t>
        </is>
      </c>
      <c r="E410" t="inlineStr">
        <is>
          <t>0                      QP 0376000G  45          1985</t>
        </is>
      </c>
      <c r="F410" t="inlineStr">
        <is>
          <t>Gene expression in brain / edited by Claire Zomzely-Neurath and William A. Walker.</t>
        </is>
      </c>
      <c r="H410" t="inlineStr">
        <is>
          <t>No</t>
        </is>
      </c>
      <c r="I410" t="inlineStr">
        <is>
          <t>1</t>
        </is>
      </c>
      <c r="J410" t="inlineStr">
        <is>
          <t>No</t>
        </is>
      </c>
      <c r="K410" t="inlineStr">
        <is>
          <t>No</t>
        </is>
      </c>
      <c r="L410" t="inlineStr">
        <is>
          <t>0</t>
        </is>
      </c>
      <c r="N410" t="inlineStr">
        <is>
          <t>New York : Wiley, c1985.</t>
        </is>
      </c>
      <c r="O410" t="inlineStr">
        <is>
          <t>1985</t>
        </is>
      </c>
      <c r="Q410" t="inlineStr">
        <is>
          <t>eng</t>
        </is>
      </c>
      <c r="R410" t="inlineStr">
        <is>
          <t>nyu</t>
        </is>
      </c>
      <c r="T410" t="inlineStr">
        <is>
          <t xml:space="preserve">QP </t>
        </is>
      </c>
      <c r="U410" t="n">
        <v>1</v>
      </c>
      <c r="V410" t="n">
        <v>1</v>
      </c>
      <c r="W410" t="inlineStr">
        <is>
          <t>1994-08-26</t>
        </is>
      </c>
      <c r="X410" t="inlineStr">
        <is>
          <t>1994-08-26</t>
        </is>
      </c>
      <c r="Y410" t="inlineStr">
        <is>
          <t>1993-03-03</t>
        </is>
      </c>
      <c r="Z410" t="inlineStr">
        <is>
          <t>1993-03-03</t>
        </is>
      </c>
      <c r="AA410" t="n">
        <v>283</v>
      </c>
      <c r="AB410" t="n">
        <v>231</v>
      </c>
      <c r="AC410" t="n">
        <v>238</v>
      </c>
      <c r="AD410" t="n">
        <v>3</v>
      </c>
      <c r="AE410" t="n">
        <v>3</v>
      </c>
      <c r="AF410" t="n">
        <v>8</v>
      </c>
      <c r="AG410" t="n">
        <v>8</v>
      </c>
      <c r="AH410" t="n">
        <v>1</v>
      </c>
      <c r="AI410" t="n">
        <v>1</v>
      </c>
      <c r="AJ410" t="n">
        <v>2</v>
      </c>
      <c r="AK410" t="n">
        <v>2</v>
      </c>
      <c r="AL410" t="n">
        <v>5</v>
      </c>
      <c r="AM410" t="n">
        <v>5</v>
      </c>
      <c r="AN410" t="n">
        <v>2</v>
      </c>
      <c r="AO410" t="n">
        <v>2</v>
      </c>
      <c r="AP410" t="n">
        <v>0</v>
      </c>
      <c r="AQ410" t="n">
        <v>0</v>
      </c>
      <c r="AR410" t="inlineStr">
        <is>
          <t>No</t>
        </is>
      </c>
      <c r="AS410" t="inlineStr">
        <is>
          <t>Yes</t>
        </is>
      </c>
      <c r="AT410">
        <f>HYPERLINK("http://catalog.hathitrust.org/Record/000461465","HathiTrust Record")</f>
        <v/>
      </c>
      <c r="AU410">
        <f>HYPERLINK("https://creighton-primo.hosted.exlibrisgroup.com/primo-explore/search?tab=default_tab&amp;search_scope=EVERYTHING&amp;vid=01CRU&amp;lang=en_US&amp;offset=0&amp;query=any,contains,991000441869702656","Catalog Record")</f>
        <v/>
      </c>
      <c r="AV410">
        <f>HYPERLINK("http://www.worldcat.org/oclc/10825161","WorldCat Record")</f>
        <v/>
      </c>
      <c r="AW410" t="inlineStr">
        <is>
          <t>365403832:eng</t>
        </is>
      </c>
      <c r="AX410" t="inlineStr">
        <is>
          <t>10825161</t>
        </is>
      </c>
      <c r="AY410" t="inlineStr">
        <is>
          <t>991000441869702656</t>
        </is>
      </c>
      <c r="AZ410" t="inlineStr">
        <is>
          <t>991000441869702656</t>
        </is>
      </c>
      <c r="BA410" t="inlineStr">
        <is>
          <t>2264391000002656</t>
        </is>
      </c>
      <c r="BB410" t="inlineStr">
        <is>
          <t>BOOK</t>
        </is>
      </c>
      <c r="BD410" t="inlineStr">
        <is>
          <t>9780471862093</t>
        </is>
      </c>
      <c r="BE410" t="inlineStr">
        <is>
          <t>32285001561819</t>
        </is>
      </c>
      <c r="BF410" t="inlineStr">
        <is>
          <t>893620483</t>
        </is>
      </c>
    </row>
    <row r="411">
      <c r="B411" t="inlineStr">
        <is>
          <t>CURAL</t>
        </is>
      </c>
      <c r="C411" t="inlineStr">
        <is>
          <t>SHELVES</t>
        </is>
      </c>
      <c r="D411" t="inlineStr">
        <is>
          <t>QP376 .G69</t>
        </is>
      </c>
      <c r="E411" t="inlineStr">
        <is>
          <t>0                      QP 0376000G  69</t>
        </is>
      </c>
      <c r="F411" t="inlineStr">
        <is>
          <t>The purposive brain / Ragnar Granit. --</t>
        </is>
      </c>
      <c r="H411" t="inlineStr">
        <is>
          <t>No</t>
        </is>
      </c>
      <c r="I411" t="inlineStr">
        <is>
          <t>1</t>
        </is>
      </c>
      <c r="J411" t="inlineStr">
        <is>
          <t>Yes</t>
        </is>
      </c>
      <c r="K411" t="inlineStr">
        <is>
          <t>No</t>
        </is>
      </c>
      <c r="L411" t="inlineStr">
        <is>
          <t>0</t>
        </is>
      </c>
      <c r="M411" t="inlineStr">
        <is>
          <t>Granit, Ragnar, 1900-</t>
        </is>
      </c>
      <c r="N411" t="inlineStr">
        <is>
          <t>Cambridge, Mass. : Mit Press, c1977.</t>
        </is>
      </c>
      <c r="O411" t="inlineStr">
        <is>
          <t>1977</t>
        </is>
      </c>
      <c r="Q411" t="inlineStr">
        <is>
          <t>eng</t>
        </is>
      </c>
      <c r="R411" t="inlineStr">
        <is>
          <t>mau</t>
        </is>
      </c>
      <c r="T411" t="inlineStr">
        <is>
          <t xml:space="preserve">QP </t>
        </is>
      </c>
      <c r="U411" t="n">
        <v>2</v>
      </c>
      <c r="V411" t="n">
        <v>3</v>
      </c>
      <c r="W411" t="inlineStr">
        <is>
          <t>1995-02-13</t>
        </is>
      </c>
      <c r="X411" t="inlineStr">
        <is>
          <t>1995-02-13</t>
        </is>
      </c>
      <c r="Y411" t="inlineStr">
        <is>
          <t>1993-03-03</t>
        </is>
      </c>
      <c r="Z411" t="inlineStr">
        <is>
          <t>1993-03-03</t>
        </is>
      </c>
      <c r="AA411" t="n">
        <v>578</v>
      </c>
      <c r="AB411" t="n">
        <v>480</v>
      </c>
      <c r="AC411" t="n">
        <v>512</v>
      </c>
      <c r="AD411" t="n">
        <v>5</v>
      </c>
      <c r="AE411" t="n">
        <v>5</v>
      </c>
      <c r="AF411" t="n">
        <v>21</v>
      </c>
      <c r="AG411" t="n">
        <v>21</v>
      </c>
      <c r="AH411" t="n">
        <v>10</v>
      </c>
      <c r="AI411" t="n">
        <v>10</v>
      </c>
      <c r="AJ411" t="n">
        <v>3</v>
      </c>
      <c r="AK411" t="n">
        <v>3</v>
      </c>
      <c r="AL411" t="n">
        <v>13</v>
      </c>
      <c r="AM411" t="n">
        <v>13</v>
      </c>
      <c r="AN411" t="n">
        <v>3</v>
      </c>
      <c r="AO411" t="n">
        <v>3</v>
      </c>
      <c r="AP411" t="n">
        <v>0</v>
      </c>
      <c r="AQ411" t="n">
        <v>0</v>
      </c>
      <c r="AR411" t="inlineStr">
        <is>
          <t>No</t>
        </is>
      </c>
      <c r="AS411" t="inlineStr">
        <is>
          <t>No</t>
        </is>
      </c>
      <c r="AU411">
        <f>HYPERLINK("https://creighton-primo.hosted.exlibrisgroup.com/primo-explore/search?tab=default_tab&amp;search_scope=EVERYTHING&amp;vid=01CRU&amp;lang=en_US&amp;offset=0&amp;query=any,contains,991001790459702656","Catalog Record")</f>
        <v/>
      </c>
      <c r="AV411">
        <f>HYPERLINK("http://www.worldcat.org/oclc/2818876","WorldCat Record")</f>
        <v/>
      </c>
      <c r="AW411" t="inlineStr">
        <is>
          <t>6236912:eng</t>
        </is>
      </c>
      <c r="AX411" t="inlineStr">
        <is>
          <t>2818876</t>
        </is>
      </c>
      <c r="AY411" t="inlineStr">
        <is>
          <t>991001790459702656</t>
        </is>
      </c>
      <c r="AZ411" t="inlineStr">
        <is>
          <t>991001790459702656</t>
        </is>
      </c>
      <c r="BA411" t="inlineStr">
        <is>
          <t>2267802910002656</t>
        </is>
      </c>
      <c r="BB411" t="inlineStr">
        <is>
          <t>BOOK</t>
        </is>
      </c>
      <c r="BD411" t="inlineStr">
        <is>
          <t>9780262070690</t>
        </is>
      </c>
      <c r="BE411" t="inlineStr">
        <is>
          <t>32285001561827</t>
        </is>
      </c>
      <c r="BF411" t="inlineStr">
        <is>
          <t>893797833</t>
        </is>
      </c>
    </row>
    <row r="412">
      <c r="B412" t="inlineStr">
        <is>
          <t>CURAL</t>
        </is>
      </c>
      <c r="C412" t="inlineStr">
        <is>
          <t>SHELVES</t>
        </is>
      </c>
      <c r="D412" t="inlineStr">
        <is>
          <t>QP376 .H29 1975</t>
        </is>
      </c>
      <c r="E412" t="inlineStr">
        <is>
          <t>0                      QP 0376000H  29          1975</t>
        </is>
      </c>
      <c r="F412" t="inlineStr">
        <is>
          <t>How the brain works : a new understanding of human learning, emotion, and thinking / Leslie A. Hart.</t>
        </is>
      </c>
      <c r="H412" t="inlineStr">
        <is>
          <t>No</t>
        </is>
      </c>
      <c r="I412" t="inlineStr">
        <is>
          <t>1</t>
        </is>
      </c>
      <c r="J412" t="inlineStr">
        <is>
          <t>No</t>
        </is>
      </c>
      <c r="K412" t="inlineStr">
        <is>
          <t>No</t>
        </is>
      </c>
      <c r="L412" t="inlineStr">
        <is>
          <t>0</t>
        </is>
      </c>
      <c r="M412" t="inlineStr">
        <is>
          <t>Hart, Leslie A.</t>
        </is>
      </c>
      <c r="N412" t="inlineStr">
        <is>
          <t>New York : Basic Books, [1975]</t>
        </is>
      </c>
      <c r="O412" t="inlineStr">
        <is>
          <t>1975</t>
        </is>
      </c>
      <c r="Q412" t="inlineStr">
        <is>
          <t>eng</t>
        </is>
      </c>
      <c r="R412" t="inlineStr">
        <is>
          <t>nyu</t>
        </is>
      </c>
      <c r="T412" t="inlineStr">
        <is>
          <t xml:space="preserve">QP </t>
        </is>
      </c>
      <c r="U412" t="n">
        <v>3</v>
      </c>
      <c r="V412" t="n">
        <v>3</v>
      </c>
      <c r="W412" t="inlineStr">
        <is>
          <t>2000-06-15</t>
        </is>
      </c>
      <c r="X412" t="inlineStr">
        <is>
          <t>2000-06-15</t>
        </is>
      </c>
      <c r="Y412" t="inlineStr">
        <is>
          <t>1990-01-16</t>
        </is>
      </c>
      <c r="Z412" t="inlineStr">
        <is>
          <t>1990-01-16</t>
        </is>
      </c>
      <c r="AA412" t="n">
        <v>575</v>
      </c>
      <c r="AB412" t="n">
        <v>500</v>
      </c>
      <c r="AC412" t="n">
        <v>507</v>
      </c>
      <c r="AD412" t="n">
        <v>5</v>
      </c>
      <c r="AE412" t="n">
        <v>5</v>
      </c>
      <c r="AF412" t="n">
        <v>18</v>
      </c>
      <c r="AG412" t="n">
        <v>18</v>
      </c>
      <c r="AH412" t="n">
        <v>5</v>
      </c>
      <c r="AI412" t="n">
        <v>5</v>
      </c>
      <c r="AJ412" t="n">
        <v>4</v>
      </c>
      <c r="AK412" t="n">
        <v>4</v>
      </c>
      <c r="AL412" t="n">
        <v>8</v>
      </c>
      <c r="AM412" t="n">
        <v>8</v>
      </c>
      <c r="AN412" t="n">
        <v>4</v>
      </c>
      <c r="AO412" t="n">
        <v>4</v>
      </c>
      <c r="AP412" t="n">
        <v>0</v>
      </c>
      <c r="AQ412" t="n">
        <v>0</v>
      </c>
      <c r="AR412" t="inlineStr">
        <is>
          <t>No</t>
        </is>
      </c>
      <c r="AS412" t="inlineStr">
        <is>
          <t>Yes</t>
        </is>
      </c>
      <c r="AT412">
        <f>HYPERLINK("http://catalog.hathitrust.org/Record/000028760","HathiTrust Record")</f>
        <v/>
      </c>
      <c r="AU412">
        <f>HYPERLINK("https://creighton-primo.hosted.exlibrisgroup.com/primo-explore/search?tab=default_tab&amp;search_scope=EVERYTHING&amp;vid=01CRU&amp;lang=en_US&amp;offset=0&amp;query=any,contains,991003662009702656","Catalog Record")</f>
        <v/>
      </c>
      <c r="AV412">
        <f>HYPERLINK("http://www.worldcat.org/oclc/1272617","WorldCat Record")</f>
        <v/>
      </c>
      <c r="AW412" t="inlineStr">
        <is>
          <t>208269292:eng</t>
        </is>
      </c>
      <c r="AX412" t="inlineStr">
        <is>
          <t>1272617</t>
        </is>
      </c>
      <c r="AY412" t="inlineStr">
        <is>
          <t>991003662009702656</t>
        </is>
      </c>
      <c r="AZ412" t="inlineStr">
        <is>
          <t>991003662009702656</t>
        </is>
      </c>
      <c r="BA412" t="inlineStr">
        <is>
          <t>2266491800002656</t>
        </is>
      </c>
      <c r="BB412" t="inlineStr">
        <is>
          <t>BOOK</t>
        </is>
      </c>
      <c r="BD412" t="inlineStr">
        <is>
          <t>9780465031023</t>
        </is>
      </c>
      <c r="BE412" t="inlineStr">
        <is>
          <t>32285000028851</t>
        </is>
      </c>
      <c r="BF412" t="inlineStr">
        <is>
          <t>893787603</t>
        </is>
      </c>
    </row>
    <row r="413">
      <c r="B413" t="inlineStr">
        <is>
          <t>CURAL</t>
        </is>
      </c>
      <c r="C413" t="inlineStr">
        <is>
          <t>SHELVES</t>
        </is>
      </c>
      <c r="D413" t="inlineStr">
        <is>
          <t>QP376 .H292 1990</t>
        </is>
      </c>
      <c r="E413" t="inlineStr">
        <is>
          <t>0                      QP 0376000H  292         1990</t>
        </is>
      </c>
      <c r="F413" t="inlineStr">
        <is>
          <t>Dawn of a millennium : beyond evolution and culture / by Erich Harth.</t>
        </is>
      </c>
      <c r="H413" t="inlineStr">
        <is>
          <t>No</t>
        </is>
      </c>
      <c r="I413" t="inlineStr">
        <is>
          <t>1</t>
        </is>
      </c>
      <c r="J413" t="inlineStr">
        <is>
          <t>No</t>
        </is>
      </c>
      <c r="K413" t="inlineStr">
        <is>
          <t>No</t>
        </is>
      </c>
      <c r="L413" t="inlineStr">
        <is>
          <t>0</t>
        </is>
      </c>
      <c r="M413" t="inlineStr">
        <is>
          <t>Harth, Erich.</t>
        </is>
      </c>
      <c r="N413" t="inlineStr">
        <is>
          <t>Boston : Little, Brown, c1990.</t>
        </is>
      </c>
      <c r="O413" t="inlineStr">
        <is>
          <t>1990</t>
        </is>
      </c>
      <c r="P413" t="inlineStr">
        <is>
          <t>1st ed.</t>
        </is>
      </c>
      <c r="Q413" t="inlineStr">
        <is>
          <t>eng</t>
        </is>
      </c>
      <c r="R413" t="inlineStr">
        <is>
          <t>mau</t>
        </is>
      </c>
      <c r="T413" t="inlineStr">
        <is>
          <t xml:space="preserve">QP </t>
        </is>
      </c>
      <c r="U413" t="n">
        <v>4</v>
      </c>
      <c r="V413" t="n">
        <v>4</v>
      </c>
      <c r="W413" t="inlineStr">
        <is>
          <t>1996-11-01</t>
        </is>
      </c>
      <c r="X413" t="inlineStr">
        <is>
          <t>1996-11-01</t>
        </is>
      </c>
      <c r="Y413" t="inlineStr">
        <is>
          <t>1990-03-15</t>
        </is>
      </c>
      <c r="Z413" t="inlineStr">
        <is>
          <t>1990-03-15</t>
        </is>
      </c>
      <c r="AA413" t="n">
        <v>364</v>
      </c>
      <c r="AB413" t="n">
        <v>328</v>
      </c>
      <c r="AC413" t="n">
        <v>334</v>
      </c>
      <c r="AD413" t="n">
        <v>1</v>
      </c>
      <c r="AE413" t="n">
        <v>1</v>
      </c>
      <c r="AF413" t="n">
        <v>12</v>
      </c>
      <c r="AG413" t="n">
        <v>12</v>
      </c>
      <c r="AH413" t="n">
        <v>3</v>
      </c>
      <c r="AI413" t="n">
        <v>3</v>
      </c>
      <c r="AJ413" t="n">
        <v>5</v>
      </c>
      <c r="AK413" t="n">
        <v>5</v>
      </c>
      <c r="AL413" t="n">
        <v>8</v>
      </c>
      <c r="AM413" t="n">
        <v>8</v>
      </c>
      <c r="AN413" t="n">
        <v>0</v>
      </c>
      <c r="AO413" t="n">
        <v>0</v>
      </c>
      <c r="AP413" t="n">
        <v>0</v>
      </c>
      <c r="AQ413" t="n">
        <v>0</v>
      </c>
      <c r="AR413" t="inlineStr">
        <is>
          <t>No</t>
        </is>
      </c>
      <c r="AS413" t="inlineStr">
        <is>
          <t>No</t>
        </is>
      </c>
      <c r="AU413">
        <f>HYPERLINK("https://creighton-primo.hosted.exlibrisgroup.com/primo-explore/search?tab=default_tab&amp;search_scope=EVERYTHING&amp;vid=01CRU&amp;lang=en_US&amp;offset=0&amp;query=any,contains,991001509629702656","Catalog Record")</f>
        <v/>
      </c>
      <c r="AV413">
        <f>HYPERLINK("http://www.worldcat.org/oclc/19885435","WorldCat Record")</f>
        <v/>
      </c>
      <c r="AW413" t="inlineStr">
        <is>
          <t>332027:eng</t>
        </is>
      </c>
      <c r="AX413" t="inlineStr">
        <is>
          <t>19885435</t>
        </is>
      </c>
      <c r="AY413" t="inlineStr">
        <is>
          <t>991001509629702656</t>
        </is>
      </c>
      <c r="AZ413" t="inlineStr">
        <is>
          <t>991001509629702656</t>
        </is>
      </c>
      <c r="BA413" t="inlineStr">
        <is>
          <t>2261479150002656</t>
        </is>
      </c>
      <c r="BB413" t="inlineStr">
        <is>
          <t>BOOK</t>
        </is>
      </c>
      <c r="BD413" t="inlineStr">
        <is>
          <t>9780316348515</t>
        </is>
      </c>
      <c r="BE413" t="inlineStr">
        <is>
          <t>32285000063858</t>
        </is>
      </c>
      <c r="BF413" t="inlineStr">
        <is>
          <t>893225891</t>
        </is>
      </c>
    </row>
    <row r="414">
      <c r="B414" t="inlineStr">
        <is>
          <t>CURAL</t>
        </is>
      </c>
      <c r="C414" t="inlineStr">
        <is>
          <t>SHELVES</t>
        </is>
      </c>
      <c r="D414" t="inlineStr">
        <is>
          <t>QP376 .H318 1981</t>
        </is>
      </c>
      <c r="E414" t="inlineStr">
        <is>
          <t>0                      QP 0376000H  318         1981</t>
        </is>
      </c>
      <c r="F414" t="inlineStr">
        <is>
          <t>The myth of senility : misconceptions about the brain and aging / Robin Marantz Henig ; foreword by Robert N. Butler.</t>
        </is>
      </c>
      <c r="H414" t="inlineStr">
        <is>
          <t>No</t>
        </is>
      </c>
      <c r="I414" t="inlineStr">
        <is>
          <t>1</t>
        </is>
      </c>
      <c r="J414" t="inlineStr">
        <is>
          <t>No</t>
        </is>
      </c>
      <c r="K414" t="inlineStr">
        <is>
          <t>No</t>
        </is>
      </c>
      <c r="L414" t="inlineStr">
        <is>
          <t>0</t>
        </is>
      </c>
      <c r="M414" t="inlineStr">
        <is>
          <t>Henig, Robin Marantz.</t>
        </is>
      </c>
      <c r="N414" t="inlineStr">
        <is>
          <t>Garden City, N.Y. : Anchor Press/Doubleday, 1981.</t>
        </is>
      </c>
      <c r="O414" t="inlineStr">
        <is>
          <t>1981</t>
        </is>
      </c>
      <c r="P414" t="inlineStr">
        <is>
          <t>1st ed.</t>
        </is>
      </c>
      <c r="Q414" t="inlineStr">
        <is>
          <t>eng</t>
        </is>
      </c>
      <c r="R414" t="inlineStr">
        <is>
          <t>nyu</t>
        </is>
      </c>
      <c r="T414" t="inlineStr">
        <is>
          <t xml:space="preserve">QP </t>
        </is>
      </c>
      <c r="U414" t="n">
        <v>2</v>
      </c>
      <c r="V414" t="n">
        <v>2</v>
      </c>
      <c r="W414" t="inlineStr">
        <is>
          <t>1994-10-13</t>
        </is>
      </c>
      <c r="X414" t="inlineStr">
        <is>
          <t>1994-10-13</t>
        </is>
      </c>
      <c r="Y414" t="inlineStr">
        <is>
          <t>1992-03-31</t>
        </is>
      </c>
      <c r="Z414" t="inlineStr">
        <is>
          <t>1992-03-31</t>
        </is>
      </c>
      <c r="AA414" t="n">
        <v>762</v>
      </c>
      <c r="AB414" t="n">
        <v>701</v>
      </c>
      <c r="AC414" t="n">
        <v>707</v>
      </c>
      <c r="AD414" t="n">
        <v>7</v>
      </c>
      <c r="AE414" t="n">
        <v>7</v>
      </c>
      <c r="AF414" t="n">
        <v>22</v>
      </c>
      <c r="AG414" t="n">
        <v>22</v>
      </c>
      <c r="AH414" t="n">
        <v>6</v>
      </c>
      <c r="AI414" t="n">
        <v>6</v>
      </c>
      <c r="AJ414" t="n">
        <v>4</v>
      </c>
      <c r="AK414" t="n">
        <v>4</v>
      </c>
      <c r="AL414" t="n">
        <v>11</v>
      </c>
      <c r="AM414" t="n">
        <v>11</v>
      </c>
      <c r="AN414" t="n">
        <v>4</v>
      </c>
      <c r="AO414" t="n">
        <v>4</v>
      </c>
      <c r="AP414" t="n">
        <v>0</v>
      </c>
      <c r="AQ414" t="n">
        <v>0</v>
      </c>
      <c r="AR414" t="inlineStr">
        <is>
          <t>No</t>
        </is>
      </c>
      <c r="AS414" t="inlineStr">
        <is>
          <t>Yes</t>
        </is>
      </c>
      <c r="AT414">
        <f>HYPERLINK("http://catalog.hathitrust.org/Record/000265751","HathiTrust Record")</f>
        <v/>
      </c>
      <c r="AU414">
        <f>HYPERLINK("https://creighton-primo.hosted.exlibrisgroup.com/primo-explore/search?tab=default_tab&amp;search_scope=EVERYTHING&amp;vid=01CRU&amp;lang=en_US&amp;offset=0&amp;query=any,contains,991005085709702656","Catalog Record")</f>
        <v/>
      </c>
      <c r="AV414">
        <f>HYPERLINK("http://www.worldcat.org/oclc/7196474","WorldCat Record")</f>
        <v/>
      </c>
      <c r="AW414" t="inlineStr">
        <is>
          <t>208269588:eng</t>
        </is>
      </c>
      <c r="AX414" t="inlineStr">
        <is>
          <t>7196474</t>
        </is>
      </c>
      <c r="AY414" t="inlineStr">
        <is>
          <t>991005085709702656</t>
        </is>
      </c>
      <c r="AZ414" t="inlineStr">
        <is>
          <t>991005085709702656</t>
        </is>
      </c>
      <c r="BA414" t="inlineStr">
        <is>
          <t>2255594670002656</t>
        </is>
      </c>
      <c r="BB414" t="inlineStr">
        <is>
          <t>BOOK</t>
        </is>
      </c>
      <c r="BD414" t="inlineStr">
        <is>
          <t>9780385153942</t>
        </is>
      </c>
      <c r="BE414" t="inlineStr">
        <is>
          <t>32285001031664</t>
        </is>
      </c>
      <c r="BF414" t="inlineStr">
        <is>
          <t>893625421</t>
        </is>
      </c>
    </row>
    <row r="415">
      <c r="B415" t="inlineStr">
        <is>
          <t>CURAL</t>
        </is>
      </c>
      <c r="C415" t="inlineStr">
        <is>
          <t>SHELVES</t>
        </is>
      </c>
      <c r="D415" t="inlineStr">
        <is>
          <t>QP376 .H79</t>
        </is>
      </c>
      <c r="E415" t="inlineStr">
        <is>
          <t>0                      QP 0376000H  79</t>
        </is>
      </c>
      <c r="F415" t="inlineStr">
        <is>
          <t>The Human brain / M. C. Wittrock ... [et al.].</t>
        </is>
      </c>
      <c r="H415" t="inlineStr">
        <is>
          <t>No</t>
        </is>
      </c>
      <c r="I415" t="inlineStr">
        <is>
          <t>1</t>
        </is>
      </c>
      <c r="J415" t="inlineStr">
        <is>
          <t>No</t>
        </is>
      </c>
      <c r="K415" t="inlineStr">
        <is>
          <t>No</t>
        </is>
      </c>
      <c r="L415" t="inlineStr">
        <is>
          <t>0</t>
        </is>
      </c>
      <c r="N415" t="inlineStr">
        <is>
          <t>Englewood Cliffs, N.J. : Prentice-Hall, c1977.</t>
        </is>
      </c>
      <c r="O415" t="inlineStr">
        <is>
          <t>1977</t>
        </is>
      </c>
      <c r="Q415" t="inlineStr">
        <is>
          <t>eng</t>
        </is>
      </c>
      <c r="R415" t="inlineStr">
        <is>
          <t>nju</t>
        </is>
      </c>
      <c r="S415" t="inlineStr">
        <is>
          <t>A Spectrum book</t>
        </is>
      </c>
      <c r="T415" t="inlineStr">
        <is>
          <t xml:space="preserve">QP </t>
        </is>
      </c>
      <c r="U415" t="n">
        <v>4</v>
      </c>
      <c r="V415" t="n">
        <v>4</v>
      </c>
      <c r="W415" t="inlineStr">
        <is>
          <t>1994-10-13</t>
        </is>
      </c>
      <c r="X415" t="inlineStr">
        <is>
          <t>1994-10-13</t>
        </is>
      </c>
      <c r="Y415" t="inlineStr">
        <is>
          <t>1992-04-01</t>
        </is>
      </c>
      <c r="Z415" t="inlineStr">
        <is>
          <t>1992-04-01</t>
        </is>
      </c>
      <c r="AA415" t="n">
        <v>544</v>
      </c>
      <c r="AB415" t="n">
        <v>443</v>
      </c>
      <c r="AC415" t="n">
        <v>451</v>
      </c>
      <c r="AD415" t="n">
        <v>5</v>
      </c>
      <c r="AE415" t="n">
        <v>5</v>
      </c>
      <c r="AF415" t="n">
        <v>16</v>
      </c>
      <c r="AG415" t="n">
        <v>16</v>
      </c>
      <c r="AH415" t="n">
        <v>6</v>
      </c>
      <c r="AI415" t="n">
        <v>6</v>
      </c>
      <c r="AJ415" t="n">
        <v>1</v>
      </c>
      <c r="AK415" t="n">
        <v>1</v>
      </c>
      <c r="AL415" t="n">
        <v>9</v>
      </c>
      <c r="AM415" t="n">
        <v>9</v>
      </c>
      <c r="AN415" t="n">
        <v>4</v>
      </c>
      <c r="AO415" t="n">
        <v>4</v>
      </c>
      <c r="AP415" t="n">
        <v>0</v>
      </c>
      <c r="AQ415" t="n">
        <v>0</v>
      </c>
      <c r="AR415" t="inlineStr">
        <is>
          <t>No</t>
        </is>
      </c>
      <c r="AS415" t="inlineStr">
        <is>
          <t>Yes</t>
        </is>
      </c>
      <c r="AT415">
        <f>HYPERLINK("http://catalog.hathitrust.org/Record/000213909","HathiTrust Record")</f>
        <v/>
      </c>
      <c r="AU415">
        <f>HYPERLINK("https://creighton-primo.hosted.exlibrisgroup.com/primo-explore/search?tab=default_tab&amp;search_scope=EVERYTHING&amp;vid=01CRU&amp;lang=en_US&amp;offset=0&amp;query=any,contains,991004298199702656","Catalog Record")</f>
        <v/>
      </c>
      <c r="AV415">
        <f>HYPERLINK("http://www.worldcat.org/oclc/2966610","WorldCat Record")</f>
        <v/>
      </c>
      <c r="AW415" t="inlineStr">
        <is>
          <t>54165130:eng</t>
        </is>
      </c>
      <c r="AX415" t="inlineStr">
        <is>
          <t>2966610</t>
        </is>
      </c>
      <c r="AY415" t="inlineStr">
        <is>
          <t>991004298199702656</t>
        </is>
      </c>
      <c r="AZ415" t="inlineStr">
        <is>
          <t>991004298199702656</t>
        </is>
      </c>
      <c r="BA415" t="inlineStr">
        <is>
          <t>2267177090002656</t>
        </is>
      </c>
      <c r="BB415" t="inlineStr">
        <is>
          <t>BOOK</t>
        </is>
      </c>
      <c r="BD415" t="inlineStr">
        <is>
          <t>9780134446615</t>
        </is>
      </c>
      <c r="BE415" t="inlineStr">
        <is>
          <t>32285001030716</t>
        </is>
      </c>
      <c r="BF415" t="inlineStr">
        <is>
          <t>893782082</t>
        </is>
      </c>
    </row>
    <row r="416">
      <c r="B416" t="inlineStr">
        <is>
          <t>CURAL</t>
        </is>
      </c>
      <c r="C416" t="inlineStr">
        <is>
          <t>SHELVES</t>
        </is>
      </c>
      <c r="D416" t="inlineStr">
        <is>
          <t>QP376 .J58</t>
        </is>
      </c>
      <c r="E416" t="inlineStr">
        <is>
          <t>0                      QP 0376000J  58</t>
        </is>
      </c>
      <c r="F416" t="inlineStr">
        <is>
          <t>Our fragile brains : a Christian perspective on brain research / D. Gareth Jones.</t>
        </is>
      </c>
      <c r="H416" t="inlineStr">
        <is>
          <t>No</t>
        </is>
      </c>
      <c r="I416" t="inlineStr">
        <is>
          <t>1</t>
        </is>
      </c>
      <c r="J416" t="inlineStr">
        <is>
          <t>Yes</t>
        </is>
      </c>
      <c r="K416" t="inlineStr">
        <is>
          <t>No</t>
        </is>
      </c>
      <c r="L416" t="inlineStr">
        <is>
          <t>0</t>
        </is>
      </c>
      <c r="M416" t="inlineStr">
        <is>
          <t>Jones, D. Gareth (David Gareth)</t>
        </is>
      </c>
      <c r="N416" t="inlineStr">
        <is>
          <t>Downers Grove, Ill. : Inter-Varsity Press, c1981.</t>
        </is>
      </c>
      <c r="O416" t="inlineStr">
        <is>
          <t>1981</t>
        </is>
      </c>
      <c r="Q416" t="inlineStr">
        <is>
          <t>eng</t>
        </is>
      </c>
      <c r="R416" t="inlineStr">
        <is>
          <t>ilu</t>
        </is>
      </c>
      <c r="T416" t="inlineStr">
        <is>
          <t xml:space="preserve">QP </t>
        </is>
      </c>
      <c r="U416" t="n">
        <v>2</v>
      </c>
      <c r="V416" t="n">
        <v>7</v>
      </c>
      <c r="W416" t="inlineStr">
        <is>
          <t>1994-02-18</t>
        </is>
      </c>
      <c r="X416" t="inlineStr">
        <is>
          <t>1994-02-18</t>
        </is>
      </c>
      <c r="Y416" t="inlineStr">
        <is>
          <t>1993-03-03</t>
        </is>
      </c>
      <c r="Z416" t="inlineStr">
        <is>
          <t>1993-03-03</t>
        </is>
      </c>
      <c r="AA416" t="n">
        <v>273</v>
      </c>
      <c r="AB416" t="n">
        <v>231</v>
      </c>
      <c r="AC416" t="n">
        <v>237</v>
      </c>
      <c r="AD416" t="n">
        <v>2</v>
      </c>
      <c r="AE416" t="n">
        <v>2</v>
      </c>
      <c r="AF416" t="n">
        <v>7</v>
      </c>
      <c r="AG416" t="n">
        <v>7</v>
      </c>
      <c r="AH416" t="n">
        <v>4</v>
      </c>
      <c r="AI416" t="n">
        <v>4</v>
      </c>
      <c r="AJ416" t="n">
        <v>0</v>
      </c>
      <c r="AK416" t="n">
        <v>0</v>
      </c>
      <c r="AL416" t="n">
        <v>5</v>
      </c>
      <c r="AM416" t="n">
        <v>5</v>
      </c>
      <c r="AN416" t="n">
        <v>0</v>
      </c>
      <c r="AO416" t="n">
        <v>0</v>
      </c>
      <c r="AP416" t="n">
        <v>0</v>
      </c>
      <c r="AQ416" t="n">
        <v>0</v>
      </c>
      <c r="AR416" t="inlineStr">
        <is>
          <t>No</t>
        </is>
      </c>
      <c r="AS416" t="inlineStr">
        <is>
          <t>Yes</t>
        </is>
      </c>
      <c r="AT416">
        <f>HYPERLINK("http://catalog.hathitrust.org/Record/006257567","HathiTrust Record")</f>
        <v/>
      </c>
      <c r="AU416">
        <f>HYPERLINK("https://creighton-primo.hosted.exlibrisgroup.com/primo-explore/search?tab=default_tab&amp;search_scope=EVERYTHING&amp;vid=01CRU&amp;lang=en_US&amp;offset=0&amp;query=any,contains,991001791149702656","Catalog Record")</f>
        <v/>
      </c>
      <c r="AV416">
        <f>HYPERLINK("http://www.worldcat.org/oclc/6604016","WorldCat Record")</f>
        <v/>
      </c>
      <c r="AW416" t="inlineStr">
        <is>
          <t>537110:eng</t>
        </is>
      </c>
      <c r="AX416" t="inlineStr">
        <is>
          <t>6604016</t>
        </is>
      </c>
      <c r="AY416" t="inlineStr">
        <is>
          <t>991001791149702656</t>
        </is>
      </c>
      <c r="AZ416" t="inlineStr">
        <is>
          <t>991001791149702656</t>
        </is>
      </c>
      <c r="BA416" t="inlineStr">
        <is>
          <t>2255431580002656</t>
        </is>
      </c>
      <c r="BB416" t="inlineStr">
        <is>
          <t>BOOK</t>
        </is>
      </c>
      <c r="BD416" t="inlineStr">
        <is>
          <t>9780877847922</t>
        </is>
      </c>
      <c r="BE416" t="inlineStr">
        <is>
          <t>32285001561843</t>
        </is>
      </c>
      <c r="BF416" t="inlineStr">
        <is>
          <t>893609147</t>
        </is>
      </c>
    </row>
    <row r="417">
      <c r="B417" t="inlineStr">
        <is>
          <t>CURAL</t>
        </is>
      </c>
      <c r="C417" t="inlineStr">
        <is>
          <t>SHELVES</t>
        </is>
      </c>
      <c r="D417" t="inlineStr">
        <is>
          <t>QP376 .K39 1981</t>
        </is>
      </c>
      <c r="E417" t="inlineStr">
        <is>
          <t>0                      QP 0376000K  39          1981</t>
        </is>
      </c>
      <c r="F417" t="inlineStr">
        <is>
          <t>The brains of men and machines / Ernest W. Kent.</t>
        </is>
      </c>
      <c r="H417" t="inlineStr">
        <is>
          <t>No</t>
        </is>
      </c>
      <c r="I417" t="inlineStr">
        <is>
          <t>1</t>
        </is>
      </c>
      <c r="J417" t="inlineStr">
        <is>
          <t>No</t>
        </is>
      </c>
      <c r="K417" t="inlineStr">
        <is>
          <t>No</t>
        </is>
      </c>
      <c r="L417" t="inlineStr">
        <is>
          <t>0</t>
        </is>
      </c>
      <c r="M417" t="inlineStr">
        <is>
          <t>Kent, Ernest W.</t>
        </is>
      </c>
      <c r="N417" t="inlineStr">
        <is>
          <t>Peterborough, NH : Byte Books, 1981.</t>
        </is>
      </c>
      <c r="O417" t="inlineStr">
        <is>
          <t>1980</t>
        </is>
      </c>
      <c r="Q417" t="inlineStr">
        <is>
          <t>eng</t>
        </is>
      </c>
      <c r="R417" t="inlineStr">
        <is>
          <t>nhu</t>
        </is>
      </c>
      <c r="T417" t="inlineStr">
        <is>
          <t xml:space="preserve">QP </t>
        </is>
      </c>
      <c r="U417" t="n">
        <v>1</v>
      </c>
      <c r="V417" t="n">
        <v>1</v>
      </c>
      <c r="W417" t="inlineStr">
        <is>
          <t>2006-09-27</t>
        </is>
      </c>
      <c r="X417" t="inlineStr">
        <is>
          <t>2006-09-27</t>
        </is>
      </c>
      <c r="Y417" t="inlineStr">
        <is>
          <t>1993-03-03</t>
        </is>
      </c>
      <c r="Z417" t="inlineStr">
        <is>
          <t>1993-03-03</t>
        </is>
      </c>
      <c r="AA417" t="n">
        <v>559</v>
      </c>
      <c r="AB417" t="n">
        <v>457</v>
      </c>
      <c r="AC417" t="n">
        <v>472</v>
      </c>
      <c r="AD417" t="n">
        <v>3</v>
      </c>
      <c r="AE417" t="n">
        <v>3</v>
      </c>
      <c r="AF417" t="n">
        <v>18</v>
      </c>
      <c r="AG417" t="n">
        <v>18</v>
      </c>
      <c r="AH417" t="n">
        <v>10</v>
      </c>
      <c r="AI417" t="n">
        <v>10</v>
      </c>
      <c r="AJ417" t="n">
        <v>2</v>
      </c>
      <c r="AK417" t="n">
        <v>2</v>
      </c>
      <c r="AL417" t="n">
        <v>9</v>
      </c>
      <c r="AM417" t="n">
        <v>9</v>
      </c>
      <c r="AN417" t="n">
        <v>2</v>
      </c>
      <c r="AO417" t="n">
        <v>2</v>
      </c>
      <c r="AP417" t="n">
        <v>0</v>
      </c>
      <c r="AQ417" t="n">
        <v>0</v>
      </c>
      <c r="AR417" t="inlineStr">
        <is>
          <t>No</t>
        </is>
      </c>
      <c r="AS417" t="inlineStr">
        <is>
          <t>Yes</t>
        </is>
      </c>
      <c r="AT417">
        <f>HYPERLINK("http://catalog.hathitrust.org/Record/000129073","HathiTrust Record")</f>
        <v/>
      </c>
      <c r="AU417">
        <f>HYPERLINK("https://creighton-primo.hosted.exlibrisgroup.com/primo-explore/search?tab=default_tab&amp;search_scope=EVERYTHING&amp;vid=01CRU&amp;lang=en_US&amp;offset=0&amp;query=any,contains,991004990129702656","Catalog Record")</f>
        <v/>
      </c>
      <c r="AV417">
        <f>HYPERLINK("http://www.worldcat.org/oclc/6486868","WorldCat Record")</f>
        <v/>
      </c>
      <c r="AW417" t="inlineStr">
        <is>
          <t>405653:eng</t>
        </is>
      </c>
      <c r="AX417" t="inlineStr">
        <is>
          <t>6486868</t>
        </is>
      </c>
      <c r="AY417" t="inlineStr">
        <is>
          <t>991004990129702656</t>
        </is>
      </c>
      <c r="AZ417" t="inlineStr">
        <is>
          <t>991004990129702656</t>
        </is>
      </c>
      <c r="BA417" t="inlineStr">
        <is>
          <t>2269600190002656</t>
        </is>
      </c>
      <c r="BB417" t="inlineStr">
        <is>
          <t>BOOK</t>
        </is>
      </c>
      <c r="BD417" t="inlineStr">
        <is>
          <t>9780070341234</t>
        </is>
      </c>
      <c r="BE417" t="inlineStr">
        <is>
          <t>32285001561850</t>
        </is>
      </c>
      <c r="BF417" t="inlineStr">
        <is>
          <t>893594321</t>
        </is>
      </c>
    </row>
    <row r="418">
      <c r="B418" t="inlineStr">
        <is>
          <t>CURAL</t>
        </is>
      </c>
      <c r="C418" t="inlineStr">
        <is>
          <t>SHELVES</t>
        </is>
      </c>
      <c r="D418" t="inlineStr">
        <is>
          <t>QP376 .L79</t>
        </is>
      </c>
      <c r="E418" t="inlineStr">
        <is>
          <t>0                      QP 0376000L  79</t>
        </is>
      </c>
      <c r="F418" t="inlineStr">
        <is>
          <t>Development and plasticity of the brain : an introduction / R. D. Lund. --</t>
        </is>
      </c>
      <c r="H418" t="inlineStr">
        <is>
          <t>No</t>
        </is>
      </c>
      <c r="I418" t="inlineStr">
        <is>
          <t>1</t>
        </is>
      </c>
      <c r="J418" t="inlineStr">
        <is>
          <t>No</t>
        </is>
      </c>
      <c r="K418" t="inlineStr">
        <is>
          <t>No</t>
        </is>
      </c>
      <c r="L418" t="inlineStr">
        <is>
          <t>0</t>
        </is>
      </c>
      <c r="M418" t="inlineStr">
        <is>
          <t>Lund, Raymond D.</t>
        </is>
      </c>
      <c r="N418" t="inlineStr">
        <is>
          <t>New York : Oxford University Press, 1978.</t>
        </is>
      </c>
      <c r="O418" t="inlineStr">
        <is>
          <t>1978</t>
        </is>
      </c>
      <c r="Q418" t="inlineStr">
        <is>
          <t>eng</t>
        </is>
      </c>
      <c r="R418" t="inlineStr">
        <is>
          <t>nyu</t>
        </is>
      </c>
      <c r="T418" t="inlineStr">
        <is>
          <t xml:space="preserve">QP </t>
        </is>
      </c>
      <c r="U418" t="n">
        <v>7</v>
      </c>
      <c r="V418" t="n">
        <v>7</v>
      </c>
      <c r="W418" t="inlineStr">
        <is>
          <t>2000-09-27</t>
        </is>
      </c>
      <c r="X418" t="inlineStr">
        <is>
          <t>2000-09-27</t>
        </is>
      </c>
      <c r="Y418" t="inlineStr">
        <is>
          <t>1993-03-03</t>
        </is>
      </c>
      <c r="Z418" t="inlineStr">
        <is>
          <t>1993-03-03</t>
        </is>
      </c>
      <c r="AA418" t="n">
        <v>440</v>
      </c>
      <c r="AB418" t="n">
        <v>332</v>
      </c>
      <c r="AC418" t="n">
        <v>339</v>
      </c>
      <c r="AD418" t="n">
        <v>1</v>
      </c>
      <c r="AE418" t="n">
        <v>1</v>
      </c>
      <c r="AF418" t="n">
        <v>14</v>
      </c>
      <c r="AG418" t="n">
        <v>14</v>
      </c>
      <c r="AH418" t="n">
        <v>5</v>
      </c>
      <c r="AI418" t="n">
        <v>5</v>
      </c>
      <c r="AJ418" t="n">
        <v>5</v>
      </c>
      <c r="AK418" t="n">
        <v>5</v>
      </c>
      <c r="AL418" t="n">
        <v>9</v>
      </c>
      <c r="AM418" t="n">
        <v>9</v>
      </c>
      <c r="AN418" t="n">
        <v>0</v>
      </c>
      <c r="AO418" t="n">
        <v>0</v>
      </c>
      <c r="AP418" t="n">
        <v>0</v>
      </c>
      <c r="AQ418" t="n">
        <v>0</v>
      </c>
      <c r="AR418" t="inlineStr">
        <is>
          <t>No</t>
        </is>
      </c>
      <c r="AS418" t="inlineStr">
        <is>
          <t>Yes</t>
        </is>
      </c>
      <c r="AT418">
        <f>HYPERLINK("http://catalog.hathitrust.org/Record/000089606","HathiTrust Record")</f>
        <v/>
      </c>
      <c r="AU418">
        <f>HYPERLINK("https://creighton-primo.hosted.exlibrisgroup.com/primo-explore/search?tab=default_tab&amp;search_scope=EVERYTHING&amp;vid=01CRU&amp;lang=en_US&amp;offset=0&amp;query=any,contains,991004459919702656","Catalog Record")</f>
        <v/>
      </c>
      <c r="AV418">
        <f>HYPERLINK("http://www.worldcat.org/oclc/3542629","WorldCat Record")</f>
        <v/>
      </c>
      <c r="AW418" t="inlineStr">
        <is>
          <t>11382876:eng</t>
        </is>
      </c>
      <c r="AX418" t="inlineStr">
        <is>
          <t>3542629</t>
        </is>
      </c>
      <c r="AY418" t="inlineStr">
        <is>
          <t>991004459919702656</t>
        </is>
      </c>
      <c r="AZ418" t="inlineStr">
        <is>
          <t>991004459919702656</t>
        </is>
      </c>
      <c r="BA418" t="inlineStr">
        <is>
          <t>2264813530002656</t>
        </is>
      </c>
      <c r="BB418" t="inlineStr">
        <is>
          <t>BOOK</t>
        </is>
      </c>
      <c r="BD418" t="inlineStr">
        <is>
          <t>9780195023077</t>
        </is>
      </c>
      <c r="BE418" t="inlineStr">
        <is>
          <t>32285001561876</t>
        </is>
      </c>
      <c r="BF418" t="inlineStr">
        <is>
          <t>893337751</t>
        </is>
      </c>
    </row>
    <row r="419">
      <c r="B419" t="inlineStr">
        <is>
          <t>CURAL</t>
        </is>
      </c>
      <c r="C419" t="inlineStr">
        <is>
          <t>SHELVES</t>
        </is>
      </c>
      <c r="D419" t="inlineStr">
        <is>
          <t>QP376 .M14</t>
        </is>
      </c>
      <c r="E419" t="inlineStr">
        <is>
          <t>0                      QP 0376000M  14</t>
        </is>
      </c>
      <c r="F419" t="inlineStr">
        <is>
          <t>Molecular neurobiology of the mammalian brain / Patrick L. McGeer, John C. Eccles, and Edith G. McGeer.</t>
        </is>
      </c>
      <c r="H419" t="inlineStr">
        <is>
          <t>No</t>
        </is>
      </c>
      <c r="I419" t="inlineStr">
        <is>
          <t>1</t>
        </is>
      </c>
      <c r="J419" t="inlineStr">
        <is>
          <t>Yes</t>
        </is>
      </c>
      <c r="K419" t="inlineStr">
        <is>
          <t>Yes</t>
        </is>
      </c>
      <c r="L419" t="inlineStr">
        <is>
          <t>0</t>
        </is>
      </c>
      <c r="M419" t="inlineStr">
        <is>
          <t>McGeer, Patrick L.</t>
        </is>
      </c>
      <c r="N419" t="inlineStr">
        <is>
          <t>New York : Plenum Press, c1978.</t>
        </is>
      </c>
      <c r="O419" t="inlineStr">
        <is>
          <t>1978</t>
        </is>
      </c>
      <c r="Q419" t="inlineStr">
        <is>
          <t>eng</t>
        </is>
      </c>
      <c r="R419" t="inlineStr">
        <is>
          <t>nyu</t>
        </is>
      </c>
      <c r="T419" t="inlineStr">
        <is>
          <t xml:space="preserve">QP </t>
        </is>
      </c>
      <c r="U419" t="n">
        <v>3</v>
      </c>
      <c r="V419" t="n">
        <v>3</v>
      </c>
      <c r="W419" t="inlineStr">
        <is>
          <t>1994-09-06</t>
        </is>
      </c>
      <c r="X419" t="inlineStr">
        <is>
          <t>1994-09-06</t>
        </is>
      </c>
      <c r="Y419" t="inlineStr">
        <is>
          <t>1993-03-03</t>
        </is>
      </c>
      <c r="Z419" t="inlineStr">
        <is>
          <t>1993-03-03</t>
        </is>
      </c>
      <c r="AA419" t="n">
        <v>388</v>
      </c>
      <c r="AB419" t="n">
        <v>276</v>
      </c>
      <c r="AC419" t="n">
        <v>410</v>
      </c>
      <c r="AD419" t="n">
        <v>5</v>
      </c>
      <c r="AE419" t="n">
        <v>5</v>
      </c>
      <c r="AF419" t="n">
        <v>11</v>
      </c>
      <c r="AG419" t="n">
        <v>18</v>
      </c>
      <c r="AH419" t="n">
        <v>2</v>
      </c>
      <c r="AI419" t="n">
        <v>6</v>
      </c>
      <c r="AJ419" t="n">
        <v>5</v>
      </c>
      <c r="AK419" t="n">
        <v>6</v>
      </c>
      <c r="AL419" t="n">
        <v>5</v>
      </c>
      <c r="AM419" t="n">
        <v>8</v>
      </c>
      <c r="AN419" t="n">
        <v>2</v>
      </c>
      <c r="AO419" t="n">
        <v>2</v>
      </c>
      <c r="AP419" t="n">
        <v>0</v>
      </c>
      <c r="AQ419" t="n">
        <v>0</v>
      </c>
      <c r="AR419" t="inlineStr">
        <is>
          <t>No</t>
        </is>
      </c>
      <c r="AS419" t="inlineStr">
        <is>
          <t>Yes</t>
        </is>
      </c>
      <c r="AT419">
        <f>HYPERLINK("http://catalog.hathitrust.org/Record/000180262","HathiTrust Record")</f>
        <v/>
      </c>
      <c r="AU419">
        <f>HYPERLINK("https://creighton-primo.hosted.exlibrisgroup.com/primo-explore/search?tab=default_tab&amp;search_scope=EVERYTHING&amp;vid=01CRU&amp;lang=en_US&amp;offset=0&amp;query=any,contains,991001791189702656","Catalog Record")</f>
        <v/>
      </c>
      <c r="AV419">
        <f>HYPERLINK("http://www.worldcat.org/oclc/4135357","WorldCat Record")</f>
        <v/>
      </c>
      <c r="AW419" t="inlineStr">
        <is>
          <t>8755480:eng</t>
        </is>
      </c>
      <c r="AX419" t="inlineStr">
        <is>
          <t>4135357</t>
        </is>
      </c>
      <c r="AY419" t="inlineStr">
        <is>
          <t>991001791189702656</t>
        </is>
      </c>
      <c r="AZ419" t="inlineStr">
        <is>
          <t>991001791189702656</t>
        </is>
      </c>
      <c r="BA419" t="inlineStr">
        <is>
          <t>2254903800002656</t>
        </is>
      </c>
      <c r="BB419" t="inlineStr">
        <is>
          <t>BOOK</t>
        </is>
      </c>
      <c r="BD419" t="inlineStr">
        <is>
          <t>9780306310959</t>
        </is>
      </c>
      <c r="BE419" t="inlineStr">
        <is>
          <t>32285001561884</t>
        </is>
      </c>
      <c r="BF419" t="inlineStr">
        <is>
          <t>893891845</t>
        </is>
      </c>
    </row>
    <row r="420">
      <c r="B420" t="inlineStr">
        <is>
          <t>CURAL</t>
        </is>
      </c>
      <c r="C420" t="inlineStr">
        <is>
          <t>SHELVES</t>
        </is>
      </c>
      <c r="D420" t="inlineStr">
        <is>
          <t>QP376 .M4815 1994</t>
        </is>
      </c>
      <c r="E420" t="inlineStr">
        <is>
          <t>0                      QP 0376000M  4815        1994</t>
        </is>
      </c>
      <c r="F420" t="inlineStr">
        <is>
          <t>The hostage brain / Bruce S. McEwen, Harold M. Schmeck, Jr.</t>
        </is>
      </c>
      <c r="H420" t="inlineStr">
        <is>
          <t>No</t>
        </is>
      </c>
      <c r="I420" t="inlineStr">
        <is>
          <t>1</t>
        </is>
      </c>
      <c r="J420" t="inlineStr">
        <is>
          <t>No</t>
        </is>
      </c>
      <c r="K420" t="inlineStr">
        <is>
          <t>No</t>
        </is>
      </c>
      <c r="L420" t="inlineStr">
        <is>
          <t>0</t>
        </is>
      </c>
      <c r="M420" t="inlineStr">
        <is>
          <t>McEwen, Bruce S.</t>
        </is>
      </c>
      <c r="N420" t="inlineStr">
        <is>
          <t>New York : Rockefeller University Press, c1994.</t>
        </is>
      </c>
      <c r="O420" t="inlineStr">
        <is>
          <t>1994</t>
        </is>
      </c>
      <c r="Q420" t="inlineStr">
        <is>
          <t>eng</t>
        </is>
      </c>
      <c r="R420" t="inlineStr">
        <is>
          <t>nyu</t>
        </is>
      </c>
      <c r="T420" t="inlineStr">
        <is>
          <t xml:space="preserve">QP </t>
        </is>
      </c>
      <c r="U420" t="n">
        <v>1</v>
      </c>
      <c r="V420" t="n">
        <v>1</v>
      </c>
      <c r="W420" t="inlineStr">
        <is>
          <t>1996-06-02</t>
        </is>
      </c>
      <c r="X420" t="inlineStr">
        <is>
          <t>1996-06-02</t>
        </is>
      </c>
      <c r="Y420" t="inlineStr">
        <is>
          <t>1996-05-09</t>
        </is>
      </c>
      <c r="Z420" t="inlineStr">
        <is>
          <t>1996-05-09</t>
        </is>
      </c>
      <c r="AA420" t="n">
        <v>181</v>
      </c>
      <c r="AB420" t="n">
        <v>156</v>
      </c>
      <c r="AC420" t="n">
        <v>162</v>
      </c>
      <c r="AD420" t="n">
        <v>2</v>
      </c>
      <c r="AE420" t="n">
        <v>2</v>
      </c>
      <c r="AF420" t="n">
        <v>6</v>
      </c>
      <c r="AG420" t="n">
        <v>6</v>
      </c>
      <c r="AH420" t="n">
        <v>2</v>
      </c>
      <c r="AI420" t="n">
        <v>2</v>
      </c>
      <c r="AJ420" t="n">
        <v>2</v>
      </c>
      <c r="AK420" t="n">
        <v>2</v>
      </c>
      <c r="AL420" t="n">
        <v>3</v>
      </c>
      <c r="AM420" t="n">
        <v>3</v>
      </c>
      <c r="AN420" t="n">
        <v>1</v>
      </c>
      <c r="AO420" t="n">
        <v>1</v>
      </c>
      <c r="AP420" t="n">
        <v>0</v>
      </c>
      <c r="AQ420" t="n">
        <v>0</v>
      </c>
      <c r="AR420" t="inlineStr">
        <is>
          <t>No</t>
        </is>
      </c>
      <c r="AS420" t="inlineStr">
        <is>
          <t>Yes</t>
        </is>
      </c>
      <c r="AT420">
        <f>HYPERLINK("http://catalog.hathitrust.org/Record/002938807","HathiTrust Record")</f>
        <v/>
      </c>
      <c r="AU420">
        <f>HYPERLINK("https://creighton-primo.hosted.exlibrisgroup.com/primo-explore/search?tab=default_tab&amp;search_scope=EVERYTHING&amp;vid=01CRU&amp;lang=en_US&amp;offset=0&amp;query=any,contains,991002442229702656","Catalog Record")</f>
        <v/>
      </c>
      <c r="AV420">
        <f>HYPERLINK("http://www.worldcat.org/oclc/31864059","WorldCat Record")</f>
        <v/>
      </c>
      <c r="AW420" t="inlineStr">
        <is>
          <t>1080716:eng</t>
        </is>
      </c>
      <c r="AX420" t="inlineStr">
        <is>
          <t>31864059</t>
        </is>
      </c>
      <c r="AY420" t="inlineStr">
        <is>
          <t>991002442229702656</t>
        </is>
      </c>
      <c r="AZ420" t="inlineStr">
        <is>
          <t>991002442229702656</t>
        </is>
      </c>
      <c r="BA420" t="inlineStr">
        <is>
          <t>2258646380002656</t>
        </is>
      </c>
      <c r="BB420" t="inlineStr">
        <is>
          <t>BOOK</t>
        </is>
      </c>
      <c r="BD420" t="inlineStr">
        <is>
          <t>9780874700541</t>
        </is>
      </c>
      <c r="BE420" t="inlineStr">
        <is>
          <t>32285002166170</t>
        </is>
      </c>
      <c r="BF420" t="inlineStr">
        <is>
          <t>893316814</t>
        </is>
      </c>
    </row>
    <row r="421">
      <c r="B421" t="inlineStr">
        <is>
          <t>CURAL</t>
        </is>
      </c>
      <c r="C421" t="inlineStr">
        <is>
          <t>SHELVES</t>
        </is>
      </c>
      <c r="D421" t="inlineStr">
        <is>
          <t>QP376 .M525</t>
        </is>
      </c>
      <c r="E421" t="inlineStr">
        <is>
          <t>0                      QP 0376000M  525</t>
        </is>
      </c>
      <c r="F421" t="inlineStr">
        <is>
          <t>The chemistry of human behavior / Herbert L. Meltzer ; ill. by Francesca de Majo.</t>
        </is>
      </c>
      <c r="H421" t="inlineStr">
        <is>
          <t>No</t>
        </is>
      </c>
      <c r="I421" t="inlineStr">
        <is>
          <t>1</t>
        </is>
      </c>
      <c r="J421" t="inlineStr">
        <is>
          <t>No</t>
        </is>
      </c>
      <c r="K421" t="inlineStr">
        <is>
          <t>No</t>
        </is>
      </c>
      <c r="L421" t="inlineStr">
        <is>
          <t>0</t>
        </is>
      </c>
      <c r="M421" t="inlineStr">
        <is>
          <t>Meltzer, Herbert L., 1921-</t>
        </is>
      </c>
      <c r="N421" t="inlineStr">
        <is>
          <t>Chicago : Nelson-Hall, c1979.</t>
        </is>
      </c>
      <c r="O421" t="inlineStr">
        <is>
          <t>1979</t>
        </is>
      </c>
      <c r="Q421" t="inlineStr">
        <is>
          <t>eng</t>
        </is>
      </c>
      <c r="R421" t="inlineStr">
        <is>
          <t>ilu</t>
        </is>
      </c>
      <c r="T421" t="inlineStr">
        <is>
          <t xml:space="preserve">QP </t>
        </is>
      </c>
      <c r="U421" t="n">
        <v>9</v>
      </c>
      <c r="V421" t="n">
        <v>9</v>
      </c>
      <c r="W421" t="inlineStr">
        <is>
          <t>2004-03-30</t>
        </is>
      </c>
      <c r="X421" t="inlineStr">
        <is>
          <t>2004-03-30</t>
        </is>
      </c>
      <c r="Y421" t="inlineStr">
        <is>
          <t>1993-03-03</t>
        </is>
      </c>
      <c r="Z421" t="inlineStr">
        <is>
          <t>1993-03-03</t>
        </is>
      </c>
      <c r="AA421" t="n">
        <v>509</v>
      </c>
      <c r="AB421" t="n">
        <v>468</v>
      </c>
      <c r="AC421" t="n">
        <v>482</v>
      </c>
      <c r="AD421" t="n">
        <v>2</v>
      </c>
      <c r="AE421" t="n">
        <v>2</v>
      </c>
      <c r="AF421" t="n">
        <v>14</v>
      </c>
      <c r="AG421" t="n">
        <v>14</v>
      </c>
      <c r="AH421" t="n">
        <v>5</v>
      </c>
      <c r="AI421" t="n">
        <v>5</v>
      </c>
      <c r="AJ421" t="n">
        <v>3</v>
      </c>
      <c r="AK421" t="n">
        <v>3</v>
      </c>
      <c r="AL421" t="n">
        <v>7</v>
      </c>
      <c r="AM421" t="n">
        <v>7</v>
      </c>
      <c r="AN421" t="n">
        <v>1</v>
      </c>
      <c r="AO421" t="n">
        <v>1</v>
      </c>
      <c r="AP421" t="n">
        <v>0</v>
      </c>
      <c r="AQ421" t="n">
        <v>0</v>
      </c>
      <c r="AR421" t="inlineStr">
        <is>
          <t>No</t>
        </is>
      </c>
      <c r="AS421" t="inlineStr">
        <is>
          <t>Yes</t>
        </is>
      </c>
      <c r="AT421">
        <f>HYPERLINK("http://catalog.hathitrust.org/Record/000089668","HathiTrust Record")</f>
        <v/>
      </c>
      <c r="AU421">
        <f>HYPERLINK("https://creighton-primo.hosted.exlibrisgroup.com/primo-explore/search?tab=default_tab&amp;search_scope=EVERYTHING&amp;vid=01CRU&amp;lang=en_US&amp;offset=0&amp;query=any,contains,991004460499702656","Catalog Record")</f>
        <v/>
      </c>
      <c r="AV421">
        <f>HYPERLINK("http://www.worldcat.org/oclc/3543027","WorldCat Record")</f>
        <v/>
      </c>
      <c r="AW421" t="inlineStr">
        <is>
          <t>541212:eng</t>
        </is>
      </c>
      <c r="AX421" t="inlineStr">
        <is>
          <t>3543027</t>
        </is>
      </c>
      <c r="AY421" t="inlineStr">
        <is>
          <t>991004460499702656</t>
        </is>
      </c>
      <c r="AZ421" t="inlineStr">
        <is>
          <t>991004460499702656</t>
        </is>
      </c>
      <c r="BA421" t="inlineStr">
        <is>
          <t>2265027460002656</t>
        </is>
      </c>
      <c r="BB421" t="inlineStr">
        <is>
          <t>BOOK</t>
        </is>
      </c>
      <c r="BD421" t="inlineStr">
        <is>
          <t>9780882291772</t>
        </is>
      </c>
      <c r="BE421" t="inlineStr">
        <is>
          <t>32285001561892</t>
        </is>
      </c>
      <c r="BF421" t="inlineStr">
        <is>
          <t>893612376</t>
        </is>
      </c>
    </row>
    <row r="422">
      <c r="B422" t="inlineStr">
        <is>
          <t>CURAL</t>
        </is>
      </c>
      <c r="C422" t="inlineStr">
        <is>
          <t>SHELVES</t>
        </is>
      </c>
      <c r="D422" t="inlineStr">
        <is>
          <t>QP376 .M583 1989</t>
        </is>
      </c>
      <c r="E422" t="inlineStr">
        <is>
          <t>0                      QP 0376000M  583         1989</t>
        </is>
      </c>
      <c r="F422" t="inlineStr">
        <is>
          <t>Models of brain function / edited by Rodney M.J. Cotterill.</t>
        </is>
      </c>
      <c r="H422" t="inlineStr">
        <is>
          <t>No</t>
        </is>
      </c>
      <c r="I422" t="inlineStr">
        <is>
          <t>1</t>
        </is>
      </c>
      <c r="J422" t="inlineStr">
        <is>
          <t>No</t>
        </is>
      </c>
      <c r="K422" t="inlineStr">
        <is>
          <t>No</t>
        </is>
      </c>
      <c r="L422" t="inlineStr">
        <is>
          <t>0</t>
        </is>
      </c>
      <c r="N422" t="inlineStr">
        <is>
          <t>Cambridge ; New York : Cambridge University Press, 1989.</t>
        </is>
      </c>
      <c r="O422" t="inlineStr">
        <is>
          <t>1989</t>
        </is>
      </c>
      <c r="Q422" t="inlineStr">
        <is>
          <t>eng</t>
        </is>
      </c>
      <c r="R422" t="inlineStr">
        <is>
          <t>enk</t>
        </is>
      </c>
      <c r="T422" t="inlineStr">
        <is>
          <t xml:space="preserve">QP </t>
        </is>
      </c>
      <c r="U422" t="n">
        <v>4</v>
      </c>
      <c r="V422" t="n">
        <v>4</v>
      </c>
      <c r="W422" t="inlineStr">
        <is>
          <t>1994-08-26</t>
        </is>
      </c>
      <c r="X422" t="inlineStr">
        <is>
          <t>1994-08-26</t>
        </is>
      </c>
      <c r="Y422" t="inlineStr">
        <is>
          <t>1990-12-04</t>
        </is>
      </c>
      <c r="Z422" t="inlineStr">
        <is>
          <t>1990-12-04</t>
        </is>
      </c>
      <c r="AA422" t="n">
        <v>199</v>
      </c>
      <c r="AB422" t="n">
        <v>129</v>
      </c>
      <c r="AC422" t="n">
        <v>129</v>
      </c>
      <c r="AD422" t="n">
        <v>3</v>
      </c>
      <c r="AE422" t="n">
        <v>3</v>
      </c>
      <c r="AF422" t="n">
        <v>4</v>
      </c>
      <c r="AG422" t="n">
        <v>4</v>
      </c>
      <c r="AH422" t="n">
        <v>0</v>
      </c>
      <c r="AI422" t="n">
        <v>0</v>
      </c>
      <c r="AJ422" t="n">
        <v>2</v>
      </c>
      <c r="AK422" t="n">
        <v>2</v>
      </c>
      <c r="AL422" t="n">
        <v>2</v>
      </c>
      <c r="AM422" t="n">
        <v>2</v>
      </c>
      <c r="AN422" t="n">
        <v>2</v>
      </c>
      <c r="AO422" t="n">
        <v>2</v>
      </c>
      <c r="AP422" t="n">
        <v>0</v>
      </c>
      <c r="AQ422" t="n">
        <v>0</v>
      </c>
      <c r="AR422" t="inlineStr">
        <is>
          <t>No</t>
        </is>
      </c>
      <c r="AS422" t="inlineStr">
        <is>
          <t>No</t>
        </is>
      </c>
      <c r="AU422">
        <f>HYPERLINK("https://creighton-primo.hosted.exlibrisgroup.com/primo-explore/search?tab=default_tab&amp;search_scope=EVERYTHING&amp;vid=01CRU&amp;lang=en_US&amp;offset=0&amp;query=any,contains,991001580819702656","Catalog Record")</f>
        <v/>
      </c>
      <c r="AV422">
        <f>HYPERLINK("http://www.worldcat.org/oclc/20489684","WorldCat Record")</f>
        <v/>
      </c>
      <c r="AW422" t="inlineStr">
        <is>
          <t>22620161:eng</t>
        </is>
      </c>
      <c r="AX422" t="inlineStr">
        <is>
          <t>20489684</t>
        </is>
      </c>
      <c r="AY422" t="inlineStr">
        <is>
          <t>991001580819702656</t>
        </is>
      </c>
      <c r="AZ422" t="inlineStr">
        <is>
          <t>991001580819702656</t>
        </is>
      </c>
      <c r="BA422" t="inlineStr">
        <is>
          <t>2269702570002656</t>
        </is>
      </c>
      <c r="BB422" t="inlineStr">
        <is>
          <t>BOOK</t>
        </is>
      </c>
      <c r="BD422" t="inlineStr">
        <is>
          <t>9780521385039</t>
        </is>
      </c>
      <c r="BE422" t="inlineStr">
        <is>
          <t>32285000357870</t>
        </is>
      </c>
      <c r="BF422" t="inlineStr">
        <is>
          <t>893897883</t>
        </is>
      </c>
    </row>
    <row r="423">
      <c r="B423" t="inlineStr">
        <is>
          <t>CURAL</t>
        </is>
      </c>
      <c r="C423" t="inlineStr">
        <is>
          <t>SHELVES</t>
        </is>
      </c>
      <c r="D423" t="inlineStr">
        <is>
          <t>QP376 .N85</t>
        </is>
      </c>
      <c r="E423" t="inlineStr">
        <is>
          <t>0                      QP 0376000N  85</t>
        </is>
      </c>
      <c r="F423" t="inlineStr">
        <is>
          <t>Electric fields of the brain : the neurophysics of EEG / Paul L. Nunez ; with contributions by Ron D. Katznelson.</t>
        </is>
      </c>
      <c r="H423" t="inlineStr">
        <is>
          <t>No</t>
        </is>
      </c>
      <c r="I423" t="inlineStr">
        <is>
          <t>1</t>
        </is>
      </c>
      <c r="J423" t="inlineStr">
        <is>
          <t>No</t>
        </is>
      </c>
      <c r="K423" t="inlineStr">
        <is>
          <t>No</t>
        </is>
      </c>
      <c r="L423" t="inlineStr">
        <is>
          <t>0</t>
        </is>
      </c>
      <c r="M423" t="inlineStr">
        <is>
          <t>Nunez, Paul L.</t>
        </is>
      </c>
      <c r="N423" t="inlineStr">
        <is>
          <t>New York : Oxford University Press, 1981.</t>
        </is>
      </c>
      <c r="O423" t="inlineStr">
        <is>
          <t>1981</t>
        </is>
      </c>
      <c r="Q423" t="inlineStr">
        <is>
          <t>eng</t>
        </is>
      </c>
      <c r="R423" t="inlineStr">
        <is>
          <t>nyu</t>
        </is>
      </c>
      <c r="T423" t="inlineStr">
        <is>
          <t xml:space="preserve">QP </t>
        </is>
      </c>
      <c r="U423" t="n">
        <v>2</v>
      </c>
      <c r="V423" t="n">
        <v>2</v>
      </c>
      <c r="W423" t="inlineStr">
        <is>
          <t>1994-04-05</t>
        </is>
      </c>
      <c r="X423" t="inlineStr">
        <is>
          <t>1994-04-05</t>
        </is>
      </c>
      <c r="Y423" t="inlineStr">
        <is>
          <t>1993-03-03</t>
        </is>
      </c>
      <c r="Z423" t="inlineStr">
        <is>
          <t>1993-03-03</t>
        </is>
      </c>
      <c r="AA423" t="n">
        <v>308</v>
      </c>
      <c r="AB423" t="n">
        <v>239</v>
      </c>
      <c r="AC423" t="n">
        <v>383</v>
      </c>
      <c r="AD423" t="n">
        <v>2</v>
      </c>
      <c r="AE423" t="n">
        <v>2</v>
      </c>
      <c r="AF423" t="n">
        <v>5</v>
      </c>
      <c r="AG423" t="n">
        <v>14</v>
      </c>
      <c r="AH423" t="n">
        <v>4</v>
      </c>
      <c r="AI423" t="n">
        <v>5</v>
      </c>
      <c r="AJ423" t="n">
        <v>0</v>
      </c>
      <c r="AK423" t="n">
        <v>6</v>
      </c>
      <c r="AL423" t="n">
        <v>0</v>
      </c>
      <c r="AM423" t="n">
        <v>4</v>
      </c>
      <c r="AN423" t="n">
        <v>1</v>
      </c>
      <c r="AO423" t="n">
        <v>1</v>
      </c>
      <c r="AP423" t="n">
        <v>0</v>
      </c>
      <c r="AQ423" t="n">
        <v>0</v>
      </c>
      <c r="AR423" t="inlineStr">
        <is>
          <t>No</t>
        </is>
      </c>
      <c r="AS423" t="inlineStr">
        <is>
          <t>Yes</t>
        </is>
      </c>
      <c r="AT423">
        <f>HYPERLINK("http://catalog.hathitrust.org/Record/000492312","HathiTrust Record")</f>
        <v/>
      </c>
      <c r="AU423">
        <f>HYPERLINK("https://creighton-primo.hosted.exlibrisgroup.com/primo-explore/search?tab=default_tab&amp;search_scope=EVERYTHING&amp;vid=01CRU&amp;lang=en_US&amp;offset=0&amp;query=any,contains,991004991089702656","Catalog Record")</f>
        <v/>
      </c>
      <c r="AV423">
        <f>HYPERLINK("http://www.worldcat.org/oclc/6487345","WorldCat Record")</f>
        <v/>
      </c>
      <c r="AW423" t="inlineStr">
        <is>
          <t>596704:eng</t>
        </is>
      </c>
      <c r="AX423" t="inlineStr">
        <is>
          <t>6487345</t>
        </is>
      </c>
      <c r="AY423" t="inlineStr">
        <is>
          <t>991004991089702656</t>
        </is>
      </c>
      <c r="AZ423" t="inlineStr">
        <is>
          <t>991004991089702656</t>
        </is>
      </c>
      <c r="BA423" t="inlineStr">
        <is>
          <t>2271821700002656</t>
        </is>
      </c>
      <c r="BB423" t="inlineStr">
        <is>
          <t>BOOK</t>
        </is>
      </c>
      <c r="BD423" t="inlineStr">
        <is>
          <t>9780195027969</t>
        </is>
      </c>
      <c r="BE423" t="inlineStr">
        <is>
          <t>32285001561900</t>
        </is>
      </c>
      <c r="BF423" t="inlineStr">
        <is>
          <t>893901965</t>
        </is>
      </c>
    </row>
    <row r="424">
      <c r="B424" t="inlineStr">
        <is>
          <t>CURAL</t>
        </is>
      </c>
      <c r="C424" t="inlineStr">
        <is>
          <t>SHELVES</t>
        </is>
      </c>
      <c r="D424" t="inlineStr">
        <is>
          <t>QP376 .N86 v...</t>
        </is>
      </c>
      <c r="E424" t="inlineStr">
        <is>
          <t>0                      QP 0376000N  86                                                      v...</t>
        </is>
      </c>
      <c r="F424" t="inlineStr">
        <is>
          <t>Nutrition and the brain / editors, Richard J. Wurtman, Judith J. Wurtman.</t>
        </is>
      </c>
      <c r="G424" t="inlineStr">
        <is>
          <t>V.3</t>
        </is>
      </c>
      <c r="H424" t="inlineStr">
        <is>
          <t>No</t>
        </is>
      </c>
      <c r="I424" t="inlineStr">
        <is>
          <t>1</t>
        </is>
      </c>
      <c r="J424" t="inlineStr">
        <is>
          <t>No</t>
        </is>
      </c>
      <c r="K424" t="inlineStr">
        <is>
          <t>No</t>
        </is>
      </c>
      <c r="L424" t="inlineStr">
        <is>
          <t>0</t>
        </is>
      </c>
      <c r="N424" t="inlineStr">
        <is>
          <t>New York : Raven Press, c1977-</t>
        </is>
      </c>
      <c r="O424" t="inlineStr">
        <is>
          <t>1977</t>
        </is>
      </c>
      <c r="Q424" t="inlineStr">
        <is>
          <t>eng</t>
        </is>
      </c>
      <c r="R424" t="inlineStr">
        <is>
          <t>nyu</t>
        </is>
      </c>
      <c r="T424" t="inlineStr">
        <is>
          <t xml:space="preserve">QP </t>
        </is>
      </c>
      <c r="U424" t="n">
        <v>15</v>
      </c>
      <c r="V424" t="n">
        <v>15</v>
      </c>
      <c r="W424" t="inlineStr">
        <is>
          <t>2000-04-09</t>
        </is>
      </c>
      <c r="X424" t="inlineStr">
        <is>
          <t>2000-04-09</t>
        </is>
      </c>
      <c r="Y424" t="inlineStr">
        <is>
          <t>1990-04-04</t>
        </is>
      </c>
      <c r="Z424" t="inlineStr">
        <is>
          <t>1990-04-04</t>
        </is>
      </c>
      <c r="AA424" t="n">
        <v>203</v>
      </c>
      <c r="AB424" t="n">
        <v>178</v>
      </c>
      <c r="AC424" t="n">
        <v>180</v>
      </c>
      <c r="AD424" t="n">
        <v>2</v>
      </c>
      <c r="AE424" t="n">
        <v>2</v>
      </c>
      <c r="AF424" t="n">
        <v>2</v>
      </c>
      <c r="AG424" t="n">
        <v>2</v>
      </c>
      <c r="AH424" t="n">
        <v>0</v>
      </c>
      <c r="AI424" t="n">
        <v>0</v>
      </c>
      <c r="AJ424" t="n">
        <v>0</v>
      </c>
      <c r="AK424" t="n">
        <v>0</v>
      </c>
      <c r="AL424" t="n">
        <v>1</v>
      </c>
      <c r="AM424" t="n">
        <v>1</v>
      </c>
      <c r="AN424" t="n">
        <v>1</v>
      </c>
      <c r="AO424" t="n">
        <v>1</v>
      </c>
      <c r="AP424" t="n">
        <v>0</v>
      </c>
      <c r="AQ424" t="n">
        <v>0</v>
      </c>
      <c r="AR424" t="inlineStr">
        <is>
          <t>No</t>
        </is>
      </c>
      <c r="AS424" t="inlineStr">
        <is>
          <t>No</t>
        </is>
      </c>
      <c r="AU424">
        <f>HYPERLINK("https://creighton-primo.hosted.exlibrisgroup.com/primo-explore/search?tab=default_tab&amp;search_scope=EVERYTHING&amp;vid=01CRU&amp;lang=en_US&amp;offset=0&amp;query=any,contains,991004333589702656","Catalog Record")</f>
        <v/>
      </c>
      <c r="AV424">
        <f>HYPERLINK("http://www.worldcat.org/oclc/3263126","WorldCat Record")</f>
        <v/>
      </c>
      <c r="AW424" t="inlineStr">
        <is>
          <t>54181798:eng</t>
        </is>
      </c>
      <c r="AX424" t="inlineStr">
        <is>
          <t>3263126</t>
        </is>
      </c>
      <c r="AY424" t="inlineStr">
        <is>
          <t>991004333589702656</t>
        </is>
      </c>
      <c r="AZ424" t="inlineStr">
        <is>
          <t>991004333589702656</t>
        </is>
      </c>
      <c r="BA424" t="inlineStr">
        <is>
          <t>2268400410002656</t>
        </is>
      </c>
      <c r="BB424" t="inlineStr">
        <is>
          <t>BOOK</t>
        </is>
      </c>
      <c r="BD424" t="inlineStr">
        <is>
          <t>9780890040454</t>
        </is>
      </c>
      <c r="BE424" t="inlineStr">
        <is>
          <t>32285000110261</t>
        </is>
      </c>
      <c r="BF424" t="inlineStr">
        <is>
          <t>893331462</t>
        </is>
      </c>
    </row>
    <row r="425">
      <c r="B425" t="inlineStr">
        <is>
          <t>CURAL</t>
        </is>
      </c>
      <c r="C425" t="inlineStr">
        <is>
          <t>SHELVES</t>
        </is>
      </c>
      <c r="D425" t="inlineStr">
        <is>
          <t>QP376 .O76 1986</t>
        </is>
      </c>
      <c r="E425" t="inlineStr">
        <is>
          <t>0                      QP 0376000O  76          1986</t>
        </is>
      </c>
      <c r="F425" t="inlineStr">
        <is>
          <t>The amazing brain / Robert Ornstein and Richard F. Thompson ; illustrated by David Macaulay.</t>
        </is>
      </c>
      <c r="H425" t="inlineStr">
        <is>
          <t>No</t>
        </is>
      </c>
      <c r="I425" t="inlineStr">
        <is>
          <t>1</t>
        </is>
      </c>
      <c r="J425" t="inlineStr">
        <is>
          <t>No</t>
        </is>
      </c>
      <c r="K425" t="inlineStr">
        <is>
          <t>No</t>
        </is>
      </c>
      <c r="L425" t="inlineStr">
        <is>
          <t>0</t>
        </is>
      </c>
      <c r="M425" t="inlineStr">
        <is>
          <t>Ornstein, Robert E. (Robert Evan), 1942-</t>
        </is>
      </c>
      <c r="N425" t="inlineStr">
        <is>
          <t>Boston : Houghton Mifflin, 1986, c1984.</t>
        </is>
      </c>
      <c r="O425" t="inlineStr">
        <is>
          <t>1986</t>
        </is>
      </c>
      <c r="Q425" t="inlineStr">
        <is>
          <t>eng</t>
        </is>
      </c>
      <c r="R425" t="inlineStr">
        <is>
          <t>mau</t>
        </is>
      </c>
      <c r="T425" t="inlineStr">
        <is>
          <t xml:space="preserve">QP </t>
        </is>
      </c>
      <c r="U425" t="n">
        <v>17</v>
      </c>
      <c r="V425" t="n">
        <v>17</v>
      </c>
      <c r="W425" t="inlineStr">
        <is>
          <t>2008-11-18</t>
        </is>
      </c>
      <c r="X425" t="inlineStr">
        <is>
          <t>2008-11-18</t>
        </is>
      </c>
      <c r="Y425" t="inlineStr">
        <is>
          <t>1992-03-10</t>
        </is>
      </c>
      <c r="Z425" t="inlineStr">
        <is>
          <t>1992-03-10</t>
        </is>
      </c>
      <c r="AA425" t="n">
        <v>226</v>
      </c>
      <c r="AB425" t="n">
        <v>216</v>
      </c>
      <c r="AC425" t="n">
        <v>1286</v>
      </c>
      <c r="AD425" t="n">
        <v>3</v>
      </c>
      <c r="AE425" t="n">
        <v>7</v>
      </c>
      <c r="AF425" t="n">
        <v>5</v>
      </c>
      <c r="AG425" t="n">
        <v>33</v>
      </c>
      <c r="AH425" t="n">
        <v>1</v>
      </c>
      <c r="AI425" t="n">
        <v>16</v>
      </c>
      <c r="AJ425" t="n">
        <v>0</v>
      </c>
      <c r="AK425" t="n">
        <v>5</v>
      </c>
      <c r="AL425" t="n">
        <v>2</v>
      </c>
      <c r="AM425" t="n">
        <v>15</v>
      </c>
      <c r="AN425" t="n">
        <v>2</v>
      </c>
      <c r="AO425" t="n">
        <v>4</v>
      </c>
      <c r="AP425" t="n">
        <v>0</v>
      </c>
      <c r="AQ425" t="n">
        <v>0</v>
      </c>
      <c r="AR425" t="inlineStr">
        <is>
          <t>No</t>
        </is>
      </c>
      <c r="AS425" t="inlineStr">
        <is>
          <t>No</t>
        </is>
      </c>
      <c r="AU425">
        <f>HYPERLINK("https://creighton-primo.hosted.exlibrisgroup.com/primo-explore/search?tab=default_tab&amp;search_scope=EVERYTHING&amp;vid=01CRU&amp;lang=en_US&amp;offset=0&amp;query=any,contains,991000824429702656","Catalog Record")</f>
        <v/>
      </c>
      <c r="AV425">
        <f>HYPERLINK("http://www.worldcat.org/oclc/25784014","WorldCat Record")</f>
        <v/>
      </c>
      <c r="AW425" t="inlineStr">
        <is>
          <t>3655949:eng</t>
        </is>
      </c>
      <c r="AX425" t="inlineStr">
        <is>
          <t>25784014</t>
        </is>
      </c>
      <c r="AY425" t="inlineStr">
        <is>
          <t>991000824429702656</t>
        </is>
      </c>
      <c r="AZ425" t="inlineStr">
        <is>
          <t>991000824429702656</t>
        </is>
      </c>
      <c r="BA425" t="inlineStr">
        <is>
          <t>2272806590002656</t>
        </is>
      </c>
      <c r="BB425" t="inlineStr">
        <is>
          <t>BOOK</t>
        </is>
      </c>
      <c r="BD425" t="inlineStr">
        <is>
          <t>9780395408001</t>
        </is>
      </c>
      <c r="BE425" t="inlineStr">
        <is>
          <t>32285000995596</t>
        </is>
      </c>
      <c r="BF425" t="inlineStr">
        <is>
          <t>893225345</t>
        </is>
      </c>
    </row>
    <row r="426">
      <c r="B426" t="inlineStr">
        <is>
          <t>CURAL</t>
        </is>
      </c>
      <c r="C426" t="inlineStr">
        <is>
          <t>SHELVES</t>
        </is>
      </c>
      <c r="D426" t="inlineStr">
        <is>
          <t>QP376 .R47</t>
        </is>
      </c>
      <c r="E426" t="inlineStr">
        <is>
          <t>0                      QP 0376000R  47</t>
        </is>
      </c>
      <c r="F426" t="inlineStr">
        <is>
          <t>The brain : the last frontier / Richard M. Restak.</t>
        </is>
      </c>
      <c r="H426" t="inlineStr">
        <is>
          <t>No</t>
        </is>
      </c>
      <c r="I426" t="inlineStr">
        <is>
          <t>1</t>
        </is>
      </c>
      <c r="J426" t="inlineStr">
        <is>
          <t>No</t>
        </is>
      </c>
      <c r="K426" t="inlineStr">
        <is>
          <t>Yes</t>
        </is>
      </c>
      <c r="L426" t="inlineStr">
        <is>
          <t>0</t>
        </is>
      </c>
      <c r="M426" t="inlineStr">
        <is>
          <t>Restak, Richard, 1942-</t>
        </is>
      </c>
      <c r="N426" t="inlineStr">
        <is>
          <t>Garden City, N.Y. : Doubleday, 1979.</t>
        </is>
      </c>
      <c r="O426" t="inlineStr">
        <is>
          <t>1979</t>
        </is>
      </c>
      <c r="P426" t="inlineStr">
        <is>
          <t>1st ed.</t>
        </is>
      </c>
      <c r="Q426" t="inlineStr">
        <is>
          <t>eng</t>
        </is>
      </c>
      <c r="R426" t="inlineStr">
        <is>
          <t>nyu</t>
        </is>
      </c>
      <c r="T426" t="inlineStr">
        <is>
          <t xml:space="preserve">QP </t>
        </is>
      </c>
      <c r="U426" t="n">
        <v>11</v>
      </c>
      <c r="V426" t="n">
        <v>11</v>
      </c>
      <c r="W426" t="inlineStr">
        <is>
          <t>2004-03-30</t>
        </is>
      </c>
      <c r="X426" t="inlineStr">
        <is>
          <t>2004-03-30</t>
        </is>
      </c>
      <c r="Y426" t="inlineStr">
        <is>
          <t>1990-06-01</t>
        </is>
      </c>
      <c r="Z426" t="inlineStr">
        <is>
          <t>1990-06-01</t>
        </is>
      </c>
      <c r="AA426" t="n">
        <v>994</v>
      </c>
      <c r="AB426" t="n">
        <v>916</v>
      </c>
      <c r="AC426" t="n">
        <v>2034</v>
      </c>
      <c r="AD426" t="n">
        <v>10</v>
      </c>
      <c r="AE426" t="n">
        <v>15</v>
      </c>
      <c r="AF426" t="n">
        <v>31</v>
      </c>
      <c r="AG426" t="n">
        <v>49</v>
      </c>
      <c r="AH426" t="n">
        <v>10</v>
      </c>
      <c r="AI426" t="n">
        <v>19</v>
      </c>
      <c r="AJ426" t="n">
        <v>4</v>
      </c>
      <c r="AK426" t="n">
        <v>8</v>
      </c>
      <c r="AL426" t="n">
        <v>16</v>
      </c>
      <c r="AM426" t="n">
        <v>21</v>
      </c>
      <c r="AN426" t="n">
        <v>7</v>
      </c>
      <c r="AO426" t="n">
        <v>9</v>
      </c>
      <c r="AP426" t="n">
        <v>0</v>
      </c>
      <c r="AQ426" t="n">
        <v>1</v>
      </c>
      <c r="AR426" t="inlineStr">
        <is>
          <t>No</t>
        </is>
      </c>
      <c r="AS426" t="inlineStr">
        <is>
          <t>Yes</t>
        </is>
      </c>
      <c r="AT426">
        <f>HYPERLINK("http://catalog.hathitrust.org/Record/000685372","HathiTrust Record")</f>
        <v/>
      </c>
      <c r="AU426">
        <f>HYPERLINK("https://creighton-primo.hosted.exlibrisgroup.com/primo-explore/search?tab=default_tab&amp;search_scope=EVERYTHING&amp;vid=01CRU&amp;lang=en_US&amp;offset=0&amp;query=any,contains,991004695939702656","Catalog Record")</f>
        <v/>
      </c>
      <c r="AV426">
        <f>HYPERLINK("http://www.worldcat.org/oclc/4641669","WorldCat Record")</f>
        <v/>
      </c>
      <c r="AW426" t="inlineStr">
        <is>
          <t>2934965:eng</t>
        </is>
      </c>
      <c r="AX426" t="inlineStr">
        <is>
          <t>4641669</t>
        </is>
      </c>
      <c r="AY426" t="inlineStr">
        <is>
          <t>991004695939702656</t>
        </is>
      </c>
      <c r="AZ426" t="inlineStr">
        <is>
          <t>991004695939702656</t>
        </is>
      </c>
      <c r="BA426" t="inlineStr">
        <is>
          <t>2257521480002656</t>
        </is>
      </c>
      <c r="BB426" t="inlineStr">
        <is>
          <t>BOOK</t>
        </is>
      </c>
      <c r="BD426" t="inlineStr">
        <is>
          <t>9780385134057</t>
        </is>
      </c>
      <c r="BE426" t="inlineStr">
        <is>
          <t>32285000180082</t>
        </is>
      </c>
      <c r="BF426" t="inlineStr">
        <is>
          <t>893700550</t>
        </is>
      </c>
    </row>
    <row r="427">
      <c r="B427" t="inlineStr">
        <is>
          <t>CURAL</t>
        </is>
      </c>
      <c r="C427" t="inlineStr">
        <is>
          <t>SHELVES</t>
        </is>
      </c>
      <c r="D427" t="inlineStr">
        <is>
          <t>QP376 .R4725 1995</t>
        </is>
      </c>
      <c r="E427" t="inlineStr">
        <is>
          <t>0                      QP 0376000R  4725        1995</t>
        </is>
      </c>
      <c r="F427" t="inlineStr">
        <is>
          <t>Brainscapes : an introduction to what neuroscience has learned about the structure, function, and abilities of the brain / Richard M. Restak.</t>
        </is>
      </c>
      <c r="H427" t="inlineStr">
        <is>
          <t>No</t>
        </is>
      </c>
      <c r="I427" t="inlineStr">
        <is>
          <t>1</t>
        </is>
      </c>
      <c r="J427" t="inlineStr">
        <is>
          <t>No</t>
        </is>
      </c>
      <c r="K427" t="inlineStr">
        <is>
          <t>No</t>
        </is>
      </c>
      <c r="L427" t="inlineStr">
        <is>
          <t>0</t>
        </is>
      </c>
      <c r="M427" t="inlineStr">
        <is>
          <t>Restak, Richard, 1942-</t>
        </is>
      </c>
      <c r="N427" t="inlineStr">
        <is>
          <t>New York : Hyperion, c1995.</t>
        </is>
      </c>
      <c r="O427" t="inlineStr">
        <is>
          <t>1995</t>
        </is>
      </c>
      <c r="P427" t="inlineStr">
        <is>
          <t>1st ed.</t>
        </is>
      </c>
      <c r="Q427" t="inlineStr">
        <is>
          <t>eng</t>
        </is>
      </c>
      <c r="R427" t="inlineStr">
        <is>
          <t>nyu</t>
        </is>
      </c>
      <c r="S427" t="inlineStr">
        <is>
          <t>A discover book</t>
        </is>
      </c>
      <c r="T427" t="inlineStr">
        <is>
          <t xml:space="preserve">QP </t>
        </is>
      </c>
      <c r="U427" t="n">
        <v>3</v>
      </c>
      <c r="V427" t="n">
        <v>3</v>
      </c>
      <c r="W427" t="inlineStr">
        <is>
          <t>2009-09-26</t>
        </is>
      </c>
      <c r="X427" t="inlineStr">
        <is>
          <t>2009-09-26</t>
        </is>
      </c>
      <c r="Y427" t="inlineStr">
        <is>
          <t>1996-03-21</t>
        </is>
      </c>
      <c r="Z427" t="inlineStr">
        <is>
          <t>1996-03-21</t>
        </is>
      </c>
      <c r="AA427" t="n">
        <v>658</v>
      </c>
      <c r="AB427" t="n">
        <v>624</v>
      </c>
      <c r="AC427" t="n">
        <v>661</v>
      </c>
      <c r="AD427" t="n">
        <v>4</v>
      </c>
      <c r="AE427" t="n">
        <v>4</v>
      </c>
      <c r="AF427" t="n">
        <v>16</v>
      </c>
      <c r="AG427" t="n">
        <v>16</v>
      </c>
      <c r="AH427" t="n">
        <v>4</v>
      </c>
      <c r="AI427" t="n">
        <v>4</v>
      </c>
      <c r="AJ427" t="n">
        <v>3</v>
      </c>
      <c r="AK427" t="n">
        <v>3</v>
      </c>
      <c r="AL427" t="n">
        <v>12</v>
      </c>
      <c r="AM427" t="n">
        <v>12</v>
      </c>
      <c r="AN427" t="n">
        <v>2</v>
      </c>
      <c r="AO427" t="n">
        <v>2</v>
      </c>
      <c r="AP427" t="n">
        <v>0</v>
      </c>
      <c r="AQ427" t="n">
        <v>0</v>
      </c>
      <c r="AR427" t="inlineStr">
        <is>
          <t>No</t>
        </is>
      </c>
      <c r="AS427" t="inlineStr">
        <is>
          <t>Yes</t>
        </is>
      </c>
      <c r="AT427">
        <f>HYPERLINK("http://catalog.hathitrust.org/Record/003179918","HathiTrust Record")</f>
        <v/>
      </c>
      <c r="AU427">
        <f>HYPERLINK("https://creighton-primo.hosted.exlibrisgroup.com/primo-explore/search?tab=default_tab&amp;search_scope=EVERYTHING&amp;vid=01CRU&amp;lang=en_US&amp;offset=0&amp;query=any,contains,991002484659702656","Catalog Record")</f>
        <v/>
      </c>
      <c r="AV427">
        <f>HYPERLINK("http://www.worldcat.org/oclc/32347297","WorldCat Record")</f>
        <v/>
      </c>
      <c r="AW427" t="inlineStr">
        <is>
          <t>906404238:eng</t>
        </is>
      </c>
      <c r="AX427" t="inlineStr">
        <is>
          <t>32347297</t>
        </is>
      </c>
      <c r="AY427" t="inlineStr">
        <is>
          <t>991002484659702656</t>
        </is>
      </c>
      <c r="AZ427" t="inlineStr">
        <is>
          <t>991002484659702656</t>
        </is>
      </c>
      <c r="BA427" t="inlineStr">
        <is>
          <t>2261025340002656</t>
        </is>
      </c>
      <c r="BB427" t="inlineStr">
        <is>
          <t>BOOK</t>
        </is>
      </c>
      <c r="BD427" t="inlineStr">
        <is>
          <t>9780078686115</t>
        </is>
      </c>
      <c r="BE427" t="inlineStr">
        <is>
          <t>32285002145737</t>
        </is>
      </c>
      <c r="BF427" t="inlineStr">
        <is>
          <t>893622341</t>
        </is>
      </c>
    </row>
    <row r="428">
      <c r="B428" t="inlineStr">
        <is>
          <t>CURAL</t>
        </is>
      </c>
      <c r="C428" t="inlineStr">
        <is>
          <t>SHELVES</t>
        </is>
      </c>
      <c r="D428" t="inlineStr">
        <is>
          <t>QP376 .S39 1989</t>
        </is>
      </c>
      <c r="E428" t="inlineStr">
        <is>
          <t>0                      QP 0376000S  39          1989</t>
        </is>
      </c>
      <c r="F428" t="inlineStr">
        <is>
          <t>The Science of mind / [edited by] Kenneth A. Klivington ; scientific advisors, Floyd Bloom ... [et al.].</t>
        </is>
      </c>
      <c r="H428" t="inlineStr">
        <is>
          <t>No</t>
        </is>
      </c>
      <c r="I428" t="inlineStr">
        <is>
          <t>1</t>
        </is>
      </c>
      <c r="J428" t="inlineStr">
        <is>
          <t>No</t>
        </is>
      </c>
      <c r="K428" t="inlineStr">
        <is>
          <t>No</t>
        </is>
      </c>
      <c r="L428" t="inlineStr">
        <is>
          <t>0</t>
        </is>
      </c>
      <c r="N428" t="inlineStr">
        <is>
          <t>Cambridge, Mass. : MIT Press, 1989.</t>
        </is>
      </c>
      <c r="O428" t="inlineStr">
        <is>
          <t>1989</t>
        </is>
      </c>
      <c r="P428" t="inlineStr">
        <is>
          <t>1st MIT Press ed.</t>
        </is>
      </c>
      <c r="Q428" t="inlineStr">
        <is>
          <t>eng</t>
        </is>
      </c>
      <c r="R428" t="inlineStr">
        <is>
          <t>mau</t>
        </is>
      </c>
      <c r="T428" t="inlineStr">
        <is>
          <t xml:space="preserve">QP </t>
        </is>
      </c>
      <c r="U428" t="n">
        <v>4</v>
      </c>
      <c r="V428" t="n">
        <v>4</v>
      </c>
      <c r="W428" t="inlineStr">
        <is>
          <t>1995-02-11</t>
        </is>
      </c>
      <c r="X428" t="inlineStr">
        <is>
          <t>1995-02-11</t>
        </is>
      </c>
      <c r="Y428" t="inlineStr">
        <is>
          <t>1991-05-17</t>
        </is>
      </c>
      <c r="Z428" t="inlineStr">
        <is>
          <t>1991-05-17</t>
        </is>
      </c>
      <c r="AA428" t="n">
        <v>687</v>
      </c>
      <c r="AB428" t="n">
        <v>589</v>
      </c>
      <c r="AC428" t="n">
        <v>595</v>
      </c>
      <c r="AD428" t="n">
        <v>3</v>
      </c>
      <c r="AE428" t="n">
        <v>3</v>
      </c>
      <c r="AF428" t="n">
        <v>14</v>
      </c>
      <c r="AG428" t="n">
        <v>14</v>
      </c>
      <c r="AH428" t="n">
        <v>4</v>
      </c>
      <c r="AI428" t="n">
        <v>4</v>
      </c>
      <c r="AJ428" t="n">
        <v>3</v>
      </c>
      <c r="AK428" t="n">
        <v>3</v>
      </c>
      <c r="AL428" t="n">
        <v>9</v>
      </c>
      <c r="AM428" t="n">
        <v>9</v>
      </c>
      <c r="AN428" t="n">
        <v>2</v>
      </c>
      <c r="AO428" t="n">
        <v>2</v>
      </c>
      <c r="AP428" t="n">
        <v>0</v>
      </c>
      <c r="AQ428" t="n">
        <v>0</v>
      </c>
      <c r="AR428" t="inlineStr">
        <is>
          <t>No</t>
        </is>
      </c>
      <c r="AS428" t="inlineStr">
        <is>
          <t>Yes</t>
        </is>
      </c>
      <c r="AT428">
        <f>HYPERLINK("http://catalog.hathitrust.org/Record/007480301","HathiTrust Record")</f>
        <v/>
      </c>
      <c r="AU428">
        <f>HYPERLINK("https://creighton-primo.hosted.exlibrisgroup.com/primo-explore/search?tab=default_tab&amp;search_scope=EVERYTHING&amp;vid=01CRU&amp;lang=en_US&amp;offset=0&amp;query=any,contains,991001432019702656","Catalog Record")</f>
        <v/>
      </c>
      <c r="AV428">
        <f>HYPERLINK("http://www.worldcat.org/oclc/19122932","WorldCat Record")</f>
        <v/>
      </c>
      <c r="AW428" t="inlineStr">
        <is>
          <t>3901192477:eng</t>
        </is>
      </c>
      <c r="AX428" t="inlineStr">
        <is>
          <t>19122932</t>
        </is>
      </c>
      <c r="AY428" t="inlineStr">
        <is>
          <t>991001432019702656</t>
        </is>
      </c>
      <c r="AZ428" t="inlineStr">
        <is>
          <t>991001432019702656</t>
        </is>
      </c>
      <c r="BA428" t="inlineStr">
        <is>
          <t>2272650860002656</t>
        </is>
      </c>
      <c r="BB428" t="inlineStr">
        <is>
          <t>BOOK</t>
        </is>
      </c>
      <c r="BD428" t="inlineStr">
        <is>
          <t>9780262111416</t>
        </is>
      </c>
      <c r="BE428" t="inlineStr">
        <is>
          <t>32285000574144</t>
        </is>
      </c>
      <c r="BF428" t="inlineStr">
        <is>
          <t>893238122</t>
        </is>
      </c>
    </row>
    <row r="429">
      <c r="B429" t="inlineStr">
        <is>
          <t>CURAL</t>
        </is>
      </c>
      <c r="C429" t="inlineStr">
        <is>
          <t>SHELVES</t>
        </is>
      </c>
      <c r="D429" t="inlineStr">
        <is>
          <t>QP376 .S48 1979</t>
        </is>
      </c>
      <c r="E429" t="inlineStr">
        <is>
          <t>0                      QP 0376000S  48          1979</t>
        </is>
      </c>
      <c r="F429" t="inlineStr">
        <is>
          <t>The synaptic organization of the brain / Gordon M. Shepherd.</t>
        </is>
      </c>
      <c r="H429" t="inlineStr">
        <is>
          <t>No</t>
        </is>
      </c>
      <c r="I429" t="inlineStr">
        <is>
          <t>1</t>
        </is>
      </c>
      <c r="J429" t="inlineStr">
        <is>
          <t>Yes</t>
        </is>
      </c>
      <c r="K429" t="inlineStr">
        <is>
          <t>Yes</t>
        </is>
      </c>
      <c r="L429" t="inlineStr">
        <is>
          <t>0</t>
        </is>
      </c>
      <c r="M429" t="inlineStr">
        <is>
          <t>Shepherd, Gordon M., 1933-</t>
        </is>
      </c>
      <c r="N429" t="inlineStr">
        <is>
          <t>New York : Oxford University Press, 1979.</t>
        </is>
      </c>
      <c r="O429" t="inlineStr">
        <is>
          <t>1979</t>
        </is>
      </c>
      <c r="P429" t="inlineStr">
        <is>
          <t>[2d ed.]</t>
        </is>
      </c>
      <c r="Q429" t="inlineStr">
        <is>
          <t>eng</t>
        </is>
      </c>
      <c r="R429" t="inlineStr">
        <is>
          <t>nyu</t>
        </is>
      </c>
      <c r="T429" t="inlineStr">
        <is>
          <t xml:space="preserve">QP </t>
        </is>
      </c>
      <c r="U429" t="n">
        <v>2</v>
      </c>
      <c r="V429" t="n">
        <v>7</v>
      </c>
      <c r="W429" t="inlineStr">
        <is>
          <t>1995-02-22</t>
        </is>
      </c>
      <c r="X429" t="inlineStr">
        <is>
          <t>1999-10-09</t>
        </is>
      </c>
      <c r="Y429" t="inlineStr">
        <is>
          <t>1993-03-03</t>
        </is>
      </c>
      <c r="Z429" t="inlineStr">
        <is>
          <t>1993-03-03</t>
        </is>
      </c>
      <c r="AA429" t="n">
        <v>359</v>
      </c>
      <c r="AB429" t="n">
        <v>280</v>
      </c>
      <c r="AC429" t="n">
        <v>699</v>
      </c>
      <c r="AD429" t="n">
        <v>5</v>
      </c>
      <c r="AE429" t="n">
        <v>7</v>
      </c>
      <c r="AF429" t="n">
        <v>8</v>
      </c>
      <c r="AG429" t="n">
        <v>32</v>
      </c>
      <c r="AH429" t="n">
        <v>2</v>
      </c>
      <c r="AI429" t="n">
        <v>12</v>
      </c>
      <c r="AJ429" t="n">
        <v>3</v>
      </c>
      <c r="AK429" t="n">
        <v>9</v>
      </c>
      <c r="AL429" t="n">
        <v>4</v>
      </c>
      <c r="AM429" t="n">
        <v>14</v>
      </c>
      <c r="AN429" t="n">
        <v>2</v>
      </c>
      <c r="AO429" t="n">
        <v>4</v>
      </c>
      <c r="AP429" t="n">
        <v>0</v>
      </c>
      <c r="AQ429" t="n">
        <v>0</v>
      </c>
      <c r="AR429" t="inlineStr">
        <is>
          <t>No</t>
        </is>
      </c>
      <c r="AS429" t="inlineStr">
        <is>
          <t>Yes</t>
        </is>
      </c>
      <c r="AT429">
        <f>HYPERLINK("http://catalog.hathitrust.org/Record/000703943","HathiTrust Record")</f>
        <v/>
      </c>
      <c r="AU429">
        <f>HYPERLINK("https://creighton-primo.hosted.exlibrisgroup.com/primo-explore/search?tab=default_tab&amp;search_scope=EVERYTHING&amp;vid=01CRU&amp;lang=en_US&amp;offset=0&amp;query=any,contains,991001758649702656","Catalog Record")</f>
        <v/>
      </c>
      <c r="AV429">
        <f>HYPERLINK("http://www.worldcat.org/oclc/4638271","WorldCat Record")</f>
        <v/>
      </c>
      <c r="AW429" t="inlineStr">
        <is>
          <t>1059974910:eng</t>
        </is>
      </c>
      <c r="AX429" t="inlineStr">
        <is>
          <t>4638271</t>
        </is>
      </c>
      <c r="AY429" t="inlineStr">
        <is>
          <t>991001758649702656</t>
        </is>
      </c>
      <c r="AZ429" t="inlineStr">
        <is>
          <t>991001758649702656</t>
        </is>
      </c>
      <c r="BA429" t="inlineStr">
        <is>
          <t>2256041130002656</t>
        </is>
      </c>
      <c r="BB429" t="inlineStr">
        <is>
          <t>BOOK</t>
        </is>
      </c>
      <c r="BD429" t="inlineStr">
        <is>
          <t>9780195025484</t>
        </is>
      </c>
      <c r="BE429" t="inlineStr">
        <is>
          <t>32285001561918</t>
        </is>
      </c>
      <c r="BF429" t="inlineStr">
        <is>
          <t>893322224</t>
        </is>
      </c>
    </row>
    <row r="430">
      <c r="B430" t="inlineStr">
        <is>
          <t>CURAL</t>
        </is>
      </c>
      <c r="C430" t="inlineStr">
        <is>
          <t>SHELVES</t>
        </is>
      </c>
      <c r="D430" t="inlineStr">
        <is>
          <t>QP376 .S639 1984</t>
        </is>
      </c>
      <c r="E430" t="inlineStr">
        <is>
          <t>0                      QP 0376000S  639         1984</t>
        </is>
      </c>
      <c r="F430" t="inlineStr">
        <is>
          <t>The mind / Anthony Smith.</t>
        </is>
      </c>
      <c r="H430" t="inlineStr">
        <is>
          <t>No</t>
        </is>
      </c>
      <c r="I430" t="inlineStr">
        <is>
          <t>1</t>
        </is>
      </c>
      <c r="J430" t="inlineStr">
        <is>
          <t>No</t>
        </is>
      </c>
      <c r="K430" t="inlineStr">
        <is>
          <t>No</t>
        </is>
      </c>
      <c r="L430" t="inlineStr">
        <is>
          <t>0</t>
        </is>
      </c>
      <c r="M430" t="inlineStr">
        <is>
          <t>Smith, Anthony, 1926-2014.</t>
        </is>
      </c>
      <c r="N430" t="inlineStr">
        <is>
          <t>New York : Viking Press, 1984.</t>
        </is>
      </c>
      <c r="O430" t="inlineStr">
        <is>
          <t>1984</t>
        </is>
      </c>
      <c r="Q430" t="inlineStr">
        <is>
          <t>eng</t>
        </is>
      </c>
      <c r="R430" t="inlineStr">
        <is>
          <t>nyu</t>
        </is>
      </c>
      <c r="T430" t="inlineStr">
        <is>
          <t xml:space="preserve">QP </t>
        </is>
      </c>
      <c r="U430" t="n">
        <v>3</v>
      </c>
      <c r="V430" t="n">
        <v>3</v>
      </c>
      <c r="W430" t="inlineStr">
        <is>
          <t>1995-03-18</t>
        </is>
      </c>
      <c r="X430" t="inlineStr">
        <is>
          <t>1995-03-18</t>
        </is>
      </c>
      <c r="Y430" t="inlineStr">
        <is>
          <t>1989-12-08</t>
        </is>
      </c>
      <c r="Z430" t="inlineStr">
        <is>
          <t>1989-12-08</t>
        </is>
      </c>
      <c r="AA430" t="n">
        <v>817</v>
      </c>
      <c r="AB430" t="n">
        <v>786</v>
      </c>
      <c r="AC430" t="n">
        <v>836</v>
      </c>
      <c r="AD430" t="n">
        <v>8</v>
      </c>
      <c r="AE430" t="n">
        <v>8</v>
      </c>
      <c r="AF430" t="n">
        <v>25</v>
      </c>
      <c r="AG430" t="n">
        <v>25</v>
      </c>
      <c r="AH430" t="n">
        <v>12</v>
      </c>
      <c r="AI430" t="n">
        <v>12</v>
      </c>
      <c r="AJ430" t="n">
        <v>3</v>
      </c>
      <c r="AK430" t="n">
        <v>3</v>
      </c>
      <c r="AL430" t="n">
        <v>11</v>
      </c>
      <c r="AM430" t="n">
        <v>11</v>
      </c>
      <c r="AN430" t="n">
        <v>5</v>
      </c>
      <c r="AO430" t="n">
        <v>5</v>
      </c>
      <c r="AP430" t="n">
        <v>0</v>
      </c>
      <c r="AQ430" t="n">
        <v>0</v>
      </c>
      <c r="AR430" t="inlineStr">
        <is>
          <t>No</t>
        </is>
      </c>
      <c r="AS430" t="inlineStr">
        <is>
          <t>Yes</t>
        </is>
      </c>
      <c r="AT430">
        <f>HYPERLINK("http://catalog.hathitrust.org/Record/000603492","HathiTrust Record")</f>
        <v/>
      </c>
      <c r="AU430">
        <f>HYPERLINK("https://creighton-primo.hosted.exlibrisgroup.com/primo-explore/search?tab=default_tab&amp;search_scope=EVERYTHING&amp;vid=01CRU&amp;lang=en_US&amp;offset=0&amp;query=any,contains,991000293399702656","Catalog Record")</f>
        <v/>
      </c>
      <c r="AV430">
        <f>HYPERLINK("http://www.worldcat.org/oclc/9971010","WorldCat Record")</f>
        <v/>
      </c>
      <c r="AW430" t="inlineStr">
        <is>
          <t>3176497:eng</t>
        </is>
      </c>
      <c r="AX430" t="inlineStr">
        <is>
          <t>9971010</t>
        </is>
      </c>
      <c r="AY430" t="inlineStr">
        <is>
          <t>991000293399702656</t>
        </is>
      </c>
      <c r="AZ430" t="inlineStr">
        <is>
          <t>991000293399702656</t>
        </is>
      </c>
      <c r="BA430" t="inlineStr">
        <is>
          <t>2257858390002656</t>
        </is>
      </c>
      <c r="BB430" t="inlineStr">
        <is>
          <t>BOOK</t>
        </is>
      </c>
      <c r="BD430" t="inlineStr">
        <is>
          <t>9780670476480</t>
        </is>
      </c>
      <c r="BE430" t="inlineStr">
        <is>
          <t>32285000030402</t>
        </is>
      </c>
      <c r="BF430" t="inlineStr">
        <is>
          <t>893896764</t>
        </is>
      </c>
    </row>
    <row r="431">
      <c r="B431" t="inlineStr">
        <is>
          <t>CURAL</t>
        </is>
      </c>
      <c r="C431" t="inlineStr">
        <is>
          <t>SHELVES</t>
        </is>
      </c>
      <c r="D431" t="inlineStr">
        <is>
          <t>QP376 .S64 1970</t>
        </is>
      </c>
      <c r="E431" t="inlineStr">
        <is>
          <t>0                      QP 0376000S  64          1970</t>
        </is>
      </c>
      <c r="F431" t="inlineStr">
        <is>
          <t>The brain : towards an understanding / [by] C. U. M. Smith.</t>
        </is>
      </c>
      <c r="H431" t="inlineStr">
        <is>
          <t>No</t>
        </is>
      </c>
      <c r="I431" t="inlineStr">
        <is>
          <t>1</t>
        </is>
      </c>
      <c r="J431" t="inlineStr">
        <is>
          <t>No</t>
        </is>
      </c>
      <c r="K431" t="inlineStr">
        <is>
          <t>No</t>
        </is>
      </c>
      <c r="L431" t="inlineStr">
        <is>
          <t>0</t>
        </is>
      </c>
      <c r="M431" t="inlineStr">
        <is>
          <t>Smith, C. U. M. (Christopher Upham Murray)</t>
        </is>
      </c>
      <c r="N431" t="inlineStr">
        <is>
          <t>New York : Putnam, [1970]</t>
        </is>
      </c>
      <c r="O431" t="inlineStr">
        <is>
          <t>1970</t>
        </is>
      </c>
      <c r="P431" t="inlineStr">
        <is>
          <t>[1st American ed.]</t>
        </is>
      </c>
      <c r="Q431" t="inlineStr">
        <is>
          <t>eng</t>
        </is>
      </c>
      <c r="R431" t="inlineStr">
        <is>
          <t>nyu</t>
        </is>
      </c>
      <c r="T431" t="inlineStr">
        <is>
          <t xml:space="preserve">QP </t>
        </is>
      </c>
      <c r="U431" t="n">
        <v>3</v>
      </c>
      <c r="V431" t="n">
        <v>3</v>
      </c>
      <c r="W431" t="inlineStr">
        <is>
          <t>1995-02-17</t>
        </is>
      </c>
      <c r="X431" t="inlineStr">
        <is>
          <t>1995-02-17</t>
        </is>
      </c>
      <c r="Y431" t="inlineStr">
        <is>
          <t>1994-03-24</t>
        </is>
      </c>
      <c r="Z431" t="inlineStr">
        <is>
          <t>1994-03-24</t>
        </is>
      </c>
      <c r="AA431" t="n">
        <v>464</v>
      </c>
      <c r="AB431" t="n">
        <v>445</v>
      </c>
      <c r="AC431" t="n">
        <v>512</v>
      </c>
      <c r="AD431" t="n">
        <v>4</v>
      </c>
      <c r="AE431" t="n">
        <v>5</v>
      </c>
      <c r="AF431" t="n">
        <v>15</v>
      </c>
      <c r="AG431" t="n">
        <v>17</v>
      </c>
      <c r="AH431" t="n">
        <v>7</v>
      </c>
      <c r="AI431" t="n">
        <v>8</v>
      </c>
      <c r="AJ431" t="n">
        <v>2</v>
      </c>
      <c r="AK431" t="n">
        <v>2</v>
      </c>
      <c r="AL431" t="n">
        <v>6</v>
      </c>
      <c r="AM431" t="n">
        <v>7</v>
      </c>
      <c r="AN431" t="n">
        <v>3</v>
      </c>
      <c r="AO431" t="n">
        <v>3</v>
      </c>
      <c r="AP431" t="n">
        <v>0</v>
      </c>
      <c r="AQ431" t="n">
        <v>0</v>
      </c>
      <c r="AR431" t="inlineStr">
        <is>
          <t>No</t>
        </is>
      </c>
      <c r="AS431" t="inlineStr">
        <is>
          <t>Yes</t>
        </is>
      </c>
      <c r="AT431">
        <f>HYPERLINK("http://catalog.hathitrust.org/Record/001554849","HathiTrust Record")</f>
        <v/>
      </c>
      <c r="AU431">
        <f>HYPERLINK("https://creighton-primo.hosted.exlibrisgroup.com/primo-explore/search?tab=default_tab&amp;search_scope=EVERYTHING&amp;vid=01CRU&amp;lang=en_US&amp;offset=0&amp;query=any,contains,991000522499702656","Catalog Record")</f>
        <v/>
      </c>
      <c r="AV431">
        <f>HYPERLINK("http://www.worldcat.org/oclc/88435","WorldCat Record")</f>
        <v/>
      </c>
      <c r="AW431" t="inlineStr">
        <is>
          <t>477760842:eng</t>
        </is>
      </c>
      <c r="AX431" t="inlineStr">
        <is>
          <t>88435</t>
        </is>
      </c>
      <c r="AY431" t="inlineStr">
        <is>
          <t>991000522499702656</t>
        </is>
      </c>
      <c r="AZ431" t="inlineStr">
        <is>
          <t>991000522499702656</t>
        </is>
      </c>
      <c r="BA431" t="inlineStr">
        <is>
          <t>2269400490002656</t>
        </is>
      </c>
      <c r="BB431" t="inlineStr">
        <is>
          <t>BOOK</t>
        </is>
      </c>
      <c r="BE431" t="inlineStr">
        <is>
          <t>32285001871630</t>
        </is>
      </c>
      <c r="BF431" t="inlineStr">
        <is>
          <t>893884476</t>
        </is>
      </c>
    </row>
    <row r="432">
      <c r="B432" t="inlineStr">
        <is>
          <t>CURAL</t>
        </is>
      </c>
      <c r="C432" t="inlineStr">
        <is>
          <t>SHELVES</t>
        </is>
      </c>
      <c r="D432" t="inlineStr">
        <is>
          <t>QP376 .S825 2005</t>
        </is>
      </c>
      <c r="E432" t="inlineStr">
        <is>
          <t>0                      QP 0376000S  825         2005</t>
        </is>
      </c>
      <c r="F432" t="inlineStr">
        <is>
          <t>Principles of brain evolution / Georg F. Striedter.</t>
        </is>
      </c>
      <c r="H432" t="inlineStr">
        <is>
          <t>No</t>
        </is>
      </c>
      <c r="I432" t="inlineStr">
        <is>
          <t>1</t>
        </is>
      </c>
      <c r="J432" t="inlineStr">
        <is>
          <t>No</t>
        </is>
      </c>
      <c r="K432" t="inlineStr">
        <is>
          <t>No</t>
        </is>
      </c>
      <c r="L432" t="inlineStr">
        <is>
          <t>0</t>
        </is>
      </c>
      <c r="M432" t="inlineStr">
        <is>
          <t>Striedter, Georg F., 1962-</t>
        </is>
      </c>
      <c r="N432" t="inlineStr">
        <is>
          <t>Sunderland, Mass. : Sinauer Associates, c2005.</t>
        </is>
      </c>
      <c r="O432" t="inlineStr">
        <is>
          <t>2005</t>
        </is>
      </c>
      <c r="Q432" t="inlineStr">
        <is>
          <t>eng</t>
        </is>
      </c>
      <c r="R432" t="inlineStr">
        <is>
          <t>mau</t>
        </is>
      </c>
      <c r="T432" t="inlineStr">
        <is>
          <t xml:space="preserve">QP </t>
        </is>
      </c>
      <c r="U432" t="n">
        <v>1</v>
      </c>
      <c r="V432" t="n">
        <v>1</v>
      </c>
      <c r="W432" t="inlineStr">
        <is>
          <t>2005-10-20</t>
        </is>
      </c>
      <c r="X432" t="inlineStr">
        <is>
          <t>2005-10-20</t>
        </is>
      </c>
      <c r="Y432" t="inlineStr">
        <is>
          <t>2005-10-20</t>
        </is>
      </c>
      <c r="Z432" t="inlineStr">
        <is>
          <t>2005-10-20</t>
        </is>
      </c>
      <c r="AA432" t="n">
        <v>388</v>
      </c>
      <c r="AB432" t="n">
        <v>273</v>
      </c>
      <c r="AC432" t="n">
        <v>273</v>
      </c>
      <c r="AD432" t="n">
        <v>4</v>
      </c>
      <c r="AE432" t="n">
        <v>4</v>
      </c>
      <c r="AF432" t="n">
        <v>17</v>
      </c>
      <c r="AG432" t="n">
        <v>17</v>
      </c>
      <c r="AH432" t="n">
        <v>8</v>
      </c>
      <c r="AI432" t="n">
        <v>8</v>
      </c>
      <c r="AJ432" t="n">
        <v>4</v>
      </c>
      <c r="AK432" t="n">
        <v>4</v>
      </c>
      <c r="AL432" t="n">
        <v>6</v>
      </c>
      <c r="AM432" t="n">
        <v>6</v>
      </c>
      <c r="AN432" t="n">
        <v>3</v>
      </c>
      <c r="AO432" t="n">
        <v>3</v>
      </c>
      <c r="AP432" t="n">
        <v>0</v>
      </c>
      <c r="AQ432" t="n">
        <v>0</v>
      </c>
      <c r="AR432" t="inlineStr">
        <is>
          <t>No</t>
        </is>
      </c>
      <c r="AS432" t="inlineStr">
        <is>
          <t>No</t>
        </is>
      </c>
      <c r="AU432">
        <f>HYPERLINK("https://creighton-primo.hosted.exlibrisgroup.com/primo-explore/search?tab=default_tab&amp;search_scope=EVERYTHING&amp;vid=01CRU&amp;lang=en_US&amp;offset=0&amp;query=any,contains,991004657409702656","Catalog Record")</f>
        <v/>
      </c>
      <c r="AV432">
        <f>HYPERLINK("http://www.worldcat.org/oclc/56532584","WorldCat Record")</f>
        <v/>
      </c>
      <c r="AW432" t="inlineStr">
        <is>
          <t>2081745:eng</t>
        </is>
      </c>
      <c r="AX432" t="inlineStr">
        <is>
          <t>56532584</t>
        </is>
      </c>
      <c r="AY432" t="inlineStr">
        <is>
          <t>991004657409702656</t>
        </is>
      </c>
      <c r="AZ432" t="inlineStr">
        <is>
          <t>991004657409702656</t>
        </is>
      </c>
      <c r="BA432" t="inlineStr">
        <is>
          <t>2260509170002656</t>
        </is>
      </c>
      <c r="BB432" t="inlineStr">
        <is>
          <t>BOOK</t>
        </is>
      </c>
      <c r="BD432" t="inlineStr">
        <is>
          <t>9780878938209</t>
        </is>
      </c>
      <c r="BE432" t="inlineStr">
        <is>
          <t>32285005140883</t>
        </is>
      </c>
      <c r="BF432" t="inlineStr">
        <is>
          <t>893411804</t>
        </is>
      </c>
    </row>
    <row r="433">
      <c r="B433" t="inlineStr">
        <is>
          <t>CURAL</t>
        </is>
      </c>
      <c r="C433" t="inlineStr">
        <is>
          <t>SHELVES</t>
        </is>
      </c>
      <c r="D433" t="inlineStr">
        <is>
          <t>QP376 .T48 1993</t>
        </is>
      </c>
      <c r="E433" t="inlineStr">
        <is>
          <t>0                      QP 0376000T  48          1993</t>
        </is>
      </c>
      <c r="F433" t="inlineStr">
        <is>
          <t>The brain : a neuroscience primer / Richard F. Thompson.</t>
        </is>
      </c>
      <c r="H433" t="inlineStr">
        <is>
          <t>No</t>
        </is>
      </c>
      <c r="I433" t="inlineStr">
        <is>
          <t>1</t>
        </is>
      </c>
      <c r="J433" t="inlineStr">
        <is>
          <t>No</t>
        </is>
      </c>
      <c r="K433" t="inlineStr">
        <is>
          <t>No</t>
        </is>
      </c>
      <c r="L433" t="inlineStr">
        <is>
          <t>0</t>
        </is>
      </c>
      <c r="M433" t="inlineStr">
        <is>
          <t>Thompson, Richard F.</t>
        </is>
      </c>
      <c r="N433" t="inlineStr">
        <is>
          <t>New York : W.H. Freeman &amp; Co., c1993.</t>
        </is>
      </c>
      <c r="O433" t="inlineStr">
        <is>
          <t>1993</t>
        </is>
      </c>
      <c r="P433" t="inlineStr">
        <is>
          <t>2nd ed.</t>
        </is>
      </c>
      <c r="Q433" t="inlineStr">
        <is>
          <t>eng</t>
        </is>
      </c>
      <c r="R433" t="inlineStr">
        <is>
          <t>nyu</t>
        </is>
      </c>
      <c r="S433" t="inlineStr">
        <is>
          <t>A Series of books in psychology</t>
        </is>
      </c>
      <c r="T433" t="inlineStr">
        <is>
          <t xml:space="preserve">QP </t>
        </is>
      </c>
      <c r="U433" t="n">
        <v>13</v>
      </c>
      <c r="V433" t="n">
        <v>13</v>
      </c>
      <c r="W433" t="inlineStr">
        <is>
          <t>2007-04-09</t>
        </is>
      </c>
      <c r="X433" t="inlineStr">
        <is>
          <t>2007-04-09</t>
        </is>
      </c>
      <c r="Y433" t="inlineStr">
        <is>
          <t>1994-06-02</t>
        </is>
      </c>
      <c r="Z433" t="inlineStr">
        <is>
          <t>1994-06-02</t>
        </is>
      </c>
      <c r="AA433" t="n">
        <v>279</v>
      </c>
      <c r="AB433" t="n">
        <v>173</v>
      </c>
      <c r="AC433" t="n">
        <v>228</v>
      </c>
      <c r="AD433" t="n">
        <v>2</v>
      </c>
      <c r="AE433" t="n">
        <v>2</v>
      </c>
      <c r="AF433" t="n">
        <v>5</v>
      </c>
      <c r="AG433" t="n">
        <v>5</v>
      </c>
      <c r="AH433" t="n">
        <v>0</v>
      </c>
      <c r="AI433" t="n">
        <v>0</v>
      </c>
      <c r="AJ433" t="n">
        <v>1</v>
      </c>
      <c r="AK433" t="n">
        <v>1</v>
      </c>
      <c r="AL433" t="n">
        <v>5</v>
      </c>
      <c r="AM433" t="n">
        <v>5</v>
      </c>
      <c r="AN433" t="n">
        <v>0</v>
      </c>
      <c r="AO433" t="n">
        <v>0</v>
      </c>
      <c r="AP433" t="n">
        <v>0</v>
      </c>
      <c r="AQ433" t="n">
        <v>0</v>
      </c>
      <c r="AR433" t="inlineStr">
        <is>
          <t>No</t>
        </is>
      </c>
      <c r="AS433" t="inlineStr">
        <is>
          <t>No</t>
        </is>
      </c>
      <c r="AU433">
        <f>HYPERLINK("https://creighton-primo.hosted.exlibrisgroup.com/primo-explore/search?tab=default_tab&amp;search_scope=EVERYTHING&amp;vid=01CRU&amp;lang=en_US&amp;offset=0&amp;query=any,contains,991002124539702656","Catalog Record")</f>
        <v/>
      </c>
      <c r="AV433">
        <f>HYPERLINK("http://www.worldcat.org/oclc/27217881","WorldCat Record")</f>
        <v/>
      </c>
      <c r="AW433" t="inlineStr">
        <is>
          <t>795705314:eng</t>
        </is>
      </c>
      <c r="AX433" t="inlineStr">
        <is>
          <t>27217881</t>
        </is>
      </c>
      <c r="AY433" t="inlineStr">
        <is>
          <t>991002124539702656</t>
        </is>
      </c>
      <c r="AZ433" t="inlineStr">
        <is>
          <t>991002124539702656</t>
        </is>
      </c>
      <c r="BA433" t="inlineStr">
        <is>
          <t>2266310230002656</t>
        </is>
      </c>
      <c r="BB433" t="inlineStr">
        <is>
          <t>BOOK</t>
        </is>
      </c>
      <c r="BD433" t="inlineStr">
        <is>
          <t>9780716723387</t>
        </is>
      </c>
      <c r="BE433" t="inlineStr">
        <is>
          <t>32285001920692</t>
        </is>
      </c>
      <c r="BF433" t="inlineStr">
        <is>
          <t>893427231</t>
        </is>
      </c>
    </row>
    <row r="434">
      <c r="B434" t="inlineStr">
        <is>
          <t>CURAL</t>
        </is>
      </c>
      <c r="C434" t="inlineStr">
        <is>
          <t>SHELVES</t>
        </is>
      </c>
      <c r="D434" t="inlineStr">
        <is>
          <t>QP376 .T52</t>
        </is>
      </c>
      <c r="E434" t="inlineStr">
        <is>
          <t>0                      QP 0376000T  52</t>
        </is>
      </c>
      <c r="F434" t="inlineStr">
        <is>
          <t>Thyroid hormones and brain development / edited by Gilman D. Grave.</t>
        </is>
      </c>
      <c r="H434" t="inlineStr">
        <is>
          <t>No</t>
        </is>
      </c>
      <c r="I434" t="inlineStr">
        <is>
          <t>1</t>
        </is>
      </c>
      <c r="J434" t="inlineStr">
        <is>
          <t>No</t>
        </is>
      </c>
      <c r="K434" t="inlineStr">
        <is>
          <t>No</t>
        </is>
      </c>
      <c r="L434" t="inlineStr">
        <is>
          <t>0</t>
        </is>
      </c>
      <c r="N434" t="inlineStr">
        <is>
          <t>New York : Raven Press, 1977.</t>
        </is>
      </c>
      <c r="O434" t="inlineStr">
        <is>
          <t>1977</t>
        </is>
      </c>
      <c r="Q434" t="inlineStr">
        <is>
          <t>eng</t>
        </is>
      </c>
      <c r="R434" t="inlineStr">
        <is>
          <t>nyu</t>
        </is>
      </c>
      <c r="T434" t="inlineStr">
        <is>
          <t xml:space="preserve">QP </t>
        </is>
      </c>
      <c r="U434" t="n">
        <v>3</v>
      </c>
      <c r="V434" t="n">
        <v>3</v>
      </c>
      <c r="W434" t="inlineStr">
        <is>
          <t>2000-05-17</t>
        </is>
      </c>
      <c r="X434" t="inlineStr">
        <is>
          <t>2000-05-17</t>
        </is>
      </c>
      <c r="Y434" t="inlineStr">
        <is>
          <t>1993-03-03</t>
        </is>
      </c>
      <c r="Z434" t="inlineStr">
        <is>
          <t>1993-03-03</t>
        </is>
      </c>
      <c r="AA434" t="n">
        <v>217</v>
      </c>
      <c r="AB434" t="n">
        <v>166</v>
      </c>
      <c r="AC434" t="n">
        <v>166</v>
      </c>
      <c r="AD434" t="n">
        <v>2</v>
      </c>
      <c r="AE434" t="n">
        <v>2</v>
      </c>
      <c r="AF434" t="n">
        <v>4</v>
      </c>
      <c r="AG434" t="n">
        <v>4</v>
      </c>
      <c r="AH434" t="n">
        <v>1</v>
      </c>
      <c r="AI434" t="n">
        <v>1</v>
      </c>
      <c r="AJ434" t="n">
        <v>1</v>
      </c>
      <c r="AK434" t="n">
        <v>1</v>
      </c>
      <c r="AL434" t="n">
        <v>2</v>
      </c>
      <c r="AM434" t="n">
        <v>2</v>
      </c>
      <c r="AN434" t="n">
        <v>1</v>
      </c>
      <c r="AO434" t="n">
        <v>1</v>
      </c>
      <c r="AP434" t="n">
        <v>0</v>
      </c>
      <c r="AQ434" t="n">
        <v>0</v>
      </c>
      <c r="AR434" t="inlineStr">
        <is>
          <t>No</t>
        </is>
      </c>
      <c r="AS434" t="inlineStr">
        <is>
          <t>No</t>
        </is>
      </c>
      <c r="AU434">
        <f>HYPERLINK("https://creighton-primo.hosted.exlibrisgroup.com/primo-explore/search?tab=default_tab&amp;search_scope=EVERYTHING&amp;vid=01CRU&amp;lang=en_US&amp;offset=0&amp;query=any,contains,991005370519702656","Catalog Record")</f>
        <v/>
      </c>
      <c r="AV434">
        <f>HYPERLINK("http://www.worldcat.org/oclc/2985055","WorldCat Record")</f>
        <v/>
      </c>
      <c r="AW434" t="inlineStr">
        <is>
          <t>364013981:eng</t>
        </is>
      </c>
      <c r="AX434" t="inlineStr">
        <is>
          <t>2985055</t>
        </is>
      </c>
      <c r="AY434" t="inlineStr">
        <is>
          <t>991005370519702656</t>
        </is>
      </c>
      <c r="AZ434" t="inlineStr">
        <is>
          <t>991005370519702656</t>
        </is>
      </c>
      <c r="BA434" t="inlineStr">
        <is>
          <t>2262070820002656</t>
        </is>
      </c>
      <c r="BB434" t="inlineStr">
        <is>
          <t>BOOK</t>
        </is>
      </c>
      <c r="BD434" t="inlineStr">
        <is>
          <t>9780890041468</t>
        </is>
      </c>
      <c r="BE434" t="inlineStr">
        <is>
          <t>32285001561926</t>
        </is>
      </c>
      <c r="BF434" t="inlineStr">
        <is>
          <t>893536607</t>
        </is>
      </c>
    </row>
    <row r="435">
      <c r="B435" t="inlineStr">
        <is>
          <t>CURAL</t>
        </is>
      </c>
      <c r="C435" t="inlineStr">
        <is>
          <t>SHELVES</t>
        </is>
      </c>
      <c r="D435" t="inlineStr">
        <is>
          <t>QP376 .T72 1991</t>
        </is>
      </c>
      <c r="E435" t="inlineStr">
        <is>
          <t>0                      QP 0376000T  72          1991</t>
        </is>
      </c>
      <c r="F435" t="inlineStr">
        <is>
          <t>The cognitive brain / Arnold Trehub.</t>
        </is>
      </c>
      <c r="H435" t="inlineStr">
        <is>
          <t>No</t>
        </is>
      </c>
      <c r="I435" t="inlineStr">
        <is>
          <t>1</t>
        </is>
      </c>
      <c r="J435" t="inlineStr">
        <is>
          <t>No</t>
        </is>
      </c>
      <c r="K435" t="inlineStr">
        <is>
          <t>No</t>
        </is>
      </c>
      <c r="L435" t="inlineStr">
        <is>
          <t>0</t>
        </is>
      </c>
      <c r="M435" t="inlineStr">
        <is>
          <t>Trehub, Arnold.</t>
        </is>
      </c>
      <c r="N435" t="inlineStr">
        <is>
          <t>Cambridge, Mass. : MIT Press, c1991.</t>
        </is>
      </c>
      <c r="O435" t="inlineStr">
        <is>
          <t>1991</t>
        </is>
      </c>
      <c r="Q435" t="inlineStr">
        <is>
          <t>eng</t>
        </is>
      </c>
      <c r="R435" t="inlineStr">
        <is>
          <t>mau</t>
        </is>
      </c>
      <c r="T435" t="inlineStr">
        <is>
          <t xml:space="preserve">QP </t>
        </is>
      </c>
      <c r="U435" t="n">
        <v>2</v>
      </c>
      <c r="V435" t="n">
        <v>2</v>
      </c>
      <c r="W435" t="inlineStr">
        <is>
          <t>1993-03-31</t>
        </is>
      </c>
      <c r="X435" t="inlineStr">
        <is>
          <t>1993-03-31</t>
        </is>
      </c>
      <c r="Y435" t="inlineStr">
        <is>
          <t>1992-08-12</t>
        </is>
      </c>
      <c r="Z435" t="inlineStr">
        <is>
          <t>1992-08-12</t>
        </is>
      </c>
      <c r="AA435" t="n">
        <v>435</v>
      </c>
      <c r="AB435" t="n">
        <v>298</v>
      </c>
      <c r="AC435" t="n">
        <v>300</v>
      </c>
      <c r="AD435" t="n">
        <v>4</v>
      </c>
      <c r="AE435" t="n">
        <v>4</v>
      </c>
      <c r="AF435" t="n">
        <v>13</v>
      </c>
      <c r="AG435" t="n">
        <v>13</v>
      </c>
      <c r="AH435" t="n">
        <v>3</v>
      </c>
      <c r="AI435" t="n">
        <v>3</v>
      </c>
      <c r="AJ435" t="n">
        <v>3</v>
      </c>
      <c r="AK435" t="n">
        <v>3</v>
      </c>
      <c r="AL435" t="n">
        <v>8</v>
      </c>
      <c r="AM435" t="n">
        <v>8</v>
      </c>
      <c r="AN435" t="n">
        <v>3</v>
      </c>
      <c r="AO435" t="n">
        <v>3</v>
      </c>
      <c r="AP435" t="n">
        <v>0</v>
      </c>
      <c r="AQ435" t="n">
        <v>0</v>
      </c>
      <c r="AR435" t="inlineStr">
        <is>
          <t>No</t>
        </is>
      </c>
      <c r="AS435" t="inlineStr">
        <is>
          <t>Yes</t>
        </is>
      </c>
      <c r="AT435">
        <f>HYPERLINK("http://catalog.hathitrust.org/Record/002493060","HathiTrust Record")</f>
        <v/>
      </c>
      <c r="AU435">
        <f>HYPERLINK("https://creighton-primo.hosted.exlibrisgroup.com/primo-explore/search?tab=default_tab&amp;search_scope=EVERYTHING&amp;vid=01CRU&amp;lang=en_US&amp;offset=0&amp;query=any,contains,991001848579702656","Catalog Record")</f>
        <v/>
      </c>
      <c r="AV435">
        <f>HYPERLINK("http://www.worldcat.org/oclc/23211728","WorldCat Record")</f>
        <v/>
      </c>
      <c r="AW435" t="inlineStr">
        <is>
          <t>20855483:eng</t>
        </is>
      </c>
      <c r="AX435" t="inlineStr">
        <is>
          <t>23211728</t>
        </is>
      </c>
      <c r="AY435" t="inlineStr">
        <is>
          <t>991001848579702656</t>
        </is>
      </c>
      <c r="AZ435" t="inlineStr">
        <is>
          <t>991001848579702656</t>
        </is>
      </c>
      <c r="BA435" t="inlineStr">
        <is>
          <t>2263895770002656</t>
        </is>
      </c>
      <c r="BB435" t="inlineStr">
        <is>
          <t>BOOK</t>
        </is>
      </c>
      <c r="BD435" t="inlineStr">
        <is>
          <t>9780262200851</t>
        </is>
      </c>
      <c r="BE435" t="inlineStr">
        <is>
          <t>32285001197077</t>
        </is>
      </c>
      <c r="BF435" t="inlineStr">
        <is>
          <t>893797868</t>
        </is>
      </c>
    </row>
    <row r="436">
      <c r="B436" t="inlineStr">
        <is>
          <t>CURAL</t>
        </is>
      </c>
      <c r="C436" t="inlineStr">
        <is>
          <t>SHELVES</t>
        </is>
      </c>
      <c r="D436" t="inlineStr">
        <is>
          <t>QP376 .V3</t>
        </is>
      </c>
      <c r="E436" t="inlineStr">
        <is>
          <t>0                      QP 0376000V  3</t>
        </is>
      </c>
      <c r="F436" t="inlineStr">
        <is>
          <t>Brain control : a critical examination of brain stimulation and psychosurgery</t>
        </is>
      </c>
      <c r="H436" t="inlineStr">
        <is>
          <t>No</t>
        </is>
      </c>
      <c r="I436" t="inlineStr">
        <is>
          <t>1</t>
        </is>
      </c>
      <c r="J436" t="inlineStr">
        <is>
          <t>No</t>
        </is>
      </c>
      <c r="K436" t="inlineStr">
        <is>
          <t>No</t>
        </is>
      </c>
      <c r="L436" t="inlineStr">
        <is>
          <t>0</t>
        </is>
      </c>
      <c r="M436" t="inlineStr">
        <is>
          <t>Valenstein, Elliot S.</t>
        </is>
      </c>
      <c r="N436" t="inlineStr">
        <is>
          <t>New York : Wiley, [1974, c1973]</t>
        </is>
      </c>
      <c r="O436" t="inlineStr">
        <is>
          <t>1974</t>
        </is>
      </c>
      <c r="Q436" t="inlineStr">
        <is>
          <t>eng</t>
        </is>
      </c>
      <c r="R436" t="inlineStr">
        <is>
          <t>nyu</t>
        </is>
      </c>
      <c r="T436" t="inlineStr">
        <is>
          <t xml:space="preserve">QP </t>
        </is>
      </c>
      <c r="U436" t="n">
        <v>1</v>
      </c>
      <c r="V436" t="n">
        <v>1</v>
      </c>
      <c r="W436" t="inlineStr">
        <is>
          <t>1995-04-18</t>
        </is>
      </c>
      <c r="X436" t="inlineStr">
        <is>
          <t>1995-04-18</t>
        </is>
      </c>
      <c r="Y436" t="inlineStr">
        <is>
          <t>1994-03-29</t>
        </is>
      </c>
      <c r="Z436" t="inlineStr">
        <is>
          <t>1994-03-29</t>
        </is>
      </c>
      <c r="AA436" t="n">
        <v>636</v>
      </c>
      <c r="AB436" t="n">
        <v>573</v>
      </c>
      <c r="AC436" t="n">
        <v>647</v>
      </c>
      <c r="AD436" t="n">
        <v>8</v>
      </c>
      <c r="AE436" t="n">
        <v>8</v>
      </c>
      <c r="AF436" t="n">
        <v>26</v>
      </c>
      <c r="AG436" t="n">
        <v>27</v>
      </c>
      <c r="AH436" t="n">
        <v>6</v>
      </c>
      <c r="AI436" t="n">
        <v>7</v>
      </c>
      <c r="AJ436" t="n">
        <v>4</v>
      </c>
      <c r="AK436" t="n">
        <v>4</v>
      </c>
      <c r="AL436" t="n">
        <v>13</v>
      </c>
      <c r="AM436" t="n">
        <v>13</v>
      </c>
      <c r="AN436" t="n">
        <v>6</v>
      </c>
      <c r="AO436" t="n">
        <v>6</v>
      </c>
      <c r="AP436" t="n">
        <v>2</v>
      </c>
      <c r="AQ436" t="n">
        <v>2</v>
      </c>
      <c r="AR436" t="inlineStr">
        <is>
          <t>No</t>
        </is>
      </c>
      <c r="AS436" t="inlineStr">
        <is>
          <t>No</t>
        </is>
      </c>
      <c r="AU436">
        <f>HYPERLINK("https://creighton-primo.hosted.exlibrisgroup.com/primo-explore/search?tab=default_tab&amp;search_scope=EVERYTHING&amp;vid=01CRU&amp;lang=en_US&amp;offset=0&amp;query=any,contains,991003160019702656","Catalog Record")</f>
        <v/>
      </c>
      <c r="AV436">
        <f>HYPERLINK("http://www.worldcat.org/oclc/698751","WorldCat Record")</f>
        <v/>
      </c>
      <c r="AW436" t="inlineStr">
        <is>
          <t>487971033:eng</t>
        </is>
      </c>
      <c r="AX436" t="inlineStr">
        <is>
          <t>698751</t>
        </is>
      </c>
      <c r="AY436" t="inlineStr">
        <is>
          <t>991003160019702656</t>
        </is>
      </c>
      <c r="AZ436" t="inlineStr">
        <is>
          <t>991003160019702656</t>
        </is>
      </c>
      <c r="BA436" t="inlineStr">
        <is>
          <t>2265163710002656</t>
        </is>
      </c>
      <c r="BB436" t="inlineStr">
        <is>
          <t>BOOK</t>
        </is>
      </c>
      <c r="BD436" t="inlineStr">
        <is>
          <t>9780471897842</t>
        </is>
      </c>
      <c r="BE436" t="inlineStr">
        <is>
          <t>32285001872323</t>
        </is>
      </c>
      <c r="BF436" t="inlineStr">
        <is>
          <t>893899680</t>
        </is>
      </c>
    </row>
    <row r="437">
      <c r="B437" t="inlineStr">
        <is>
          <t>CURAL</t>
        </is>
      </c>
      <c r="C437" t="inlineStr">
        <is>
          <t>SHELVES</t>
        </is>
      </c>
      <c r="D437" t="inlineStr">
        <is>
          <t>QP376 .Z555 2004</t>
        </is>
      </c>
      <c r="E437" t="inlineStr">
        <is>
          <t>0                      QP 0376000Z  555         2004</t>
        </is>
      </c>
      <c r="F437" t="inlineStr">
        <is>
          <t>Soul made flesh : the discovery of the brain-- and how it changed the world / Carl Zimer.</t>
        </is>
      </c>
      <c r="H437" t="inlineStr">
        <is>
          <t>No</t>
        </is>
      </c>
      <c r="I437" t="inlineStr">
        <is>
          <t>1</t>
        </is>
      </c>
      <c r="J437" t="inlineStr">
        <is>
          <t>No</t>
        </is>
      </c>
      <c r="K437" t="inlineStr">
        <is>
          <t>No</t>
        </is>
      </c>
      <c r="L437" t="inlineStr">
        <is>
          <t>0</t>
        </is>
      </c>
      <c r="M437" t="inlineStr">
        <is>
          <t>Zimmer, Carl.</t>
        </is>
      </c>
      <c r="N437" t="inlineStr">
        <is>
          <t>New York : Free Press, c2004.</t>
        </is>
      </c>
      <c r="O437" t="inlineStr">
        <is>
          <t>2004</t>
        </is>
      </c>
      <c r="Q437" t="inlineStr">
        <is>
          <t>eng</t>
        </is>
      </c>
      <c r="R437" t="inlineStr">
        <is>
          <t>nyu</t>
        </is>
      </c>
      <c r="T437" t="inlineStr">
        <is>
          <t xml:space="preserve">QP </t>
        </is>
      </c>
      <c r="U437" t="n">
        <v>3</v>
      </c>
      <c r="V437" t="n">
        <v>3</v>
      </c>
      <c r="W437" t="inlineStr">
        <is>
          <t>2010-06-25</t>
        </is>
      </c>
      <c r="X437" t="inlineStr">
        <is>
          <t>2010-06-25</t>
        </is>
      </c>
      <c r="Y437" t="inlineStr">
        <is>
          <t>2004-01-19</t>
        </is>
      </c>
      <c r="Z437" t="inlineStr">
        <is>
          <t>2004-01-19</t>
        </is>
      </c>
      <c r="AA437" t="n">
        <v>1409</v>
      </c>
      <c r="AB437" t="n">
        <v>1300</v>
      </c>
      <c r="AC437" t="n">
        <v>1334</v>
      </c>
      <c r="AD437" t="n">
        <v>8</v>
      </c>
      <c r="AE437" t="n">
        <v>8</v>
      </c>
      <c r="AF437" t="n">
        <v>38</v>
      </c>
      <c r="AG437" t="n">
        <v>39</v>
      </c>
      <c r="AH437" t="n">
        <v>15</v>
      </c>
      <c r="AI437" t="n">
        <v>16</v>
      </c>
      <c r="AJ437" t="n">
        <v>7</v>
      </c>
      <c r="AK437" t="n">
        <v>7</v>
      </c>
      <c r="AL437" t="n">
        <v>19</v>
      </c>
      <c r="AM437" t="n">
        <v>20</v>
      </c>
      <c r="AN437" t="n">
        <v>5</v>
      </c>
      <c r="AO437" t="n">
        <v>5</v>
      </c>
      <c r="AP437" t="n">
        <v>0</v>
      </c>
      <c r="AQ437" t="n">
        <v>0</v>
      </c>
      <c r="AR437" t="inlineStr">
        <is>
          <t>No</t>
        </is>
      </c>
      <c r="AS437" t="inlineStr">
        <is>
          <t>No</t>
        </is>
      </c>
      <c r="AU437">
        <f>HYPERLINK("https://creighton-primo.hosted.exlibrisgroup.com/primo-explore/search?tab=default_tab&amp;search_scope=EVERYTHING&amp;vid=01CRU&amp;lang=en_US&amp;offset=0&amp;query=any,contains,991004201559702656","Catalog Record")</f>
        <v/>
      </c>
      <c r="AV437">
        <f>HYPERLINK("http://www.worldcat.org/oclc/53223682","WorldCat Record")</f>
        <v/>
      </c>
      <c r="AW437" t="inlineStr">
        <is>
          <t>10747:eng</t>
        </is>
      </c>
      <c r="AX437" t="inlineStr">
        <is>
          <t>53223682</t>
        </is>
      </c>
      <c r="AY437" t="inlineStr">
        <is>
          <t>991004201559702656</t>
        </is>
      </c>
      <c r="AZ437" t="inlineStr">
        <is>
          <t>991004201559702656</t>
        </is>
      </c>
      <c r="BA437" t="inlineStr">
        <is>
          <t>2263773310002656</t>
        </is>
      </c>
      <c r="BB437" t="inlineStr">
        <is>
          <t>BOOK</t>
        </is>
      </c>
      <c r="BD437" t="inlineStr">
        <is>
          <t>9780743230384</t>
        </is>
      </c>
      <c r="BE437" t="inlineStr">
        <is>
          <t>32285004634712</t>
        </is>
      </c>
      <c r="BF437" t="inlineStr">
        <is>
          <t>893411243</t>
        </is>
      </c>
    </row>
    <row r="438">
      <c r="B438" t="inlineStr">
        <is>
          <t>CURAL</t>
        </is>
      </c>
      <c r="C438" t="inlineStr">
        <is>
          <t>SHELVES</t>
        </is>
      </c>
      <c r="D438" t="inlineStr">
        <is>
          <t>QP38 .A155 2007</t>
        </is>
      </c>
      <c r="E438" t="inlineStr">
        <is>
          <t>0                      QP 0038000A  155         2007</t>
        </is>
      </c>
      <c r="F438" t="inlineStr">
        <is>
          <t>Sex sleep eat drink dream : a day in the life of your body / Jennifer Ackerman.</t>
        </is>
      </c>
      <c r="H438" t="inlineStr">
        <is>
          <t>No</t>
        </is>
      </c>
      <c r="I438" t="inlineStr">
        <is>
          <t>1</t>
        </is>
      </c>
      <c r="J438" t="inlineStr">
        <is>
          <t>No</t>
        </is>
      </c>
      <c r="K438" t="inlineStr">
        <is>
          <t>No</t>
        </is>
      </c>
      <c r="L438" t="inlineStr">
        <is>
          <t>0</t>
        </is>
      </c>
      <c r="M438" t="inlineStr">
        <is>
          <t>Ackerman, Jennifer, 1959-</t>
        </is>
      </c>
      <c r="N438" t="inlineStr">
        <is>
          <t>Boston : Houghton Mifflin Co., 2007.</t>
        </is>
      </c>
      <c r="O438" t="inlineStr">
        <is>
          <t>2007</t>
        </is>
      </c>
      <c r="Q438" t="inlineStr">
        <is>
          <t>eng</t>
        </is>
      </c>
      <c r="R438" t="inlineStr">
        <is>
          <t>mau</t>
        </is>
      </c>
      <c r="T438" t="inlineStr">
        <is>
          <t xml:space="preserve">QP </t>
        </is>
      </c>
      <c r="U438" t="n">
        <v>5</v>
      </c>
      <c r="V438" t="n">
        <v>5</v>
      </c>
      <c r="W438" t="inlineStr">
        <is>
          <t>2008-11-08</t>
        </is>
      </c>
      <c r="X438" t="inlineStr">
        <is>
          <t>2008-11-08</t>
        </is>
      </c>
      <c r="Y438" t="inlineStr">
        <is>
          <t>2007-12-05</t>
        </is>
      </c>
      <c r="Z438" t="inlineStr">
        <is>
          <t>2007-12-05</t>
        </is>
      </c>
      <c r="AA438" t="n">
        <v>815</v>
      </c>
      <c r="AB438" t="n">
        <v>760</v>
      </c>
      <c r="AC438" t="n">
        <v>830</v>
      </c>
      <c r="AD438" t="n">
        <v>4</v>
      </c>
      <c r="AE438" t="n">
        <v>4</v>
      </c>
      <c r="AF438" t="n">
        <v>11</v>
      </c>
      <c r="AG438" t="n">
        <v>12</v>
      </c>
      <c r="AH438" t="n">
        <v>4</v>
      </c>
      <c r="AI438" t="n">
        <v>5</v>
      </c>
      <c r="AJ438" t="n">
        <v>1</v>
      </c>
      <c r="AK438" t="n">
        <v>2</v>
      </c>
      <c r="AL438" t="n">
        <v>7</v>
      </c>
      <c r="AM438" t="n">
        <v>7</v>
      </c>
      <c r="AN438" t="n">
        <v>1</v>
      </c>
      <c r="AO438" t="n">
        <v>1</v>
      </c>
      <c r="AP438" t="n">
        <v>0</v>
      </c>
      <c r="AQ438" t="n">
        <v>0</v>
      </c>
      <c r="AR438" t="inlineStr">
        <is>
          <t>No</t>
        </is>
      </c>
      <c r="AS438" t="inlineStr">
        <is>
          <t>No</t>
        </is>
      </c>
      <c r="AU438">
        <f>HYPERLINK("https://creighton-primo.hosted.exlibrisgroup.com/primo-explore/search?tab=default_tab&amp;search_scope=EVERYTHING&amp;vid=01CRU&amp;lang=en_US&amp;offset=0&amp;query=any,contains,991005143349702656","Catalog Record")</f>
        <v/>
      </c>
      <c r="AV438">
        <f>HYPERLINK("http://www.worldcat.org/oclc/85692888","WorldCat Record")</f>
        <v/>
      </c>
      <c r="AW438" t="inlineStr">
        <is>
          <t>197677370:eng</t>
        </is>
      </c>
      <c r="AX438" t="inlineStr">
        <is>
          <t>85692888</t>
        </is>
      </c>
      <c r="AY438" t="inlineStr">
        <is>
          <t>991005143349702656</t>
        </is>
      </c>
      <c r="AZ438" t="inlineStr">
        <is>
          <t>991005143349702656</t>
        </is>
      </c>
      <c r="BA438" t="inlineStr">
        <is>
          <t>2264883940002656</t>
        </is>
      </c>
      <c r="BB438" t="inlineStr">
        <is>
          <t>BOOK</t>
        </is>
      </c>
      <c r="BD438" t="inlineStr">
        <is>
          <t>9780618187584</t>
        </is>
      </c>
      <c r="BE438" t="inlineStr">
        <is>
          <t>32285005369961</t>
        </is>
      </c>
      <c r="BF438" t="inlineStr">
        <is>
          <t>893326232</t>
        </is>
      </c>
    </row>
    <row r="439">
      <c r="B439" t="inlineStr">
        <is>
          <t>CURAL</t>
        </is>
      </c>
      <c r="C439" t="inlineStr">
        <is>
          <t>SHELVES</t>
        </is>
      </c>
      <c r="D439" t="inlineStr">
        <is>
          <t>QP38 .A35</t>
        </is>
      </c>
      <c r="E439" t="inlineStr">
        <is>
          <t>0                      QP 0038000A  35</t>
        </is>
      </c>
      <c r="F439" t="inlineStr">
        <is>
          <t>Understanding your body / Ernest E. Aegerter.</t>
        </is>
      </c>
      <c r="H439" t="inlineStr">
        <is>
          <t>No</t>
        </is>
      </c>
      <c r="I439" t="inlineStr">
        <is>
          <t>1</t>
        </is>
      </c>
      <c r="J439" t="inlineStr">
        <is>
          <t>No</t>
        </is>
      </c>
      <c r="K439" t="inlineStr">
        <is>
          <t>No</t>
        </is>
      </c>
      <c r="L439" t="inlineStr">
        <is>
          <t>0</t>
        </is>
      </c>
      <c r="M439" t="inlineStr">
        <is>
          <t>Aegerter, Ernest Emil, 1906-</t>
        </is>
      </c>
      <c r="N439" t="inlineStr">
        <is>
          <t>Philadelphia : Stickley, [1978?]</t>
        </is>
      </c>
      <c r="O439" t="inlineStr">
        <is>
          <t>1978</t>
        </is>
      </c>
      <c r="Q439" t="inlineStr">
        <is>
          <t>eng</t>
        </is>
      </c>
      <c r="R439" t="inlineStr">
        <is>
          <t>pau</t>
        </is>
      </c>
      <c r="T439" t="inlineStr">
        <is>
          <t xml:space="preserve">QP </t>
        </is>
      </c>
      <c r="U439" t="n">
        <v>2</v>
      </c>
      <c r="V439" t="n">
        <v>2</v>
      </c>
      <c r="W439" t="inlineStr">
        <is>
          <t>1995-09-18</t>
        </is>
      </c>
      <c r="X439" t="inlineStr">
        <is>
          <t>1995-09-18</t>
        </is>
      </c>
      <c r="Y439" t="inlineStr">
        <is>
          <t>1993-03-17</t>
        </is>
      </c>
      <c r="Z439" t="inlineStr">
        <is>
          <t>1993-03-17</t>
        </is>
      </c>
      <c r="AA439" t="n">
        <v>119</v>
      </c>
      <c r="AB439" t="n">
        <v>108</v>
      </c>
      <c r="AC439" t="n">
        <v>114</v>
      </c>
      <c r="AD439" t="n">
        <v>1</v>
      </c>
      <c r="AE439" t="n">
        <v>1</v>
      </c>
      <c r="AF439" t="n">
        <v>0</v>
      </c>
      <c r="AG439" t="n">
        <v>0</v>
      </c>
      <c r="AH439" t="n">
        <v>0</v>
      </c>
      <c r="AI439" t="n">
        <v>0</v>
      </c>
      <c r="AJ439" t="n">
        <v>0</v>
      </c>
      <c r="AK439" t="n">
        <v>0</v>
      </c>
      <c r="AL439" t="n">
        <v>0</v>
      </c>
      <c r="AM439" t="n">
        <v>0</v>
      </c>
      <c r="AN439" t="n">
        <v>0</v>
      </c>
      <c r="AO439" t="n">
        <v>0</v>
      </c>
      <c r="AP439" t="n">
        <v>0</v>
      </c>
      <c r="AQ439" t="n">
        <v>0</v>
      </c>
      <c r="AR439" t="inlineStr">
        <is>
          <t>No</t>
        </is>
      </c>
      <c r="AS439" t="inlineStr">
        <is>
          <t>No</t>
        </is>
      </c>
      <c r="AU439">
        <f>HYPERLINK("https://creighton-primo.hosted.exlibrisgroup.com/primo-explore/search?tab=default_tab&amp;search_scope=EVERYTHING&amp;vid=01CRU&amp;lang=en_US&amp;offset=0&amp;query=any,contains,991005264359702656","Catalog Record")</f>
        <v/>
      </c>
      <c r="AV439">
        <f>HYPERLINK("http://www.worldcat.org/oclc/4445052","WorldCat Record")</f>
        <v/>
      </c>
      <c r="AW439" t="inlineStr">
        <is>
          <t>14763186:eng</t>
        </is>
      </c>
      <c r="AX439" t="inlineStr">
        <is>
          <t>4445052</t>
        </is>
      </c>
      <c r="AY439" t="inlineStr">
        <is>
          <t>991005264359702656</t>
        </is>
      </c>
      <c r="AZ439" t="inlineStr">
        <is>
          <t>991005264359702656</t>
        </is>
      </c>
      <c r="BA439" t="inlineStr">
        <is>
          <t>2269676170002656</t>
        </is>
      </c>
      <c r="BB439" t="inlineStr">
        <is>
          <t>BOOK</t>
        </is>
      </c>
      <c r="BD439" t="inlineStr">
        <is>
          <t>9780893130121</t>
        </is>
      </c>
      <c r="BE439" t="inlineStr">
        <is>
          <t>32285001588564</t>
        </is>
      </c>
      <c r="BF439" t="inlineStr">
        <is>
          <t>893713760</t>
        </is>
      </c>
    </row>
    <row r="440">
      <c r="B440" t="inlineStr">
        <is>
          <t>CURAL</t>
        </is>
      </c>
      <c r="C440" t="inlineStr">
        <is>
          <t>SHELVES</t>
        </is>
      </c>
      <c r="D440" t="inlineStr">
        <is>
          <t>QP38 .B597 2007</t>
        </is>
      </c>
      <c r="E440" t="inlineStr">
        <is>
          <t>0                      QP 0038000B  597         2007</t>
        </is>
      </c>
      <c r="F440" t="inlineStr">
        <is>
          <t>Body : the complete human : how it grows, how it works, and how to keep it healthy and strong / foreword by Richard Restak ; text by Patricia Daniels ... [et al.].</t>
        </is>
      </c>
      <c r="H440" t="inlineStr">
        <is>
          <t>No</t>
        </is>
      </c>
      <c r="I440" t="inlineStr">
        <is>
          <t>1</t>
        </is>
      </c>
      <c r="J440" t="inlineStr">
        <is>
          <t>No</t>
        </is>
      </c>
      <c r="K440" t="inlineStr">
        <is>
          <t>No</t>
        </is>
      </c>
      <c r="L440" t="inlineStr">
        <is>
          <t>0</t>
        </is>
      </c>
      <c r="N440" t="inlineStr">
        <is>
          <t>Washington, D.C. : National Geographic, c2007.</t>
        </is>
      </c>
      <c r="O440" t="inlineStr">
        <is>
          <t>2007</t>
        </is>
      </c>
      <c r="Q440" t="inlineStr">
        <is>
          <t>eng</t>
        </is>
      </c>
      <c r="R440" t="inlineStr">
        <is>
          <t>dcu</t>
        </is>
      </c>
      <c r="T440" t="inlineStr">
        <is>
          <t xml:space="preserve">QP </t>
        </is>
      </c>
      <c r="U440" t="n">
        <v>1</v>
      </c>
      <c r="V440" t="n">
        <v>1</v>
      </c>
      <c r="W440" t="inlineStr">
        <is>
          <t>2008-06-09</t>
        </is>
      </c>
      <c r="X440" t="inlineStr">
        <is>
          <t>2008-06-09</t>
        </is>
      </c>
      <c r="Y440" t="inlineStr">
        <is>
          <t>2008-06-09</t>
        </is>
      </c>
      <c r="Z440" t="inlineStr">
        <is>
          <t>2008-06-09</t>
        </is>
      </c>
      <c r="AA440" t="n">
        <v>923</v>
      </c>
      <c r="AB440" t="n">
        <v>838</v>
      </c>
      <c r="AC440" t="n">
        <v>948</v>
      </c>
      <c r="AD440" t="n">
        <v>7</v>
      </c>
      <c r="AE440" t="n">
        <v>8</v>
      </c>
      <c r="AF440" t="n">
        <v>4</v>
      </c>
      <c r="AG440" t="n">
        <v>4</v>
      </c>
      <c r="AH440" t="n">
        <v>1</v>
      </c>
      <c r="AI440" t="n">
        <v>1</v>
      </c>
      <c r="AJ440" t="n">
        <v>1</v>
      </c>
      <c r="AK440" t="n">
        <v>1</v>
      </c>
      <c r="AL440" t="n">
        <v>2</v>
      </c>
      <c r="AM440" t="n">
        <v>2</v>
      </c>
      <c r="AN440" t="n">
        <v>1</v>
      </c>
      <c r="AO440" t="n">
        <v>1</v>
      </c>
      <c r="AP440" t="n">
        <v>0</v>
      </c>
      <c r="AQ440" t="n">
        <v>0</v>
      </c>
      <c r="AR440" t="inlineStr">
        <is>
          <t>No</t>
        </is>
      </c>
      <c r="AS440" t="inlineStr">
        <is>
          <t>Yes</t>
        </is>
      </c>
      <c r="AT440">
        <f>HYPERLINK("http://catalog.hathitrust.org/Record/007068354","HathiTrust Record")</f>
        <v/>
      </c>
      <c r="AU440">
        <f>HYPERLINK("https://creighton-primo.hosted.exlibrisgroup.com/primo-explore/search?tab=default_tab&amp;search_scope=EVERYTHING&amp;vid=01CRU&amp;lang=en_US&amp;offset=0&amp;query=any,contains,991005232159702656","Catalog Record")</f>
        <v/>
      </c>
      <c r="AV440">
        <f>HYPERLINK("http://www.worldcat.org/oclc/144226844","WorldCat Record")</f>
        <v/>
      </c>
      <c r="AW440" t="inlineStr">
        <is>
          <t>896885334:eng</t>
        </is>
      </c>
      <c r="AX440" t="inlineStr">
        <is>
          <t>144226844</t>
        </is>
      </c>
      <c r="AY440" t="inlineStr">
        <is>
          <t>991005232159702656</t>
        </is>
      </c>
      <c r="AZ440" t="inlineStr">
        <is>
          <t>991005232159702656</t>
        </is>
      </c>
      <c r="BA440" t="inlineStr">
        <is>
          <t>2266775140002656</t>
        </is>
      </c>
      <c r="BB440" t="inlineStr">
        <is>
          <t>BOOK</t>
        </is>
      </c>
      <c r="BD440" t="inlineStr">
        <is>
          <t>9781426201288</t>
        </is>
      </c>
      <c r="BE440" t="inlineStr">
        <is>
          <t>32285005443907</t>
        </is>
      </c>
      <c r="BF440" t="inlineStr">
        <is>
          <t>893896108</t>
        </is>
      </c>
    </row>
    <row r="441">
      <c r="B441" t="inlineStr">
        <is>
          <t>CURAL</t>
        </is>
      </c>
      <c r="C441" t="inlineStr">
        <is>
          <t>SHELVES</t>
        </is>
      </c>
      <c r="D441" t="inlineStr">
        <is>
          <t>QP38 .E24</t>
        </is>
      </c>
      <c r="E441" t="inlineStr">
        <is>
          <t>0                      QP 0038000E  24</t>
        </is>
      </c>
      <c r="F441" t="inlineStr">
        <is>
          <t>The body has a head.</t>
        </is>
      </c>
      <c r="H441" t="inlineStr">
        <is>
          <t>No</t>
        </is>
      </c>
      <c r="I441" t="inlineStr">
        <is>
          <t>1</t>
        </is>
      </c>
      <c r="J441" t="inlineStr">
        <is>
          <t>No</t>
        </is>
      </c>
      <c r="K441" t="inlineStr">
        <is>
          <t>No</t>
        </is>
      </c>
      <c r="L441" t="inlineStr">
        <is>
          <t>0</t>
        </is>
      </c>
      <c r="M441" t="inlineStr">
        <is>
          <t>Eckstein, Gustav, 1890-1981.</t>
        </is>
      </c>
      <c r="N441" t="inlineStr">
        <is>
          <t>New York, Harper &amp; Row [1970]</t>
        </is>
      </c>
      <c r="O441" t="inlineStr">
        <is>
          <t>1970</t>
        </is>
      </c>
      <c r="P441" t="inlineStr">
        <is>
          <t>[1st ed.]</t>
        </is>
      </c>
      <c r="Q441" t="inlineStr">
        <is>
          <t>eng</t>
        </is>
      </c>
      <c r="R441" t="inlineStr">
        <is>
          <t>nyu</t>
        </is>
      </c>
      <c r="S441" t="inlineStr">
        <is>
          <t>A Cass Canfield book</t>
        </is>
      </c>
      <c r="T441" t="inlineStr">
        <is>
          <t xml:space="preserve">QP </t>
        </is>
      </c>
      <c r="U441" t="n">
        <v>1</v>
      </c>
      <c r="V441" t="n">
        <v>1</v>
      </c>
      <c r="W441" t="inlineStr">
        <is>
          <t>2002-10-07</t>
        </is>
      </c>
      <c r="X441" t="inlineStr">
        <is>
          <t>2002-10-07</t>
        </is>
      </c>
      <c r="Y441" t="inlineStr">
        <is>
          <t>1997-08-04</t>
        </is>
      </c>
      <c r="Z441" t="inlineStr">
        <is>
          <t>1997-08-04</t>
        </is>
      </c>
      <c r="AA441" t="n">
        <v>1203</v>
      </c>
      <c r="AB441" t="n">
        <v>1138</v>
      </c>
      <c r="AC441" t="n">
        <v>1152</v>
      </c>
      <c r="AD441" t="n">
        <v>9</v>
      </c>
      <c r="AE441" t="n">
        <v>9</v>
      </c>
      <c r="AF441" t="n">
        <v>34</v>
      </c>
      <c r="AG441" t="n">
        <v>34</v>
      </c>
      <c r="AH441" t="n">
        <v>12</v>
      </c>
      <c r="AI441" t="n">
        <v>12</v>
      </c>
      <c r="AJ441" t="n">
        <v>5</v>
      </c>
      <c r="AK441" t="n">
        <v>5</v>
      </c>
      <c r="AL441" t="n">
        <v>17</v>
      </c>
      <c r="AM441" t="n">
        <v>17</v>
      </c>
      <c r="AN441" t="n">
        <v>6</v>
      </c>
      <c r="AO441" t="n">
        <v>6</v>
      </c>
      <c r="AP441" t="n">
        <v>0</v>
      </c>
      <c r="AQ441" t="n">
        <v>0</v>
      </c>
      <c r="AR441" t="inlineStr">
        <is>
          <t>No</t>
        </is>
      </c>
      <c r="AS441" t="inlineStr">
        <is>
          <t>Yes</t>
        </is>
      </c>
      <c r="AT441">
        <f>HYPERLINK("http://catalog.hathitrust.org/Record/001553348","HathiTrust Record")</f>
        <v/>
      </c>
      <c r="AU441">
        <f>HYPERLINK("https://creighton-primo.hosted.exlibrisgroup.com/primo-explore/search?tab=default_tab&amp;search_scope=EVERYTHING&amp;vid=01CRU&amp;lang=en_US&amp;offset=0&amp;query=any,contains,991000135319702656","Catalog Record")</f>
        <v/>
      </c>
      <c r="AV441">
        <f>HYPERLINK("http://www.worldcat.org/oclc/56048","WorldCat Record")</f>
        <v/>
      </c>
      <c r="AW441" t="inlineStr">
        <is>
          <t>21003416:eng</t>
        </is>
      </c>
      <c r="AX441" t="inlineStr">
        <is>
          <t>56048</t>
        </is>
      </c>
      <c r="AY441" t="inlineStr">
        <is>
          <t>991000135319702656</t>
        </is>
      </c>
      <c r="AZ441" t="inlineStr">
        <is>
          <t>991000135319702656</t>
        </is>
      </c>
      <c r="BA441" t="inlineStr">
        <is>
          <t>2261127990002656</t>
        </is>
      </c>
      <c r="BB441" t="inlineStr">
        <is>
          <t>BOOK</t>
        </is>
      </c>
      <c r="BE441" t="inlineStr">
        <is>
          <t>32285003011938</t>
        </is>
      </c>
      <c r="BF441" t="inlineStr">
        <is>
          <t>893884148</t>
        </is>
      </c>
    </row>
    <row r="442">
      <c r="B442" t="inlineStr">
        <is>
          <t>CURAL</t>
        </is>
      </c>
      <c r="C442" t="inlineStr">
        <is>
          <t>SHELVES</t>
        </is>
      </c>
      <c r="D442" t="inlineStr">
        <is>
          <t>QP38 .M38 1985</t>
        </is>
      </c>
      <c r="E442" t="inlineStr">
        <is>
          <t>0                      QP 0038000M  38          1985</t>
        </is>
      </c>
      <c r="F442" t="inlineStr">
        <is>
          <t>The body almanac : mind-boggling facts about today's human body and high-tech medicine / Neil McAleer.</t>
        </is>
      </c>
      <c r="H442" t="inlineStr">
        <is>
          <t>No</t>
        </is>
      </c>
      <c r="I442" t="inlineStr">
        <is>
          <t>1</t>
        </is>
      </c>
      <c r="J442" t="inlineStr">
        <is>
          <t>No</t>
        </is>
      </c>
      <c r="K442" t="inlineStr">
        <is>
          <t>No</t>
        </is>
      </c>
      <c r="L442" t="inlineStr">
        <is>
          <t>0</t>
        </is>
      </c>
      <c r="M442" t="inlineStr">
        <is>
          <t>McAleer, Neil, 1942-</t>
        </is>
      </c>
      <c r="N442" t="inlineStr">
        <is>
          <t>Garden City, N.Y. : Doubleday, 1985.</t>
        </is>
      </c>
      <c r="O442" t="inlineStr">
        <is>
          <t>1985</t>
        </is>
      </c>
      <c r="P442" t="inlineStr">
        <is>
          <t>1st ed.</t>
        </is>
      </c>
      <c r="Q442" t="inlineStr">
        <is>
          <t>eng</t>
        </is>
      </c>
      <c r="R442" t="inlineStr">
        <is>
          <t>nyu</t>
        </is>
      </c>
      <c r="T442" t="inlineStr">
        <is>
          <t xml:space="preserve">QP </t>
        </is>
      </c>
      <c r="U442" t="n">
        <v>7</v>
      </c>
      <c r="V442" t="n">
        <v>7</v>
      </c>
      <c r="W442" t="inlineStr">
        <is>
          <t>2008-02-25</t>
        </is>
      </c>
      <c r="X442" t="inlineStr">
        <is>
          <t>2008-02-25</t>
        </is>
      </c>
      <c r="Y442" t="inlineStr">
        <is>
          <t>1993-02-24</t>
        </is>
      </c>
      <c r="Z442" t="inlineStr">
        <is>
          <t>1993-02-24</t>
        </is>
      </c>
      <c r="AA442" t="n">
        <v>394</v>
      </c>
      <c r="AB442" t="n">
        <v>382</v>
      </c>
      <c r="AC442" t="n">
        <v>383</v>
      </c>
      <c r="AD442" t="n">
        <v>3</v>
      </c>
      <c r="AE442" t="n">
        <v>3</v>
      </c>
      <c r="AF442" t="n">
        <v>2</v>
      </c>
      <c r="AG442" t="n">
        <v>2</v>
      </c>
      <c r="AH442" t="n">
        <v>1</v>
      </c>
      <c r="AI442" t="n">
        <v>1</v>
      </c>
      <c r="AJ442" t="n">
        <v>0</v>
      </c>
      <c r="AK442" t="n">
        <v>0</v>
      </c>
      <c r="AL442" t="n">
        <v>1</v>
      </c>
      <c r="AM442" t="n">
        <v>1</v>
      </c>
      <c r="AN442" t="n">
        <v>1</v>
      </c>
      <c r="AO442" t="n">
        <v>1</v>
      </c>
      <c r="AP442" t="n">
        <v>0</v>
      </c>
      <c r="AQ442" t="n">
        <v>0</v>
      </c>
      <c r="AR442" t="inlineStr">
        <is>
          <t>No</t>
        </is>
      </c>
      <c r="AS442" t="inlineStr">
        <is>
          <t>Yes</t>
        </is>
      </c>
      <c r="AT442">
        <f>HYPERLINK("http://catalog.hathitrust.org/Record/102075398","HathiTrust Record")</f>
        <v/>
      </c>
      <c r="AU442">
        <f>HYPERLINK("https://creighton-primo.hosted.exlibrisgroup.com/primo-explore/search?tab=default_tab&amp;search_scope=EVERYTHING&amp;vid=01CRU&amp;lang=en_US&amp;offset=0&amp;query=any,contains,991000536979702656","Catalog Record")</f>
        <v/>
      </c>
      <c r="AV442">
        <f>HYPERLINK("http://www.worldcat.org/oclc/11467717","WorldCat Record")</f>
        <v/>
      </c>
      <c r="AW442" t="inlineStr">
        <is>
          <t>1109557663:eng</t>
        </is>
      </c>
      <c r="AX442" t="inlineStr">
        <is>
          <t>11467717</t>
        </is>
      </c>
      <c r="AY442" t="inlineStr">
        <is>
          <t>991000536979702656</t>
        </is>
      </c>
      <c r="AZ442" t="inlineStr">
        <is>
          <t>991000536979702656</t>
        </is>
      </c>
      <c r="BA442" t="inlineStr">
        <is>
          <t>2265258950002656</t>
        </is>
      </c>
      <c r="BB442" t="inlineStr">
        <is>
          <t>BOOK</t>
        </is>
      </c>
      <c r="BD442" t="inlineStr">
        <is>
          <t>9780385179836</t>
        </is>
      </c>
      <c r="BE442" t="inlineStr">
        <is>
          <t>32285001549020</t>
        </is>
      </c>
      <c r="BF442" t="inlineStr">
        <is>
          <t>893595639</t>
        </is>
      </c>
    </row>
    <row r="443">
      <c r="B443" t="inlineStr">
        <is>
          <t>CURAL</t>
        </is>
      </c>
      <c r="C443" t="inlineStr">
        <is>
          <t>SHELVES</t>
        </is>
      </c>
      <c r="D443" t="inlineStr">
        <is>
          <t>QP38 .N88</t>
        </is>
      </c>
      <c r="E443" t="inlineStr">
        <is>
          <t>0                      QP 0038000N  88</t>
        </is>
      </c>
      <c r="F443" t="inlineStr">
        <is>
          <t>The body / by Alan E. Nourse and the editors of Life.</t>
        </is>
      </c>
      <c r="H443" t="inlineStr">
        <is>
          <t>No</t>
        </is>
      </c>
      <c r="I443" t="inlineStr">
        <is>
          <t>1</t>
        </is>
      </c>
      <c r="J443" t="inlineStr">
        <is>
          <t>No</t>
        </is>
      </c>
      <c r="K443" t="inlineStr">
        <is>
          <t>No</t>
        </is>
      </c>
      <c r="L443" t="inlineStr">
        <is>
          <t>0</t>
        </is>
      </c>
      <c r="M443" t="inlineStr">
        <is>
          <t>Nourse, Alan E. (Alan Edward), 1928-1992.</t>
        </is>
      </c>
      <c r="N443" t="inlineStr">
        <is>
          <t>New York : Time, inc., [1964]</t>
        </is>
      </c>
      <c r="O443" t="inlineStr">
        <is>
          <t>1964</t>
        </is>
      </c>
      <c r="Q443" t="inlineStr">
        <is>
          <t>eng</t>
        </is>
      </c>
      <c r="R443" t="inlineStr">
        <is>
          <t>nyu</t>
        </is>
      </c>
      <c r="S443" t="inlineStr">
        <is>
          <t>Life science library</t>
        </is>
      </c>
      <c r="T443" t="inlineStr">
        <is>
          <t xml:space="preserve">QP </t>
        </is>
      </c>
      <c r="U443" t="n">
        <v>5</v>
      </c>
      <c r="V443" t="n">
        <v>5</v>
      </c>
      <c r="W443" t="inlineStr">
        <is>
          <t>2008-02-25</t>
        </is>
      </c>
      <c r="X443" t="inlineStr">
        <is>
          <t>2008-02-25</t>
        </is>
      </c>
      <c r="Y443" t="inlineStr">
        <is>
          <t>1993-05-28</t>
        </is>
      </c>
      <c r="Z443" t="inlineStr">
        <is>
          <t>1993-05-28</t>
        </is>
      </c>
      <c r="AA443" t="n">
        <v>1019</v>
      </c>
      <c r="AB443" t="n">
        <v>952</v>
      </c>
      <c r="AC443" t="n">
        <v>1325</v>
      </c>
      <c r="AD443" t="n">
        <v>9</v>
      </c>
      <c r="AE443" t="n">
        <v>13</v>
      </c>
      <c r="AF443" t="n">
        <v>17</v>
      </c>
      <c r="AG443" t="n">
        <v>20</v>
      </c>
      <c r="AH443" t="n">
        <v>7</v>
      </c>
      <c r="AI443" t="n">
        <v>7</v>
      </c>
      <c r="AJ443" t="n">
        <v>2</v>
      </c>
      <c r="AK443" t="n">
        <v>2</v>
      </c>
      <c r="AL443" t="n">
        <v>9</v>
      </c>
      <c r="AM443" t="n">
        <v>11</v>
      </c>
      <c r="AN443" t="n">
        <v>4</v>
      </c>
      <c r="AO443" t="n">
        <v>5</v>
      </c>
      <c r="AP443" t="n">
        <v>0</v>
      </c>
      <c r="AQ443" t="n">
        <v>0</v>
      </c>
      <c r="AR443" t="inlineStr">
        <is>
          <t>No</t>
        </is>
      </c>
      <c r="AS443" t="inlineStr">
        <is>
          <t>Yes</t>
        </is>
      </c>
      <c r="AT443">
        <f>HYPERLINK("http://catalog.hathitrust.org/Record/001553358","HathiTrust Record")</f>
        <v/>
      </c>
      <c r="AU443">
        <f>HYPERLINK("https://creighton-primo.hosted.exlibrisgroup.com/primo-explore/search?tab=default_tab&amp;search_scope=EVERYTHING&amp;vid=01CRU&amp;lang=en_US&amp;offset=0&amp;query=any,contains,991002980529702656","Catalog Record")</f>
        <v/>
      </c>
      <c r="AV443">
        <f>HYPERLINK("http://www.worldcat.org/oclc/554791","WorldCat Record")</f>
        <v/>
      </c>
      <c r="AW443" t="inlineStr">
        <is>
          <t>1150985942:eng</t>
        </is>
      </c>
      <c r="AX443" t="inlineStr">
        <is>
          <t>554791</t>
        </is>
      </c>
      <c r="AY443" t="inlineStr">
        <is>
          <t>991002980529702656</t>
        </is>
      </c>
      <c r="AZ443" t="inlineStr">
        <is>
          <t>991002980529702656</t>
        </is>
      </c>
      <c r="BA443" t="inlineStr">
        <is>
          <t>2258506650002656</t>
        </is>
      </c>
      <c r="BB443" t="inlineStr">
        <is>
          <t>BOOK</t>
        </is>
      </c>
      <c r="BE443" t="inlineStr">
        <is>
          <t>32285001693356</t>
        </is>
      </c>
      <c r="BF443" t="inlineStr">
        <is>
          <t>893627399</t>
        </is>
      </c>
    </row>
    <row r="444">
      <c r="B444" t="inlineStr">
        <is>
          <t>CURAL</t>
        </is>
      </c>
      <c r="C444" t="inlineStr">
        <is>
          <t>SHELVES</t>
        </is>
      </c>
      <c r="D444" t="inlineStr">
        <is>
          <t>QP38 .S67 1986</t>
        </is>
      </c>
      <c r="E444" t="inlineStr">
        <is>
          <t>0                      QP 0038000S  67          1986</t>
        </is>
      </c>
      <c r="F444" t="inlineStr">
        <is>
          <t>The body / Anthony Smith.</t>
        </is>
      </c>
      <c r="H444" t="inlineStr">
        <is>
          <t>No</t>
        </is>
      </c>
      <c r="I444" t="inlineStr">
        <is>
          <t>1</t>
        </is>
      </c>
      <c r="J444" t="inlineStr">
        <is>
          <t>No</t>
        </is>
      </c>
      <c r="K444" t="inlineStr">
        <is>
          <t>No</t>
        </is>
      </c>
      <c r="L444" t="inlineStr">
        <is>
          <t>0</t>
        </is>
      </c>
      <c r="M444" t="inlineStr">
        <is>
          <t>Smith, Anthony, 1926-2014.</t>
        </is>
      </c>
      <c r="N444" t="inlineStr">
        <is>
          <t>New York, NY : Viking, 1986, c1985.</t>
        </is>
      </c>
      <c r="O444" t="inlineStr">
        <is>
          <t>1986</t>
        </is>
      </c>
      <c r="P444" t="inlineStr">
        <is>
          <t>1st American ed.</t>
        </is>
      </c>
      <c r="Q444" t="inlineStr">
        <is>
          <t>eng</t>
        </is>
      </c>
      <c r="R444" t="inlineStr">
        <is>
          <t>nyu</t>
        </is>
      </c>
      <c r="T444" t="inlineStr">
        <is>
          <t xml:space="preserve">QP </t>
        </is>
      </c>
      <c r="U444" t="n">
        <v>5</v>
      </c>
      <c r="V444" t="n">
        <v>5</v>
      </c>
      <c r="W444" t="inlineStr">
        <is>
          <t>2008-02-25</t>
        </is>
      </c>
      <c r="X444" t="inlineStr">
        <is>
          <t>2008-02-25</t>
        </is>
      </c>
      <c r="Y444" t="inlineStr">
        <is>
          <t>1993-02-24</t>
        </is>
      </c>
      <c r="Z444" t="inlineStr">
        <is>
          <t>1993-02-24</t>
        </is>
      </c>
      <c r="AA444" t="n">
        <v>397</v>
      </c>
      <c r="AB444" t="n">
        <v>384</v>
      </c>
      <c r="AC444" t="n">
        <v>766</v>
      </c>
      <c r="AD444" t="n">
        <v>2</v>
      </c>
      <c r="AE444" t="n">
        <v>7</v>
      </c>
      <c r="AF444" t="n">
        <v>2</v>
      </c>
      <c r="AG444" t="n">
        <v>19</v>
      </c>
      <c r="AH444" t="n">
        <v>0</v>
      </c>
      <c r="AI444" t="n">
        <v>2</v>
      </c>
      <c r="AJ444" t="n">
        <v>0</v>
      </c>
      <c r="AK444" t="n">
        <v>4</v>
      </c>
      <c r="AL444" t="n">
        <v>1</v>
      </c>
      <c r="AM444" t="n">
        <v>10</v>
      </c>
      <c r="AN444" t="n">
        <v>1</v>
      </c>
      <c r="AO444" t="n">
        <v>6</v>
      </c>
      <c r="AP444" t="n">
        <v>0</v>
      </c>
      <c r="AQ444" t="n">
        <v>0</v>
      </c>
      <c r="AR444" t="inlineStr">
        <is>
          <t>No</t>
        </is>
      </c>
      <c r="AS444" t="inlineStr">
        <is>
          <t>Yes</t>
        </is>
      </c>
      <c r="AT444">
        <f>HYPERLINK("http://catalog.hathitrust.org/Record/000387261","HathiTrust Record")</f>
        <v/>
      </c>
      <c r="AU444">
        <f>HYPERLINK("https://creighton-primo.hosted.exlibrisgroup.com/primo-explore/search?tab=default_tab&amp;search_scope=EVERYTHING&amp;vid=01CRU&amp;lang=en_US&amp;offset=0&amp;query=any,contains,991000660529702656","Catalog Record")</f>
        <v/>
      </c>
      <c r="AV444">
        <f>HYPERLINK("http://www.worldcat.org/oclc/12237876","WorldCat Record")</f>
        <v/>
      </c>
      <c r="AW444" t="inlineStr">
        <is>
          <t>1242644:eng</t>
        </is>
      </c>
      <c r="AX444" t="inlineStr">
        <is>
          <t>12237876</t>
        </is>
      </c>
      <c r="AY444" t="inlineStr">
        <is>
          <t>991000660529702656</t>
        </is>
      </c>
      <c r="AZ444" t="inlineStr">
        <is>
          <t>991000660529702656</t>
        </is>
      </c>
      <c r="BA444" t="inlineStr">
        <is>
          <t>2268386880002656</t>
        </is>
      </c>
      <c r="BB444" t="inlineStr">
        <is>
          <t>BOOK</t>
        </is>
      </c>
      <c r="BD444" t="inlineStr">
        <is>
          <t>9780670808465</t>
        </is>
      </c>
      <c r="BE444" t="inlineStr">
        <is>
          <t>32285001549038</t>
        </is>
      </c>
      <c r="BF444" t="inlineStr">
        <is>
          <t>893534257</t>
        </is>
      </c>
    </row>
    <row r="445">
      <c r="B445" t="inlineStr">
        <is>
          <t>CURAL</t>
        </is>
      </c>
      <c r="C445" t="inlineStr">
        <is>
          <t>SHELVES</t>
        </is>
      </c>
      <c r="D445" t="inlineStr">
        <is>
          <t>QP381 .P3 1927</t>
        </is>
      </c>
      <c r="E445" t="inlineStr">
        <is>
          <t>0                      QP 0381000P  3           1927</t>
        </is>
      </c>
      <c r="F445" t="inlineStr">
        <is>
          <t>Conditioned reflexes; an investigation of the physiological activity of the cerebral cortex. By I.P. Pavlov ... Translated and edited by G.V. Anrep ...</t>
        </is>
      </c>
      <c r="H445" t="inlineStr">
        <is>
          <t>No</t>
        </is>
      </c>
      <c r="I445" t="inlineStr">
        <is>
          <t>1</t>
        </is>
      </c>
      <c r="J445" t="inlineStr">
        <is>
          <t>No</t>
        </is>
      </c>
      <c r="K445" t="inlineStr">
        <is>
          <t>Yes</t>
        </is>
      </c>
      <c r="L445" t="inlineStr">
        <is>
          <t>0</t>
        </is>
      </c>
      <c r="M445" t="inlineStr">
        <is>
          <t>Pavlov, Ivan Petrovich, 1849-1936.</t>
        </is>
      </c>
      <c r="N445" t="inlineStr">
        <is>
          <t>[London] Oxford University Press: Humphrey Milford, 1927.</t>
        </is>
      </c>
      <c r="O445" t="inlineStr">
        <is>
          <t>1927</t>
        </is>
      </c>
      <c r="Q445" t="inlineStr">
        <is>
          <t>eng</t>
        </is>
      </c>
      <c r="R445" t="inlineStr">
        <is>
          <t>enk</t>
        </is>
      </c>
      <c r="T445" t="inlineStr">
        <is>
          <t xml:space="preserve">QP </t>
        </is>
      </c>
      <c r="U445" t="n">
        <v>8</v>
      </c>
      <c r="V445" t="n">
        <v>8</v>
      </c>
      <c r="W445" t="inlineStr">
        <is>
          <t>2010-02-26</t>
        </is>
      </c>
      <c r="X445" t="inlineStr">
        <is>
          <t>2010-02-26</t>
        </is>
      </c>
      <c r="Y445" t="inlineStr">
        <is>
          <t>1994-09-20</t>
        </is>
      </c>
      <c r="Z445" t="inlineStr">
        <is>
          <t>1994-09-20</t>
        </is>
      </c>
      <c r="AA445" t="n">
        <v>406</v>
      </c>
      <c r="AB445" t="n">
        <v>339</v>
      </c>
      <c r="AC445" t="n">
        <v>1416</v>
      </c>
      <c r="AD445" t="n">
        <v>4</v>
      </c>
      <c r="AE445" t="n">
        <v>10</v>
      </c>
      <c r="AF445" t="n">
        <v>19</v>
      </c>
      <c r="AG445" t="n">
        <v>47</v>
      </c>
      <c r="AH445" t="n">
        <v>4</v>
      </c>
      <c r="AI445" t="n">
        <v>21</v>
      </c>
      <c r="AJ445" t="n">
        <v>6</v>
      </c>
      <c r="AK445" t="n">
        <v>7</v>
      </c>
      <c r="AL445" t="n">
        <v>11</v>
      </c>
      <c r="AM445" t="n">
        <v>20</v>
      </c>
      <c r="AN445" t="n">
        <v>2</v>
      </c>
      <c r="AO445" t="n">
        <v>8</v>
      </c>
      <c r="AP445" t="n">
        <v>0</v>
      </c>
      <c r="AQ445" t="n">
        <v>0</v>
      </c>
      <c r="AR445" t="inlineStr">
        <is>
          <t>No</t>
        </is>
      </c>
      <c r="AS445" t="inlineStr">
        <is>
          <t>Yes</t>
        </is>
      </c>
      <c r="AT445">
        <f>HYPERLINK("http://catalog.hathitrust.org/Record/001554874","HathiTrust Record")</f>
        <v/>
      </c>
      <c r="AU445">
        <f>HYPERLINK("https://creighton-primo.hosted.exlibrisgroup.com/primo-explore/search?tab=default_tab&amp;search_scope=EVERYTHING&amp;vid=01CRU&amp;lang=en_US&amp;offset=0&amp;query=any,contains,991005266119702656","Catalog Record")</f>
        <v/>
      </c>
      <c r="AV445">
        <f>HYPERLINK("http://www.worldcat.org/oclc/14748665","WorldCat Record")</f>
        <v/>
      </c>
      <c r="AW445" t="inlineStr">
        <is>
          <t>3901087697:eng</t>
        </is>
      </c>
      <c r="AX445" t="inlineStr">
        <is>
          <t>14748665</t>
        </is>
      </c>
      <c r="AY445" t="inlineStr">
        <is>
          <t>991005266119702656</t>
        </is>
      </c>
      <c r="AZ445" t="inlineStr">
        <is>
          <t>991005266119702656</t>
        </is>
      </c>
      <c r="BA445" t="inlineStr">
        <is>
          <t>2256713080002656</t>
        </is>
      </c>
      <c r="BB445" t="inlineStr">
        <is>
          <t>BOOK</t>
        </is>
      </c>
      <c r="BE445" t="inlineStr">
        <is>
          <t>32285001883692</t>
        </is>
      </c>
      <c r="BF445" t="inlineStr">
        <is>
          <t>893236565</t>
        </is>
      </c>
    </row>
    <row r="446">
      <c r="B446" t="inlineStr">
        <is>
          <t>CURAL</t>
        </is>
      </c>
      <c r="C446" t="inlineStr">
        <is>
          <t>SHELVES</t>
        </is>
      </c>
      <c r="D446" t="inlineStr">
        <is>
          <t>QP381 .P3 1960</t>
        </is>
      </c>
      <c r="E446" t="inlineStr">
        <is>
          <t>0                      QP 0381000P  3           1960</t>
        </is>
      </c>
      <c r="F446" t="inlineStr">
        <is>
          <t>Conditioned reflexes; an investigation of the physiological activity of the cerebral cortex. Translated and edited by G.V. Anrep.</t>
        </is>
      </c>
      <c r="H446" t="inlineStr">
        <is>
          <t>No</t>
        </is>
      </c>
      <c r="I446" t="inlineStr">
        <is>
          <t>1</t>
        </is>
      </c>
      <c r="J446" t="inlineStr">
        <is>
          <t>No</t>
        </is>
      </c>
      <c r="K446" t="inlineStr">
        <is>
          <t>Yes</t>
        </is>
      </c>
      <c r="L446" t="inlineStr">
        <is>
          <t>0</t>
        </is>
      </c>
      <c r="M446" t="inlineStr">
        <is>
          <t>Pavlov, Ivan Petrovich, 1849-1936.</t>
        </is>
      </c>
      <c r="N446" t="inlineStr">
        <is>
          <t>New York, Dover Publications [1960]</t>
        </is>
      </c>
      <c r="O446" t="inlineStr">
        <is>
          <t>1960</t>
        </is>
      </c>
      <c r="Q446" t="inlineStr">
        <is>
          <t>eng</t>
        </is>
      </c>
      <c r="R446" t="inlineStr">
        <is>
          <t>nyu</t>
        </is>
      </c>
      <c r="T446" t="inlineStr">
        <is>
          <t xml:space="preserve">QP </t>
        </is>
      </c>
      <c r="U446" t="n">
        <v>7</v>
      </c>
      <c r="V446" t="n">
        <v>7</v>
      </c>
      <c r="W446" t="inlineStr">
        <is>
          <t>1998-10-25</t>
        </is>
      </c>
      <c r="X446" t="inlineStr">
        <is>
          <t>1998-10-25</t>
        </is>
      </c>
      <c r="Y446" t="inlineStr">
        <is>
          <t>1994-10-04</t>
        </is>
      </c>
      <c r="Z446" t="inlineStr">
        <is>
          <t>1994-10-04</t>
        </is>
      </c>
      <c r="AA446" t="n">
        <v>1322</v>
      </c>
      <c r="AB446" t="n">
        <v>1135</v>
      </c>
      <c r="AC446" t="n">
        <v>1416</v>
      </c>
      <c r="AD446" t="n">
        <v>6</v>
      </c>
      <c r="AE446" t="n">
        <v>10</v>
      </c>
      <c r="AF446" t="n">
        <v>32</v>
      </c>
      <c r="AG446" t="n">
        <v>47</v>
      </c>
      <c r="AH446" t="n">
        <v>17</v>
      </c>
      <c r="AI446" t="n">
        <v>21</v>
      </c>
      <c r="AJ446" t="n">
        <v>4</v>
      </c>
      <c r="AK446" t="n">
        <v>7</v>
      </c>
      <c r="AL446" t="n">
        <v>12</v>
      </c>
      <c r="AM446" t="n">
        <v>20</v>
      </c>
      <c r="AN446" t="n">
        <v>5</v>
      </c>
      <c r="AO446" t="n">
        <v>8</v>
      </c>
      <c r="AP446" t="n">
        <v>0</v>
      </c>
      <c r="AQ446" t="n">
        <v>0</v>
      </c>
      <c r="AR446" t="inlineStr">
        <is>
          <t>No</t>
        </is>
      </c>
      <c r="AS446" t="inlineStr">
        <is>
          <t>Yes</t>
        </is>
      </c>
      <c r="AT446">
        <f>HYPERLINK("http://catalog.hathitrust.org/Record/001554873","HathiTrust Record")</f>
        <v/>
      </c>
      <c r="AU446">
        <f>HYPERLINK("https://creighton-primo.hosted.exlibrisgroup.com/primo-explore/search?tab=default_tab&amp;search_scope=EVERYTHING&amp;vid=01CRU&amp;lang=en_US&amp;offset=0&amp;query=any,contains,991001931949702656","Catalog Record")</f>
        <v/>
      </c>
      <c r="AV446">
        <f>HYPERLINK("http://www.worldcat.org/oclc/249196","WorldCat Record")</f>
        <v/>
      </c>
      <c r="AW446" t="inlineStr">
        <is>
          <t>3901087697:eng</t>
        </is>
      </c>
      <c r="AX446" t="inlineStr">
        <is>
          <t>249196</t>
        </is>
      </c>
      <c r="AY446" t="inlineStr">
        <is>
          <t>991001931949702656</t>
        </is>
      </c>
      <c r="AZ446" t="inlineStr">
        <is>
          <t>991001931949702656</t>
        </is>
      </c>
      <c r="BA446" t="inlineStr">
        <is>
          <t>2256470490002656</t>
        </is>
      </c>
      <c r="BB446" t="inlineStr">
        <is>
          <t>BOOK</t>
        </is>
      </c>
      <c r="BE446" t="inlineStr">
        <is>
          <t>32285001883742</t>
        </is>
      </c>
      <c r="BF446" t="inlineStr">
        <is>
          <t>893797953</t>
        </is>
      </c>
    </row>
    <row r="447">
      <c r="B447" t="inlineStr">
        <is>
          <t>CURAL</t>
        </is>
      </c>
      <c r="C447" t="inlineStr">
        <is>
          <t>SHELVES</t>
        </is>
      </c>
      <c r="D447" t="inlineStr">
        <is>
          <t>QP382.2 .C66 1986</t>
        </is>
      </c>
      <c r="E447" t="inlineStr">
        <is>
          <t>0                      QP 0382200C  66          1986</t>
        </is>
      </c>
      <c r="F447" t="inlineStr">
        <is>
          <t>The brain code : mechanisms of information transfer and the role of the corpus callosum / Norman D. Cook.</t>
        </is>
      </c>
      <c r="H447" t="inlineStr">
        <is>
          <t>No</t>
        </is>
      </c>
      <c r="I447" t="inlineStr">
        <is>
          <t>1</t>
        </is>
      </c>
      <c r="J447" t="inlineStr">
        <is>
          <t>No</t>
        </is>
      </c>
      <c r="K447" t="inlineStr">
        <is>
          <t>No</t>
        </is>
      </c>
      <c r="L447" t="inlineStr">
        <is>
          <t>0</t>
        </is>
      </c>
      <c r="M447" t="inlineStr">
        <is>
          <t>Cook, Norman D.</t>
        </is>
      </c>
      <c r="N447" t="inlineStr">
        <is>
          <t>London ; New York : Methuen, 1986.</t>
        </is>
      </c>
      <c r="O447" t="inlineStr">
        <is>
          <t>1986</t>
        </is>
      </c>
      <c r="Q447" t="inlineStr">
        <is>
          <t>eng</t>
        </is>
      </c>
      <c r="R447" t="inlineStr">
        <is>
          <t>enk</t>
        </is>
      </c>
      <c r="T447" t="inlineStr">
        <is>
          <t xml:space="preserve">QP </t>
        </is>
      </c>
      <c r="U447" t="n">
        <v>5</v>
      </c>
      <c r="V447" t="n">
        <v>5</v>
      </c>
      <c r="W447" t="inlineStr">
        <is>
          <t>1995-02-05</t>
        </is>
      </c>
      <c r="X447" t="inlineStr">
        <is>
          <t>1995-02-05</t>
        </is>
      </c>
      <c r="Y447" t="inlineStr">
        <is>
          <t>1993-03-03</t>
        </is>
      </c>
      <c r="Z447" t="inlineStr">
        <is>
          <t>1993-03-03</t>
        </is>
      </c>
      <c r="AA447" t="n">
        <v>285</v>
      </c>
      <c r="AB447" t="n">
        <v>186</v>
      </c>
      <c r="AC447" t="n">
        <v>208</v>
      </c>
      <c r="AD447" t="n">
        <v>3</v>
      </c>
      <c r="AE447" t="n">
        <v>3</v>
      </c>
      <c r="AF447" t="n">
        <v>8</v>
      </c>
      <c r="AG447" t="n">
        <v>8</v>
      </c>
      <c r="AH447" t="n">
        <v>2</v>
      </c>
      <c r="AI447" t="n">
        <v>2</v>
      </c>
      <c r="AJ447" t="n">
        <v>3</v>
      </c>
      <c r="AK447" t="n">
        <v>3</v>
      </c>
      <c r="AL447" t="n">
        <v>4</v>
      </c>
      <c r="AM447" t="n">
        <v>4</v>
      </c>
      <c r="AN447" t="n">
        <v>2</v>
      </c>
      <c r="AO447" t="n">
        <v>2</v>
      </c>
      <c r="AP447" t="n">
        <v>0</v>
      </c>
      <c r="AQ447" t="n">
        <v>0</v>
      </c>
      <c r="AR447" t="inlineStr">
        <is>
          <t>No</t>
        </is>
      </c>
      <c r="AS447" t="inlineStr">
        <is>
          <t>No</t>
        </is>
      </c>
      <c r="AU447">
        <f>HYPERLINK("https://creighton-primo.hosted.exlibrisgroup.com/primo-explore/search?tab=default_tab&amp;search_scope=EVERYTHING&amp;vid=01CRU&amp;lang=en_US&amp;offset=0&amp;query=any,contains,991000821899702656","Catalog Record")</f>
        <v/>
      </c>
      <c r="AV447">
        <f>HYPERLINK("http://www.worldcat.org/oclc/13395809","WorldCat Record")</f>
        <v/>
      </c>
      <c r="AW447" t="inlineStr">
        <is>
          <t>7113343:eng</t>
        </is>
      </c>
      <c r="AX447" t="inlineStr">
        <is>
          <t>13395809</t>
        </is>
      </c>
      <c r="AY447" t="inlineStr">
        <is>
          <t>991000821899702656</t>
        </is>
      </c>
      <c r="AZ447" t="inlineStr">
        <is>
          <t>991000821899702656</t>
        </is>
      </c>
      <c r="BA447" t="inlineStr">
        <is>
          <t>2261903360002656</t>
        </is>
      </c>
      <c r="BB447" t="inlineStr">
        <is>
          <t>BOOK</t>
        </is>
      </c>
      <c r="BD447" t="inlineStr">
        <is>
          <t>9780416408409</t>
        </is>
      </c>
      <c r="BE447" t="inlineStr">
        <is>
          <t>32285001561942</t>
        </is>
      </c>
      <c r="BF447" t="inlineStr">
        <is>
          <t>893614519</t>
        </is>
      </c>
    </row>
    <row r="448">
      <c r="B448" t="inlineStr">
        <is>
          <t>CURAL</t>
        </is>
      </c>
      <c r="C448" t="inlineStr">
        <is>
          <t>SHELVES</t>
        </is>
      </c>
      <c r="D448" t="inlineStr">
        <is>
          <t>QP382.F7 F76 1987</t>
        </is>
      </c>
      <c r="E448" t="inlineStr">
        <is>
          <t>0                      QP 0382000F  7                  F  76          1987</t>
        </is>
      </c>
      <c r="F448" t="inlineStr">
        <is>
          <t>The Frontal lobes revisited / edited by Ellen Perecman.</t>
        </is>
      </c>
      <c r="H448" t="inlineStr">
        <is>
          <t>No</t>
        </is>
      </c>
      <c r="I448" t="inlineStr">
        <is>
          <t>1</t>
        </is>
      </c>
      <c r="J448" t="inlineStr">
        <is>
          <t>No</t>
        </is>
      </c>
      <c r="K448" t="inlineStr">
        <is>
          <t>No</t>
        </is>
      </c>
      <c r="L448" t="inlineStr">
        <is>
          <t>0</t>
        </is>
      </c>
      <c r="N448" t="inlineStr">
        <is>
          <t>New York, N.Y. : IRBN Press, c1987.</t>
        </is>
      </c>
      <c r="O448" t="inlineStr">
        <is>
          <t>1987</t>
        </is>
      </c>
      <c r="Q448" t="inlineStr">
        <is>
          <t>eng</t>
        </is>
      </c>
      <c r="R448" t="inlineStr">
        <is>
          <t>nyu</t>
        </is>
      </c>
      <c r="T448" t="inlineStr">
        <is>
          <t xml:space="preserve">QP </t>
        </is>
      </c>
      <c r="U448" t="n">
        <v>5</v>
      </c>
      <c r="V448" t="n">
        <v>5</v>
      </c>
      <c r="W448" t="inlineStr">
        <is>
          <t>1995-02-22</t>
        </is>
      </c>
      <c r="X448" t="inlineStr">
        <is>
          <t>1995-02-22</t>
        </is>
      </c>
      <c r="Y448" t="inlineStr">
        <is>
          <t>1993-03-03</t>
        </is>
      </c>
      <c r="Z448" t="inlineStr">
        <is>
          <t>1993-03-03</t>
        </is>
      </c>
      <c r="AA448" t="n">
        <v>321</v>
      </c>
      <c r="AB448" t="n">
        <v>264</v>
      </c>
      <c r="AC448" t="n">
        <v>319</v>
      </c>
      <c r="AD448" t="n">
        <v>5</v>
      </c>
      <c r="AE448" t="n">
        <v>5</v>
      </c>
      <c r="AF448" t="n">
        <v>14</v>
      </c>
      <c r="AG448" t="n">
        <v>16</v>
      </c>
      <c r="AH448" t="n">
        <v>5</v>
      </c>
      <c r="AI448" t="n">
        <v>5</v>
      </c>
      <c r="AJ448" t="n">
        <v>2</v>
      </c>
      <c r="AK448" t="n">
        <v>3</v>
      </c>
      <c r="AL448" t="n">
        <v>6</v>
      </c>
      <c r="AM448" t="n">
        <v>7</v>
      </c>
      <c r="AN448" t="n">
        <v>4</v>
      </c>
      <c r="AO448" t="n">
        <v>4</v>
      </c>
      <c r="AP448" t="n">
        <v>0</v>
      </c>
      <c r="AQ448" t="n">
        <v>0</v>
      </c>
      <c r="AR448" t="inlineStr">
        <is>
          <t>No</t>
        </is>
      </c>
      <c r="AS448" t="inlineStr">
        <is>
          <t>Yes</t>
        </is>
      </c>
      <c r="AT448">
        <f>HYPERLINK("http://catalog.hathitrust.org/Record/001071245","HathiTrust Record")</f>
        <v/>
      </c>
      <c r="AU448">
        <f>HYPERLINK("https://creighton-primo.hosted.exlibrisgroup.com/primo-explore/search?tab=default_tab&amp;search_scope=EVERYTHING&amp;vid=01CRU&amp;lang=en_US&amp;offset=0&amp;query=any,contains,991000956389702656","Catalog Record")</f>
        <v/>
      </c>
      <c r="AV448">
        <f>HYPERLINK("http://www.worldcat.org/oclc/14718989","WorldCat Record")</f>
        <v/>
      </c>
      <c r="AW448" t="inlineStr">
        <is>
          <t>355389915:eng</t>
        </is>
      </c>
      <c r="AX448" t="inlineStr">
        <is>
          <t>14718989</t>
        </is>
      </c>
      <c r="AY448" t="inlineStr">
        <is>
          <t>991000956389702656</t>
        </is>
      </c>
      <c r="AZ448" t="inlineStr">
        <is>
          <t>991000956389702656</t>
        </is>
      </c>
      <c r="BA448" t="inlineStr">
        <is>
          <t>2255396020002656</t>
        </is>
      </c>
      <c r="BB448" t="inlineStr">
        <is>
          <t>BOOK</t>
        </is>
      </c>
      <c r="BD448" t="inlineStr">
        <is>
          <t>9780936925004</t>
        </is>
      </c>
      <c r="BE448" t="inlineStr">
        <is>
          <t>32285001561934</t>
        </is>
      </c>
      <c r="BF448" t="inlineStr">
        <is>
          <t>893315389</t>
        </is>
      </c>
    </row>
    <row r="449">
      <c r="B449" t="inlineStr">
        <is>
          <t>CURAL</t>
        </is>
      </c>
      <c r="C449" t="inlineStr">
        <is>
          <t>SHELVES</t>
        </is>
      </c>
      <c r="D449" t="inlineStr">
        <is>
          <t>QP383 .C46 1990</t>
        </is>
      </c>
      <c r="E449" t="inlineStr">
        <is>
          <t>0                      QP 0383000C  46          1990</t>
        </is>
      </c>
      <c r="F449" t="inlineStr">
        <is>
          <t>The Cerebral cortex of the rat / edited by Bryan Kolb and Richard C. Tees.</t>
        </is>
      </c>
      <c r="H449" t="inlineStr">
        <is>
          <t>No</t>
        </is>
      </c>
      <c r="I449" t="inlineStr">
        <is>
          <t>1</t>
        </is>
      </c>
      <c r="J449" t="inlineStr">
        <is>
          <t>No</t>
        </is>
      </c>
      <c r="K449" t="inlineStr">
        <is>
          <t>No</t>
        </is>
      </c>
      <c r="L449" t="inlineStr">
        <is>
          <t>0</t>
        </is>
      </c>
      <c r="N449" t="inlineStr">
        <is>
          <t>Cambridge, Mass. : MIT Press, c1990.</t>
        </is>
      </c>
      <c r="O449" t="inlineStr">
        <is>
          <t>1990</t>
        </is>
      </c>
      <c r="Q449" t="inlineStr">
        <is>
          <t>eng</t>
        </is>
      </c>
      <c r="R449" t="inlineStr">
        <is>
          <t>mau</t>
        </is>
      </c>
      <c r="T449" t="inlineStr">
        <is>
          <t xml:space="preserve">QP </t>
        </is>
      </c>
      <c r="U449" t="n">
        <v>10</v>
      </c>
      <c r="V449" t="n">
        <v>10</v>
      </c>
      <c r="W449" t="inlineStr">
        <is>
          <t>2000-01-26</t>
        </is>
      </c>
      <c r="X449" t="inlineStr">
        <is>
          <t>2000-01-26</t>
        </is>
      </c>
      <c r="Y449" t="inlineStr">
        <is>
          <t>1992-09-09</t>
        </is>
      </c>
      <c r="Z449" t="inlineStr">
        <is>
          <t>1992-09-09</t>
        </is>
      </c>
      <c r="AA449" t="n">
        <v>291</v>
      </c>
      <c r="AB449" t="n">
        <v>226</v>
      </c>
      <c r="AC449" t="n">
        <v>241</v>
      </c>
      <c r="AD449" t="n">
        <v>2</v>
      </c>
      <c r="AE449" t="n">
        <v>2</v>
      </c>
      <c r="AF449" t="n">
        <v>11</v>
      </c>
      <c r="AG449" t="n">
        <v>11</v>
      </c>
      <c r="AH449" t="n">
        <v>2</v>
      </c>
      <c r="AI449" t="n">
        <v>2</v>
      </c>
      <c r="AJ449" t="n">
        <v>3</v>
      </c>
      <c r="AK449" t="n">
        <v>3</v>
      </c>
      <c r="AL449" t="n">
        <v>7</v>
      </c>
      <c r="AM449" t="n">
        <v>7</v>
      </c>
      <c r="AN449" t="n">
        <v>1</v>
      </c>
      <c r="AO449" t="n">
        <v>1</v>
      </c>
      <c r="AP449" t="n">
        <v>0</v>
      </c>
      <c r="AQ449" t="n">
        <v>0</v>
      </c>
      <c r="AR449" t="inlineStr">
        <is>
          <t>No</t>
        </is>
      </c>
      <c r="AS449" t="inlineStr">
        <is>
          <t>Yes</t>
        </is>
      </c>
      <c r="AT449">
        <f>HYPERLINK("http://catalog.hathitrust.org/Record/002168741","HathiTrust Record")</f>
        <v/>
      </c>
      <c r="AU449">
        <f>HYPERLINK("https://creighton-primo.hosted.exlibrisgroup.com/primo-explore/search?tab=default_tab&amp;search_scope=EVERYTHING&amp;vid=01CRU&amp;lang=en_US&amp;offset=0&amp;query=any,contains,991001601439702656","Catalog Record")</f>
        <v/>
      </c>
      <c r="AV449">
        <f>HYPERLINK("http://www.worldcat.org/oclc/20670782","WorldCat Record")</f>
        <v/>
      </c>
      <c r="AW449" t="inlineStr">
        <is>
          <t>350318759:eng</t>
        </is>
      </c>
      <c r="AX449" t="inlineStr">
        <is>
          <t>20670782</t>
        </is>
      </c>
      <c r="AY449" t="inlineStr">
        <is>
          <t>991001601439702656</t>
        </is>
      </c>
      <c r="AZ449" t="inlineStr">
        <is>
          <t>991001601439702656</t>
        </is>
      </c>
      <c r="BA449" t="inlineStr">
        <is>
          <t>2259878180002656</t>
        </is>
      </c>
      <c r="BB449" t="inlineStr">
        <is>
          <t>BOOK</t>
        </is>
      </c>
      <c r="BD449" t="inlineStr">
        <is>
          <t>9780262111508</t>
        </is>
      </c>
      <c r="BE449" t="inlineStr">
        <is>
          <t>32285001286706</t>
        </is>
      </c>
      <c r="BF449" t="inlineStr">
        <is>
          <t>893322071</t>
        </is>
      </c>
    </row>
    <row r="450">
      <c r="B450" t="inlineStr">
        <is>
          <t>CURAL</t>
        </is>
      </c>
      <c r="C450" t="inlineStr">
        <is>
          <t>SHELVES</t>
        </is>
      </c>
      <c r="D450" t="inlineStr">
        <is>
          <t>QP383 .H83 1988</t>
        </is>
      </c>
      <c r="E450" t="inlineStr">
        <is>
          <t>0                      QP 0383000H  83          1988</t>
        </is>
      </c>
      <c r="F450" t="inlineStr">
        <is>
          <t>Eye, brain, and vision / David H. Hubel.</t>
        </is>
      </c>
      <c r="H450" t="inlineStr">
        <is>
          <t>No</t>
        </is>
      </c>
      <c r="I450" t="inlineStr">
        <is>
          <t>1</t>
        </is>
      </c>
      <c r="J450" t="inlineStr">
        <is>
          <t>No</t>
        </is>
      </c>
      <c r="K450" t="inlineStr">
        <is>
          <t>No</t>
        </is>
      </c>
      <c r="L450" t="inlineStr">
        <is>
          <t>0</t>
        </is>
      </c>
      <c r="M450" t="inlineStr">
        <is>
          <t>Hubel, David H.</t>
        </is>
      </c>
      <c r="N450" t="inlineStr">
        <is>
          <t>New York : Scientific American Library : Distibuted by W.H. Freeman, c1988.</t>
        </is>
      </c>
      <c r="O450" t="inlineStr">
        <is>
          <t>1988</t>
        </is>
      </c>
      <c r="Q450" t="inlineStr">
        <is>
          <t>eng</t>
        </is>
      </c>
      <c r="R450" t="inlineStr">
        <is>
          <t>nyu</t>
        </is>
      </c>
      <c r="S450" t="inlineStr">
        <is>
          <t>Scientific American Library series ; no. 22</t>
        </is>
      </c>
      <c r="T450" t="inlineStr">
        <is>
          <t xml:space="preserve">QP </t>
        </is>
      </c>
      <c r="U450" t="n">
        <v>14</v>
      </c>
      <c r="V450" t="n">
        <v>14</v>
      </c>
      <c r="W450" t="inlineStr">
        <is>
          <t>2002-10-05</t>
        </is>
      </c>
      <c r="X450" t="inlineStr">
        <is>
          <t>2002-10-05</t>
        </is>
      </c>
      <c r="Y450" t="inlineStr">
        <is>
          <t>1992-06-25</t>
        </is>
      </c>
      <c r="Z450" t="inlineStr">
        <is>
          <t>1992-06-25</t>
        </is>
      </c>
      <c r="AA450" t="n">
        <v>1368</v>
      </c>
      <c r="AB450" t="n">
        <v>1136</v>
      </c>
      <c r="AC450" t="n">
        <v>1246</v>
      </c>
      <c r="AD450" t="n">
        <v>8</v>
      </c>
      <c r="AE450" t="n">
        <v>8</v>
      </c>
      <c r="AF450" t="n">
        <v>41</v>
      </c>
      <c r="AG450" t="n">
        <v>43</v>
      </c>
      <c r="AH450" t="n">
        <v>19</v>
      </c>
      <c r="AI450" t="n">
        <v>20</v>
      </c>
      <c r="AJ450" t="n">
        <v>5</v>
      </c>
      <c r="AK450" t="n">
        <v>6</v>
      </c>
      <c r="AL450" t="n">
        <v>21</v>
      </c>
      <c r="AM450" t="n">
        <v>22</v>
      </c>
      <c r="AN450" t="n">
        <v>6</v>
      </c>
      <c r="AO450" t="n">
        <v>6</v>
      </c>
      <c r="AP450" t="n">
        <v>0</v>
      </c>
      <c r="AQ450" t="n">
        <v>0</v>
      </c>
      <c r="AR450" t="inlineStr">
        <is>
          <t>No</t>
        </is>
      </c>
      <c r="AS450" t="inlineStr">
        <is>
          <t>No</t>
        </is>
      </c>
      <c r="AU450">
        <f>HYPERLINK("https://creighton-primo.hosted.exlibrisgroup.com/primo-explore/search?tab=default_tab&amp;search_scope=EVERYTHING&amp;vid=01CRU&amp;lang=en_US&amp;offset=0&amp;query=any,contains,991001126359702656","Catalog Record")</f>
        <v/>
      </c>
      <c r="AV450">
        <f>HYPERLINK("http://www.worldcat.org/oclc/16649224","WorldCat Record")</f>
        <v/>
      </c>
      <c r="AW450" t="inlineStr">
        <is>
          <t>30851:eng</t>
        </is>
      </c>
      <c r="AX450" t="inlineStr">
        <is>
          <t>16649224</t>
        </is>
      </c>
      <c r="AY450" t="inlineStr">
        <is>
          <t>991001126359702656</t>
        </is>
      </c>
      <c r="AZ450" t="inlineStr">
        <is>
          <t>991001126359702656</t>
        </is>
      </c>
      <c r="BA450" t="inlineStr">
        <is>
          <t>2266197120002656</t>
        </is>
      </c>
      <c r="BB450" t="inlineStr">
        <is>
          <t>BOOK</t>
        </is>
      </c>
      <c r="BD450" t="inlineStr">
        <is>
          <t>9780716750208</t>
        </is>
      </c>
      <c r="BE450" t="inlineStr">
        <is>
          <t>32285001145274</t>
        </is>
      </c>
      <c r="BF450" t="inlineStr">
        <is>
          <t>893608574</t>
        </is>
      </c>
    </row>
    <row r="451">
      <c r="B451" t="inlineStr">
        <is>
          <t>CURAL</t>
        </is>
      </c>
      <c r="C451" t="inlineStr">
        <is>
          <t>SHELVES</t>
        </is>
      </c>
      <c r="D451" t="inlineStr">
        <is>
          <t>QP383.2 .H56 v...</t>
        </is>
      </c>
      <c r="E451" t="inlineStr">
        <is>
          <t>0                      QP 0383200H  56                                                      v...</t>
        </is>
      </c>
      <c r="F451" t="inlineStr">
        <is>
          <t>The Hippocampus / edited by Robert L. Isaacson and Karl H. Pribram.</t>
        </is>
      </c>
      <c r="G451" t="inlineStr">
        <is>
          <t>V.3</t>
        </is>
      </c>
      <c r="H451" t="inlineStr">
        <is>
          <t>No</t>
        </is>
      </c>
      <c r="I451" t="inlineStr">
        <is>
          <t>1</t>
        </is>
      </c>
      <c r="J451" t="inlineStr">
        <is>
          <t>No</t>
        </is>
      </c>
      <c r="K451" t="inlineStr">
        <is>
          <t>No</t>
        </is>
      </c>
      <c r="L451" t="inlineStr">
        <is>
          <t>0</t>
        </is>
      </c>
      <c r="N451" t="inlineStr">
        <is>
          <t>New York : Plenum Press, c1975-</t>
        </is>
      </c>
      <c r="O451" t="inlineStr">
        <is>
          <t>1975</t>
        </is>
      </c>
      <c r="Q451" t="inlineStr">
        <is>
          <t>eng</t>
        </is>
      </c>
      <c r="R451" t="inlineStr">
        <is>
          <t>nyu</t>
        </is>
      </c>
      <c r="T451" t="inlineStr">
        <is>
          <t xml:space="preserve">QP </t>
        </is>
      </c>
      <c r="U451" t="n">
        <v>7</v>
      </c>
      <c r="V451" t="n">
        <v>7</v>
      </c>
      <c r="W451" t="inlineStr">
        <is>
          <t>2000-01-26</t>
        </is>
      </c>
      <c r="X451" t="inlineStr">
        <is>
          <t>2000-01-26</t>
        </is>
      </c>
      <c r="Y451" t="inlineStr">
        <is>
          <t>1993-03-03</t>
        </is>
      </c>
      <c r="Z451" t="inlineStr">
        <is>
          <t>1993-03-03</t>
        </is>
      </c>
      <c r="AA451" t="n">
        <v>416</v>
      </c>
      <c r="AB451" t="n">
        <v>350</v>
      </c>
      <c r="AC451" t="n">
        <v>352</v>
      </c>
      <c r="AD451" t="n">
        <v>3</v>
      </c>
      <c r="AE451" t="n">
        <v>3</v>
      </c>
      <c r="AF451" t="n">
        <v>18</v>
      </c>
      <c r="AG451" t="n">
        <v>18</v>
      </c>
      <c r="AH451" t="n">
        <v>6</v>
      </c>
      <c r="AI451" t="n">
        <v>6</v>
      </c>
      <c r="AJ451" t="n">
        <v>5</v>
      </c>
      <c r="AK451" t="n">
        <v>5</v>
      </c>
      <c r="AL451" t="n">
        <v>8</v>
      </c>
      <c r="AM451" t="n">
        <v>8</v>
      </c>
      <c r="AN451" t="n">
        <v>2</v>
      </c>
      <c r="AO451" t="n">
        <v>2</v>
      </c>
      <c r="AP451" t="n">
        <v>0</v>
      </c>
      <c r="AQ451" t="n">
        <v>0</v>
      </c>
      <c r="AR451" t="inlineStr">
        <is>
          <t>No</t>
        </is>
      </c>
      <c r="AS451" t="inlineStr">
        <is>
          <t>Yes</t>
        </is>
      </c>
      <c r="AT451">
        <f>HYPERLINK("http://catalog.hathitrust.org/Record/000228520","HathiTrust Record")</f>
        <v/>
      </c>
      <c r="AU451">
        <f>HYPERLINK("https://creighton-primo.hosted.exlibrisgroup.com/primo-explore/search?tab=default_tab&amp;search_scope=EVERYTHING&amp;vid=01CRU&amp;lang=en_US&amp;offset=0&amp;query=any,contains,991003843409702656","Catalog Record")</f>
        <v/>
      </c>
      <c r="AV451">
        <f>HYPERLINK("http://www.worldcat.org/oclc/1622244","WorldCat Record")</f>
        <v/>
      </c>
      <c r="AW451" t="inlineStr">
        <is>
          <t>10567880321:eng</t>
        </is>
      </c>
      <c r="AX451" t="inlineStr">
        <is>
          <t>1622244</t>
        </is>
      </c>
      <c r="AY451" t="inlineStr">
        <is>
          <t>991003843409702656</t>
        </is>
      </c>
      <c r="AZ451" t="inlineStr">
        <is>
          <t>991003843409702656</t>
        </is>
      </c>
      <c r="BA451" t="inlineStr">
        <is>
          <t>2270617040002656</t>
        </is>
      </c>
      <c r="BB451" t="inlineStr">
        <is>
          <t>BOOK</t>
        </is>
      </c>
      <c r="BD451" t="inlineStr">
        <is>
          <t>9780306375354</t>
        </is>
      </c>
      <c r="BE451" t="inlineStr">
        <is>
          <t>32285001561959</t>
        </is>
      </c>
      <c r="BF451" t="inlineStr">
        <is>
          <t>893258942</t>
        </is>
      </c>
    </row>
    <row r="452">
      <c r="B452" t="inlineStr">
        <is>
          <t>CURAL</t>
        </is>
      </c>
      <c r="C452" t="inlineStr">
        <is>
          <t>SHELVES</t>
        </is>
      </c>
      <c r="D452" t="inlineStr">
        <is>
          <t>QP383.2 .I82</t>
        </is>
      </c>
      <c r="E452" t="inlineStr">
        <is>
          <t>0                      QP 0383200I  82</t>
        </is>
      </c>
      <c r="F452" t="inlineStr">
        <is>
          <t>The limbic system [by] Robert L. Isaacson.</t>
        </is>
      </c>
      <c r="H452" t="inlineStr">
        <is>
          <t>No</t>
        </is>
      </c>
      <c r="I452" t="inlineStr">
        <is>
          <t>1</t>
        </is>
      </c>
      <c r="J452" t="inlineStr">
        <is>
          <t>No</t>
        </is>
      </c>
      <c r="K452" t="inlineStr">
        <is>
          <t>Yes</t>
        </is>
      </c>
      <c r="L452" t="inlineStr">
        <is>
          <t>0</t>
        </is>
      </c>
      <c r="M452" t="inlineStr">
        <is>
          <t>Isaacson, Robert L., 1928-</t>
        </is>
      </c>
      <c r="N452" t="inlineStr">
        <is>
          <t>New York, Plenum Press [1974]</t>
        </is>
      </c>
      <c r="O452" t="inlineStr">
        <is>
          <t>1974</t>
        </is>
      </c>
      <c r="Q452" t="inlineStr">
        <is>
          <t>eng</t>
        </is>
      </c>
      <c r="R452" t="inlineStr">
        <is>
          <t>nyu</t>
        </is>
      </c>
      <c r="T452" t="inlineStr">
        <is>
          <t xml:space="preserve">QP </t>
        </is>
      </c>
      <c r="U452" t="n">
        <v>2</v>
      </c>
      <c r="V452" t="n">
        <v>2</v>
      </c>
      <c r="W452" t="inlineStr">
        <is>
          <t>1999-02-07</t>
        </is>
      </c>
      <c r="X452" t="inlineStr">
        <is>
          <t>1999-02-07</t>
        </is>
      </c>
      <c r="Y452" t="inlineStr">
        <is>
          <t>1997-08-06</t>
        </is>
      </c>
      <c r="Z452" t="inlineStr">
        <is>
          <t>1997-08-06</t>
        </is>
      </c>
      <c r="AA452" t="n">
        <v>444</v>
      </c>
      <c r="AB452" t="n">
        <v>343</v>
      </c>
      <c r="AC452" t="n">
        <v>532</v>
      </c>
      <c r="AD452" t="n">
        <v>5</v>
      </c>
      <c r="AE452" t="n">
        <v>8</v>
      </c>
      <c r="AF452" t="n">
        <v>15</v>
      </c>
      <c r="AG452" t="n">
        <v>25</v>
      </c>
      <c r="AH452" t="n">
        <v>4</v>
      </c>
      <c r="AI452" t="n">
        <v>9</v>
      </c>
      <c r="AJ452" t="n">
        <v>2</v>
      </c>
      <c r="AK452" t="n">
        <v>4</v>
      </c>
      <c r="AL452" t="n">
        <v>8</v>
      </c>
      <c r="AM452" t="n">
        <v>11</v>
      </c>
      <c r="AN452" t="n">
        <v>4</v>
      </c>
      <c r="AO452" t="n">
        <v>7</v>
      </c>
      <c r="AP452" t="n">
        <v>0</v>
      </c>
      <c r="AQ452" t="n">
        <v>0</v>
      </c>
      <c r="AR452" t="inlineStr">
        <is>
          <t>No</t>
        </is>
      </c>
      <c r="AS452" t="inlineStr">
        <is>
          <t>Yes</t>
        </is>
      </c>
      <c r="AT452">
        <f>HYPERLINK("http://catalog.hathitrust.org/Record/001554880","HathiTrust Record")</f>
        <v/>
      </c>
      <c r="AU452">
        <f>HYPERLINK("https://creighton-primo.hosted.exlibrisgroup.com/primo-explore/search?tab=default_tab&amp;search_scope=EVERYTHING&amp;vid=01CRU&amp;lang=en_US&amp;offset=0&amp;query=any,contains,991003364969702656","Catalog Record")</f>
        <v/>
      </c>
      <c r="AV452">
        <f>HYPERLINK("http://www.worldcat.org/oclc/901104","WorldCat Record")</f>
        <v/>
      </c>
      <c r="AW452" t="inlineStr">
        <is>
          <t>438206:eng</t>
        </is>
      </c>
      <c r="AX452" t="inlineStr">
        <is>
          <t>901104</t>
        </is>
      </c>
      <c r="AY452" t="inlineStr">
        <is>
          <t>991003364969702656</t>
        </is>
      </c>
      <c r="AZ452" t="inlineStr">
        <is>
          <t>991003364969702656</t>
        </is>
      </c>
      <c r="BA452" t="inlineStr">
        <is>
          <t>2265562630002656</t>
        </is>
      </c>
      <c r="BB452" t="inlineStr">
        <is>
          <t>BOOK</t>
        </is>
      </c>
      <c r="BD452" t="inlineStr">
        <is>
          <t>9780306307737</t>
        </is>
      </c>
      <c r="BE452" t="inlineStr">
        <is>
          <t>32285003014684</t>
        </is>
      </c>
      <c r="BF452" t="inlineStr">
        <is>
          <t>893692665</t>
        </is>
      </c>
    </row>
    <row r="453">
      <c r="B453" t="inlineStr">
        <is>
          <t>CURAL</t>
        </is>
      </c>
      <c r="C453" t="inlineStr">
        <is>
          <t>SHELVES</t>
        </is>
      </c>
      <c r="D453" t="inlineStr">
        <is>
          <t>QP383.2 .O38</t>
        </is>
      </c>
      <c r="E453" t="inlineStr">
        <is>
          <t>0                      QP 0383200O  38</t>
        </is>
      </c>
      <c r="F453" t="inlineStr">
        <is>
          <t>The hippocampus as a cognitive map / John O'Keefe and Lynn Nadel.</t>
        </is>
      </c>
      <c r="H453" t="inlineStr">
        <is>
          <t>No</t>
        </is>
      </c>
      <c r="I453" t="inlineStr">
        <is>
          <t>1</t>
        </is>
      </c>
      <c r="J453" t="inlineStr">
        <is>
          <t>No</t>
        </is>
      </c>
      <c r="K453" t="inlineStr">
        <is>
          <t>No</t>
        </is>
      </c>
      <c r="L453" t="inlineStr">
        <is>
          <t>0</t>
        </is>
      </c>
      <c r="M453" t="inlineStr">
        <is>
          <t>O'Keefe, John.</t>
        </is>
      </c>
      <c r="N453" t="inlineStr">
        <is>
          <t>Oxford : Clarendon Press ; New York : Oxford University Press, c1978.</t>
        </is>
      </c>
      <c r="O453" t="inlineStr">
        <is>
          <t>1978</t>
        </is>
      </c>
      <c r="Q453" t="inlineStr">
        <is>
          <t>eng</t>
        </is>
      </c>
      <c r="R453" t="inlineStr">
        <is>
          <t>enk</t>
        </is>
      </c>
      <c r="T453" t="inlineStr">
        <is>
          <t xml:space="preserve">QP </t>
        </is>
      </c>
      <c r="U453" t="n">
        <v>5</v>
      </c>
      <c r="V453" t="n">
        <v>5</v>
      </c>
      <c r="W453" t="inlineStr">
        <is>
          <t>2000-01-26</t>
        </is>
      </c>
      <c r="X453" t="inlineStr">
        <is>
          <t>2000-01-26</t>
        </is>
      </c>
      <c r="Y453" t="inlineStr">
        <is>
          <t>1993-03-03</t>
        </is>
      </c>
      <c r="Z453" t="inlineStr">
        <is>
          <t>1993-03-03</t>
        </is>
      </c>
      <c r="AA453" t="n">
        <v>402</v>
      </c>
      <c r="AB453" t="n">
        <v>281</v>
      </c>
      <c r="AC453" t="n">
        <v>283</v>
      </c>
      <c r="AD453" t="n">
        <v>3</v>
      </c>
      <c r="AE453" t="n">
        <v>3</v>
      </c>
      <c r="AF453" t="n">
        <v>11</v>
      </c>
      <c r="AG453" t="n">
        <v>11</v>
      </c>
      <c r="AH453" t="n">
        <v>3</v>
      </c>
      <c r="AI453" t="n">
        <v>3</v>
      </c>
      <c r="AJ453" t="n">
        <v>3</v>
      </c>
      <c r="AK453" t="n">
        <v>3</v>
      </c>
      <c r="AL453" t="n">
        <v>8</v>
      </c>
      <c r="AM453" t="n">
        <v>8</v>
      </c>
      <c r="AN453" t="n">
        <v>1</v>
      </c>
      <c r="AO453" t="n">
        <v>1</v>
      </c>
      <c r="AP453" t="n">
        <v>0</v>
      </c>
      <c r="AQ453" t="n">
        <v>0</v>
      </c>
      <c r="AR453" t="inlineStr">
        <is>
          <t>No</t>
        </is>
      </c>
      <c r="AS453" t="inlineStr">
        <is>
          <t>Yes</t>
        </is>
      </c>
      <c r="AT453">
        <f>HYPERLINK("http://catalog.hathitrust.org/Record/000220322","HathiTrust Record")</f>
        <v/>
      </c>
      <c r="AU453">
        <f>HYPERLINK("https://creighton-primo.hosted.exlibrisgroup.com/primo-explore/search?tab=default_tab&amp;search_scope=EVERYTHING&amp;vid=01CRU&amp;lang=en_US&amp;offset=0&amp;query=any,contains,991005266139702656","Catalog Record")</f>
        <v/>
      </c>
      <c r="AV453">
        <f>HYPERLINK("http://www.worldcat.org/oclc/4430731","WorldCat Record")</f>
        <v/>
      </c>
      <c r="AW453" t="inlineStr">
        <is>
          <t>374052341:eng</t>
        </is>
      </c>
      <c r="AX453" t="inlineStr">
        <is>
          <t>4430731</t>
        </is>
      </c>
      <c r="AY453" t="inlineStr">
        <is>
          <t>991005266139702656</t>
        </is>
      </c>
      <c r="AZ453" t="inlineStr">
        <is>
          <t>991005266139702656</t>
        </is>
      </c>
      <c r="BA453" t="inlineStr">
        <is>
          <t>2270335940002656</t>
        </is>
      </c>
      <c r="BB453" t="inlineStr">
        <is>
          <t>BOOK</t>
        </is>
      </c>
      <c r="BD453" t="inlineStr">
        <is>
          <t>9780198572060</t>
        </is>
      </c>
      <c r="BE453" t="inlineStr">
        <is>
          <t>32285001561975</t>
        </is>
      </c>
      <c r="BF453" t="inlineStr">
        <is>
          <t>893902393</t>
        </is>
      </c>
    </row>
    <row r="454">
      <c r="B454" t="inlineStr">
        <is>
          <t>CURAL</t>
        </is>
      </c>
      <c r="C454" t="inlineStr">
        <is>
          <t>SHELVES</t>
        </is>
      </c>
      <c r="D454" t="inlineStr">
        <is>
          <t>QP383.3 .I58 1986</t>
        </is>
      </c>
      <c r="E454" t="inlineStr">
        <is>
          <t>0                      QP 0383300I  58          1986</t>
        </is>
      </c>
      <c r="F454" t="inlineStr">
        <is>
          <t>The basal ganglia II : structure and function : current concepts / edited by Malcolm B. Carpenter and A. Jayaraman.</t>
        </is>
      </c>
      <c r="H454" t="inlineStr">
        <is>
          <t>No</t>
        </is>
      </c>
      <c r="I454" t="inlineStr">
        <is>
          <t>1</t>
        </is>
      </c>
      <c r="J454" t="inlineStr">
        <is>
          <t>No</t>
        </is>
      </c>
      <c r="K454" t="inlineStr">
        <is>
          <t>No</t>
        </is>
      </c>
      <c r="L454" t="inlineStr">
        <is>
          <t>0</t>
        </is>
      </c>
      <c r="M454" t="inlineStr">
        <is>
          <t>International Basal Ganglia Society. Symposium (2nd : 1986 : Victoria, B.C.)</t>
        </is>
      </c>
      <c r="N454" t="inlineStr">
        <is>
          <t>New York : Plenum Press, c1987.</t>
        </is>
      </c>
      <c r="O454" t="inlineStr">
        <is>
          <t>1987</t>
        </is>
      </c>
      <c r="Q454" t="inlineStr">
        <is>
          <t>eng</t>
        </is>
      </c>
      <c r="R454" t="inlineStr">
        <is>
          <t>nyu</t>
        </is>
      </c>
      <c r="S454" t="inlineStr">
        <is>
          <t>Advances in behavioral biology ; v. 32</t>
        </is>
      </c>
      <c r="T454" t="inlineStr">
        <is>
          <t xml:space="preserve">QP </t>
        </is>
      </c>
      <c r="U454" t="n">
        <v>4</v>
      </c>
      <c r="V454" t="n">
        <v>4</v>
      </c>
      <c r="W454" t="inlineStr">
        <is>
          <t>1997-04-15</t>
        </is>
      </c>
      <c r="X454" t="inlineStr">
        <is>
          <t>1997-04-15</t>
        </is>
      </c>
      <c r="Y454" t="inlineStr">
        <is>
          <t>1993-03-03</t>
        </is>
      </c>
      <c r="Z454" t="inlineStr">
        <is>
          <t>1993-03-03</t>
        </is>
      </c>
      <c r="AA454" t="n">
        <v>181</v>
      </c>
      <c r="AB454" t="n">
        <v>143</v>
      </c>
      <c r="AC454" t="n">
        <v>156</v>
      </c>
      <c r="AD454" t="n">
        <v>1</v>
      </c>
      <c r="AE454" t="n">
        <v>1</v>
      </c>
      <c r="AF454" t="n">
        <v>5</v>
      </c>
      <c r="AG454" t="n">
        <v>5</v>
      </c>
      <c r="AH454" t="n">
        <v>0</v>
      </c>
      <c r="AI454" t="n">
        <v>0</v>
      </c>
      <c r="AJ454" t="n">
        <v>3</v>
      </c>
      <c r="AK454" t="n">
        <v>3</v>
      </c>
      <c r="AL454" t="n">
        <v>4</v>
      </c>
      <c r="AM454" t="n">
        <v>4</v>
      </c>
      <c r="AN454" t="n">
        <v>0</v>
      </c>
      <c r="AO454" t="n">
        <v>0</v>
      </c>
      <c r="AP454" t="n">
        <v>0</v>
      </c>
      <c r="AQ454" t="n">
        <v>0</v>
      </c>
      <c r="AR454" t="inlineStr">
        <is>
          <t>No</t>
        </is>
      </c>
      <c r="AS454" t="inlineStr">
        <is>
          <t>Yes</t>
        </is>
      </c>
      <c r="AT454">
        <f>HYPERLINK("http://catalog.hathitrust.org/Record/003911200","HathiTrust Record")</f>
        <v/>
      </c>
      <c r="AU454">
        <f>HYPERLINK("https://creighton-primo.hosted.exlibrisgroup.com/primo-explore/search?tab=default_tab&amp;search_scope=EVERYTHING&amp;vid=01CRU&amp;lang=en_US&amp;offset=0&amp;query=any,contains,991001082499702656","Catalog Record")</f>
        <v/>
      </c>
      <c r="AV454">
        <f>HYPERLINK("http://www.worldcat.org/oclc/16090350","WorldCat Record")</f>
        <v/>
      </c>
      <c r="AW454" t="inlineStr">
        <is>
          <t>11747157:eng</t>
        </is>
      </c>
      <c r="AX454" t="inlineStr">
        <is>
          <t>16090350</t>
        </is>
      </c>
      <c r="AY454" t="inlineStr">
        <is>
          <t>991001082499702656</t>
        </is>
      </c>
      <c r="AZ454" t="inlineStr">
        <is>
          <t>991001082499702656</t>
        </is>
      </c>
      <c r="BA454" t="inlineStr">
        <is>
          <t>2262506690002656</t>
        </is>
      </c>
      <c r="BB454" t="inlineStr">
        <is>
          <t>BOOK</t>
        </is>
      </c>
      <c r="BD454" t="inlineStr">
        <is>
          <t>9780306426162</t>
        </is>
      </c>
      <c r="BE454" t="inlineStr">
        <is>
          <t>32285001561983</t>
        </is>
      </c>
      <c r="BF454" t="inlineStr">
        <is>
          <t>893249950</t>
        </is>
      </c>
    </row>
    <row r="455">
      <c r="B455" t="inlineStr">
        <is>
          <t>CURAL</t>
        </is>
      </c>
      <c r="C455" t="inlineStr">
        <is>
          <t>SHELVES</t>
        </is>
      </c>
      <c r="D455" t="inlineStr">
        <is>
          <t>QP383.8 .S86 1991</t>
        </is>
      </c>
      <c r="E455" t="inlineStr">
        <is>
          <t>0                      QP 0383800S  86          1991</t>
        </is>
      </c>
      <c r="F455" t="inlineStr">
        <is>
          <t>Suprachiasmatic nucleus : the mind's clock / edited by David C. Klein, Robert Y. Moore, Steven M. Reppert.</t>
        </is>
      </c>
      <c r="H455" t="inlineStr">
        <is>
          <t>No</t>
        </is>
      </c>
      <c r="I455" t="inlineStr">
        <is>
          <t>1</t>
        </is>
      </c>
      <c r="J455" t="inlineStr">
        <is>
          <t>Yes</t>
        </is>
      </c>
      <c r="K455" t="inlineStr">
        <is>
          <t>No</t>
        </is>
      </c>
      <c r="L455" t="inlineStr">
        <is>
          <t>0</t>
        </is>
      </c>
      <c r="N455" t="inlineStr">
        <is>
          <t>New York : Oxford University Press, 1991.</t>
        </is>
      </c>
      <c r="O455" t="inlineStr">
        <is>
          <t>1991</t>
        </is>
      </c>
      <c r="Q455" t="inlineStr">
        <is>
          <t>eng</t>
        </is>
      </c>
      <c r="R455" t="inlineStr">
        <is>
          <t>nyu</t>
        </is>
      </c>
      <c r="T455" t="inlineStr">
        <is>
          <t xml:space="preserve">QP </t>
        </is>
      </c>
      <c r="U455" t="n">
        <v>2</v>
      </c>
      <c r="V455" t="n">
        <v>7</v>
      </c>
      <c r="W455" t="inlineStr">
        <is>
          <t>2000-11-06</t>
        </is>
      </c>
      <c r="X455" t="inlineStr">
        <is>
          <t>2001-05-15</t>
        </is>
      </c>
      <c r="Y455" t="inlineStr">
        <is>
          <t>1992-03-31</t>
        </is>
      </c>
      <c r="Z455" t="inlineStr">
        <is>
          <t>1992-03-31</t>
        </is>
      </c>
      <c r="AA455" t="n">
        <v>237</v>
      </c>
      <c r="AB455" t="n">
        <v>178</v>
      </c>
      <c r="AC455" t="n">
        <v>183</v>
      </c>
      <c r="AD455" t="n">
        <v>2</v>
      </c>
      <c r="AE455" t="n">
        <v>2</v>
      </c>
      <c r="AF455" t="n">
        <v>8</v>
      </c>
      <c r="AG455" t="n">
        <v>8</v>
      </c>
      <c r="AH455" t="n">
        <v>1</v>
      </c>
      <c r="AI455" t="n">
        <v>1</v>
      </c>
      <c r="AJ455" t="n">
        <v>3</v>
      </c>
      <c r="AK455" t="n">
        <v>3</v>
      </c>
      <c r="AL455" t="n">
        <v>5</v>
      </c>
      <c r="AM455" t="n">
        <v>5</v>
      </c>
      <c r="AN455" t="n">
        <v>0</v>
      </c>
      <c r="AO455" t="n">
        <v>0</v>
      </c>
      <c r="AP455" t="n">
        <v>0</v>
      </c>
      <c r="AQ455" t="n">
        <v>0</v>
      </c>
      <c r="AR455" t="inlineStr">
        <is>
          <t>No</t>
        </is>
      </c>
      <c r="AS455" t="inlineStr">
        <is>
          <t>No</t>
        </is>
      </c>
      <c r="AU455">
        <f>HYPERLINK("https://creighton-primo.hosted.exlibrisgroup.com/primo-explore/search?tab=default_tab&amp;search_scope=EVERYTHING&amp;vid=01CRU&amp;lang=en_US&amp;offset=0&amp;query=any,contains,991001793669702656","Catalog Record")</f>
        <v/>
      </c>
      <c r="AV455">
        <f>HYPERLINK("http://www.worldcat.org/oclc/22388270","WorldCat Record")</f>
        <v/>
      </c>
      <c r="AW455" t="inlineStr">
        <is>
          <t>836732690:eng</t>
        </is>
      </c>
      <c r="AX455" t="inlineStr">
        <is>
          <t>22388270</t>
        </is>
      </c>
      <c r="AY455" t="inlineStr">
        <is>
          <t>991001793669702656</t>
        </is>
      </c>
      <c r="AZ455" t="inlineStr">
        <is>
          <t>991001793669702656</t>
        </is>
      </c>
      <c r="BA455" t="inlineStr">
        <is>
          <t>2265613660002656</t>
        </is>
      </c>
      <c r="BB455" t="inlineStr">
        <is>
          <t>BOOK</t>
        </is>
      </c>
      <c r="BD455" t="inlineStr">
        <is>
          <t>9780195062502</t>
        </is>
      </c>
      <c r="BE455" t="inlineStr">
        <is>
          <t>32285001007235</t>
        </is>
      </c>
      <c r="BF455" t="inlineStr">
        <is>
          <t>893316072</t>
        </is>
      </c>
    </row>
    <row r="456">
      <c r="B456" t="inlineStr">
        <is>
          <t>CURAL</t>
        </is>
      </c>
      <c r="C456" t="inlineStr">
        <is>
          <t>SHELVES</t>
        </is>
      </c>
      <c r="D456" t="inlineStr">
        <is>
          <t>QP385 .B35 1967</t>
        </is>
      </c>
      <c r="E456" t="inlineStr">
        <is>
          <t>0                      QP 0385000B  35          1967</t>
        </is>
      </c>
      <c r="F456" t="inlineStr">
        <is>
          <t>The other hand : an investigation into the sinister history of left-handedness / Michael Barsley.</t>
        </is>
      </c>
      <c r="H456" t="inlineStr">
        <is>
          <t>No</t>
        </is>
      </c>
      <c r="I456" t="inlineStr">
        <is>
          <t>1</t>
        </is>
      </c>
      <c r="J456" t="inlineStr">
        <is>
          <t>No</t>
        </is>
      </c>
      <c r="K456" t="inlineStr">
        <is>
          <t>No</t>
        </is>
      </c>
      <c r="L456" t="inlineStr">
        <is>
          <t>0</t>
        </is>
      </c>
      <c r="M456" t="inlineStr">
        <is>
          <t>Barsley, Michael.</t>
        </is>
      </c>
      <c r="N456" t="inlineStr">
        <is>
          <t>New York : Hawthorn Books, [1967, c1966]</t>
        </is>
      </c>
      <c r="O456" t="inlineStr">
        <is>
          <t>1967</t>
        </is>
      </c>
      <c r="P456" t="inlineStr">
        <is>
          <t>[1st American ed.]</t>
        </is>
      </c>
      <c r="Q456" t="inlineStr">
        <is>
          <t>eng</t>
        </is>
      </c>
      <c r="R456" t="inlineStr">
        <is>
          <t>nyu</t>
        </is>
      </c>
      <c r="T456" t="inlineStr">
        <is>
          <t xml:space="preserve">QP </t>
        </is>
      </c>
      <c r="U456" t="n">
        <v>9</v>
      </c>
      <c r="V456" t="n">
        <v>9</v>
      </c>
      <c r="W456" t="inlineStr">
        <is>
          <t>2005-02-16</t>
        </is>
      </c>
      <c r="X456" t="inlineStr">
        <is>
          <t>2005-02-16</t>
        </is>
      </c>
      <c r="Y456" t="inlineStr">
        <is>
          <t>1993-02-03</t>
        </is>
      </c>
      <c r="Z456" t="inlineStr">
        <is>
          <t>1993-02-03</t>
        </is>
      </c>
      <c r="AA456" t="n">
        <v>200</v>
      </c>
      <c r="AB456" t="n">
        <v>190</v>
      </c>
      <c r="AC456" t="n">
        <v>194</v>
      </c>
      <c r="AD456" t="n">
        <v>2</v>
      </c>
      <c r="AE456" t="n">
        <v>2</v>
      </c>
      <c r="AF456" t="n">
        <v>3</v>
      </c>
      <c r="AG456" t="n">
        <v>3</v>
      </c>
      <c r="AH456" t="n">
        <v>0</v>
      </c>
      <c r="AI456" t="n">
        <v>0</v>
      </c>
      <c r="AJ456" t="n">
        <v>1</v>
      </c>
      <c r="AK456" t="n">
        <v>1</v>
      </c>
      <c r="AL456" t="n">
        <v>1</v>
      </c>
      <c r="AM456" t="n">
        <v>1</v>
      </c>
      <c r="AN456" t="n">
        <v>1</v>
      </c>
      <c r="AO456" t="n">
        <v>1</v>
      </c>
      <c r="AP456" t="n">
        <v>0</v>
      </c>
      <c r="AQ456" t="n">
        <v>0</v>
      </c>
      <c r="AR456" t="inlineStr">
        <is>
          <t>No</t>
        </is>
      </c>
      <c r="AS456" t="inlineStr">
        <is>
          <t>Yes</t>
        </is>
      </c>
      <c r="AT456">
        <f>HYPERLINK("http://catalog.hathitrust.org/Record/001554886","HathiTrust Record")</f>
        <v/>
      </c>
      <c r="AU456">
        <f>HYPERLINK("https://creighton-primo.hosted.exlibrisgroup.com/primo-explore/search?tab=default_tab&amp;search_scope=EVERYTHING&amp;vid=01CRU&amp;lang=en_US&amp;offset=0&amp;query=any,contains,991003480389702656","Catalog Record")</f>
        <v/>
      </c>
      <c r="AV456">
        <f>HYPERLINK("http://www.worldcat.org/oclc/1027393","WorldCat Record")</f>
        <v/>
      </c>
      <c r="AW456" t="inlineStr">
        <is>
          <t>1963755:eng</t>
        </is>
      </c>
      <c r="AX456" t="inlineStr">
        <is>
          <t>1027393</t>
        </is>
      </c>
      <c r="AY456" t="inlineStr">
        <is>
          <t>991003480389702656</t>
        </is>
      </c>
      <c r="AZ456" t="inlineStr">
        <is>
          <t>991003480389702656</t>
        </is>
      </c>
      <c r="BA456" t="inlineStr">
        <is>
          <t>2255753650002656</t>
        </is>
      </c>
      <c r="BB456" t="inlineStr">
        <is>
          <t>BOOK</t>
        </is>
      </c>
      <c r="BE456" t="inlineStr">
        <is>
          <t>32285001520179</t>
        </is>
      </c>
      <c r="BF456" t="inlineStr">
        <is>
          <t>893330335</t>
        </is>
      </c>
    </row>
    <row r="457">
      <c r="B457" t="inlineStr">
        <is>
          <t>CURAL</t>
        </is>
      </c>
      <c r="C457" t="inlineStr">
        <is>
          <t>SHELVES</t>
        </is>
      </c>
      <c r="D457" t="inlineStr">
        <is>
          <t>QP385 .G47 1987</t>
        </is>
      </c>
      <c r="E457" t="inlineStr">
        <is>
          <t>0                      QP 0385000G  47          1987</t>
        </is>
      </c>
      <c r="F457" t="inlineStr">
        <is>
          <t>Cerebral lateralization : biological mechanisms, associations, and pathology / Norman Geschwind, Albert M. Galaburda.</t>
        </is>
      </c>
      <c r="H457" t="inlineStr">
        <is>
          <t>No</t>
        </is>
      </c>
      <c r="I457" t="inlineStr">
        <is>
          <t>1</t>
        </is>
      </c>
      <c r="J457" t="inlineStr">
        <is>
          <t>No</t>
        </is>
      </c>
      <c r="K457" t="inlineStr">
        <is>
          <t>No</t>
        </is>
      </c>
      <c r="L457" t="inlineStr">
        <is>
          <t>0</t>
        </is>
      </c>
      <c r="M457" t="inlineStr">
        <is>
          <t>Geschwind, Norman.</t>
        </is>
      </c>
      <c r="N457" t="inlineStr">
        <is>
          <t>Cambridge, Mass. : MIT Press, c1987.</t>
        </is>
      </c>
      <c r="O457" t="inlineStr">
        <is>
          <t>1987</t>
        </is>
      </c>
      <c r="Q457" t="inlineStr">
        <is>
          <t>eng</t>
        </is>
      </c>
      <c r="R457" t="inlineStr">
        <is>
          <t>mau</t>
        </is>
      </c>
      <c r="T457" t="inlineStr">
        <is>
          <t xml:space="preserve">QP </t>
        </is>
      </c>
      <c r="U457" t="n">
        <v>2</v>
      </c>
      <c r="V457" t="n">
        <v>2</v>
      </c>
      <c r="W457" t="inlineStr">
        <is>
          <t>2003-01-31</t>
        </is>
      </c>
      <c r="X457" t="inlineStr">
        <is>
          <t>2003-01-31</t>
        </is>
      </c>
      <c r="Y457" t="inlineStr">
        <is>
          <t>1992-03-17</t>
        </is>
      </c>
      <c r="Z457" t="inlineStr">
        <is>
          <t>1992-03-17</t>
        </is>
      </c>
      <c r="AA457" t="n">
        <v>427</v>
      </c>
      <c r="AB457" t="n">
        <v>333</v>
      </c>
      <c r="AC457" t="n">
        <v>333</v>
      </c>
      <c r="AD457" t="n">
        <v>3</v>
      </c>
      <c r="AE457" t="n">
        <v>3</v>
      </c>
      <c r="AF457" t="n">
        <v>14</v>
      </c>
      <c r="AG457" t="n">
        <v>14</v>
      </c>
      <c r="AH457" t="n">
        <v>3</v>
      </c>
      <c r="AI457" t="n">
        <v>3</v>
      </c>
      <c r="AJ457" t="n">
        <v>4</v>
      </c>
      <c r="AK457" t="n">
        <v>4</v>
      </c>
      <c r="AL457" t="n">
        <v>8</v>
      </c>
      <c r="AM457" t="n">
        <v>8</v>
      </c>
      <c r="AN457" t="n">
        <v>2</v>
      </c>
      <c r="AO457" t="n">
        <v>2</v>
      </c>
      <c r="AP457" t="n">
        <v>0</v>
      </c>
      <c r="AQ457" t="n">
        <v>0</v>
      </c>
      <c r="AR457" t="inlineStr">
        <is>
          <t>No</t>
        </is>
      </c>
      <c r="AS457" t="inlineStr">
        <is>
          <t>No</t>
        </is>
      </c>
      <c r="AU457">
        <f>HYPERLINK("https://creighton-primo.hosted.exlibrisgroup.com/primo-explore/search?tab=default_tab&amp;search_scope=EVERYTHING&amp;vid=01CRU&amp;lang=en_US&amp;offset=0&amp;query=any,contains,991000871319702656","Catalog Record")</f>
        <v/>
      </c>
      <c r="AV457">
        <f>HYPERLINK("http://www.worldcat.org/oclc/13792967","WorldCat Record")</f>
        <v/>
      </c>
      <c r="AW457" t="inlineStr">
        <is>
          <t>836656206:eng</t>
        </is>
      </c>
      <c r="AX457" t="inlineStr">
        <is>
          <t>13792967</t>
        </is>
      </c>
      <c r="AY457" t="inlineStr">
        <is>
          <t>991000871319702656</t>
        </is>
      </c>
      <c r="AZ457" t="inlineStr">
        <is>
          <t>991000871319702656</t>
        </is>
      </c>
      <c r="BA457" t="inlineStr">
        <is>
          <t>2270984300002656</t>
        </is>
      </c>
      <c r="BB457" t="inlineStr">
        <is>
          <t>BOOK</t>
        </is>
      </c>
      <c r="BD457" t="inlineStr">
        <is>
          <t>9780262071017</t>
        </is>
      </c>
      <c r="BE457" t="inlineStr">
        <is>
          <t>32285001012441</t>
        </is>
      </c>
      <c r="BF457" t="inlineStr">
        <is>
          <t>893339965</t>
        </is>
      </c>
    </row>
    <row r="458">
      <c r="B458" t="inlineStr">
        <is>
          <t>CURAL</t>
        </is>
      </c>
      <c r="C458" t="inlineStr">
        <is>
          <t>SHELVES</t>
        </is>
      </c>
      <c r="D458" t="inlineStr">
        <is>
          <t>QP385 .G73 1984</t>
        </is>
      </c>
      <c r="E458" t="inlineStr">
        <is>
          <t>0                      QP 0385000G  73          1984</t>
        </is>
      </c>
      <c r="F458" t="inlineStr">
        <is>
          <t>Teaching and brain research : guidelines for the classroom / Michael P. Grady.</t>
        </is>
      </c>
      <c r="H458" t="inlineStr">
        <is>
          <t>No</t>
        </is>
      </c>
      <c r="I458" t="inlineStr">
        <is>
          <t>1</t>
        </is>
      </c>
      <c r="J458" t="inlineStr">
        <is>
          <t>No</t>
        </is>
      </c>
      <c r="K458" t="inlineStr">
        <is>
          <t>No</t>
        </is>
      </c>
      <c r="L458" t="inlineStr">
        <is>
          <t>0</t>
        </is>
      </c>
      <c r="M458" t="inlineStr">
        <is>
          <t>Grady, Michael P.</t>
        </is>
      </c>
      <c r="N458" t="inlineStr">
        <is>
          <t>New York : Longman, c1984.</t>
        </is>
      </c>
      <c r="O458" t="inlineStr">
        <is>
          <t>1984</t>
        </is>
      </c>
      <c r="Q458" t="inlineStr">
        <is>
          <t>eng</t>
        </is>
      </c>
      <c r="R458" t="inlineStr">
        <is>
          <t>nyu</t>
        </is>
      </c>
      <c r="T458" t="inlineStr">
        <is>
          <t xml:space="preserve">QP </t>
        </is>
      </c>
      <c r="U458" t="n">
        <v>2</v>
      </c>
      <c r="V458" t="n">
        <v>2</v>
      </c>
      <c r="W458" t="inlineStr">
        <is>
          <t>1994-02-15</t>
        </is>
      </c>
      <c r="X458" t="inlineStr">
        <is>
          <t>1994-02-15</t>
        </is>
      </c>
      <c r="Y458" t="inlineStr">
        <is>
          <t>1993-08-20</t>
        </is>
      </c>
      <c r="Z458" t="inlineStr">
        <is>
          <t>1993-08-20</t>
        </is>
      </c>
      <c r="AA458" t="n">
        <v>288</v>
      </c>
      <c r="AB458" t="n">
        <v>261</v>
      </c>
      <c r="AC458" t="n">
        <v>261</v>
      </c>
      <c r="AD458" t="n">
        <v>3</v>
      </c>
      <c r="AE458" t="n">
        <v>3</v>
      </c>
      <c r="AF458" t="n">
        <v>11</v>
      </c>
      <c r="AG458" t="n">
        <v>11</v>
      </c>
      <c r="AH458" t="n">
        <v>4</v>
      </c>
      <c r="AI458" t="n">
        <v>4</v>
      </c>
      <c r="AJ458" t="n">
        <v>1</v>
      </c>
      <c r="AK458" t="n">
        <v>1</v>
      </c>
      <c r="AL458" t="n">
        <v>4</v>
      </c>
      <c r="AM458" t="n">
        <v>4</v>
      </c>
      <c r="AN458" t="n">
        <v>2</v>
      </c>
      <c r="AO458" t="n">
        <v>2</v>
      </c>
      <c r="AP458" t="n">
        <v>0</v>
      </c>
      <c r="AQ458" t="n">
        <v>0</v>
      </c>
      <c r="AR458" t="inlineStr">
        <is>
          <t>No</t>
        </is>
      </c>
      <c r="AS458" t="inlineStr">
        <is>
          <t>No</t>
        </is>
      </c>
      <c r="AU458">
        <f>HYPERLINK("https://creighton-primo.hosted.exlibrisgroup.com/primo-explore/search?tab=default_tab&amp;search_scope=EVERYTHING&amp;vid=01CRU&amp;lang=en_US&amp;offset=0&amp;query=any,contains,991000300679702656","Catalog Record")</f>
        <v/>
      </c>
      <c r="AV458">
        <f>HYPERLINK("http://www.worldcat.org/oclc/10021699","WorldCat Record")</f>
        <v/>
      </c>
      <c r="AW458" t="inlineStr">
        <is>
          <t>196001909:eng</t>
        </is>
      </c>
      <c r="AX458" t="inlineStr">
        <is>
          <t>10021699</t>
        </is>
      </c>
      <c r="AY458" t="inlineStr">
        <is>
          <t>991000300679702656</t>
        </is>
      </c>
      <c r="AZ458" t="inlineStr">
        <is>
          <t>991000300679702656</t>
        </is>
      </c>
      <c r="BA458" t="inlineStr">
        <is>
          <t>2266545560002656</t>
        </is>
      </c>
      <c r="BB458" t="inlineStr">
        <is>
          <t>BOOK</t>
        </is>
      </c>
      <c r="BD458" t="inlineStr">
        <is>
          <t>9780582283770</t>
        </is>
      </c>
      <c r="BE458" t="inlineStr">
        <is>
          <t>32285001728897</t>
        </is>
      </c>
      <c r="BF458" t="inlineStr">
        <is>
          <t>893683301</t>
        </is>
      </c>
    </row>
    <row r="459">
      <c r="B459" t="inlineStr">
        <is>
          <t>CURAL</t>
        </is>
      </c>
      <c r="C459" t="inlineStr">
        <is>
          <t>SHELVES</t>
        </is>
      </c>
      <c r="D459" t="inlineStr">
        <is>
          <t>QP385 .N45</t>
        </is>
      </c>
      <c r="E459" t="inlineStr">
        <is>
          <t>0                      QP 0385000N  45</t>
        </is>
      </c>
      <c r="F459" t="inlineStr">
        <is>
          <t>Neuropsychology of left-handedness / [edited] by Jeannine Herron.</t>
        </is>
      </c>
      <c r="H459" t="inlineStr">
        <is>
          <t>No</t>
        </is>
      </c>
      <c r="I459" t="inlineStr">
        <is>
          <t>1</t>
        </is>
      </c>
      <c r="J459" t="inlineStr">
        <is>
          <t>Yes</t>
        </is>
      </c>
      <c r="K459" t="inlineStr">
        <is>
          <t>No</t>
        </is>
      </c>
      <c r="L459" t="inlineStr">
        <is>
          <t>0</t>
        </is>
      </c>
      <c r="N459" t="inlineStr">
        <is>
          <t>New York : Academic Press, c1980.</t>
        </is>
      </c>
      <c r="O459" t="inlineStr">
        <is>
          <t>1980</t>
        </is>
      </c>
      <c r="Q459" t="inlineStr">
        <is>
          <t>eng</t>
        </is>
      </c>
      <c r="R459" t="inlineStr">
        <is>
          <t>nyu</t>
        </is>
      </c>
      <c r="S459" t="inlineStr">
        <is>
          <t>Perspectives in neurolinguistics and psycholinguistics</t>
        </is>
      </c>
      <c r="T459" t="inlineStr">
        <is>
          <t xml:space="preserve">QP </t>
        </is>
      </c>
      <c r="U459" t="n">
        <v>23</v>
      </c>
      <c r="V459" t="n">
        <v>23</v>
      </c>
      <c r="W459" t="inlineStr">
        <is>
          <t>2005-03-29</t>
        </is>
      </c>
      <c r="X459" t="inlineStr">
        <is>
          <t>2005-03-29</t>
        </is>
      </c>
      <c r="Y459" t="inlineStr">
        <is>
          <t>1993-03-02</t>
        </is>
      </c>
      <c r="Z459" t="inlineStr">
        <is>
          <t>1993-03-02</t>
        </is>
      </c>
      <c r="AA459" t="n">
        <v>684</v>
      </c>
      <c r="AB459" t="n">
        <v>529</v>
      </c>
      <c r="AC459" t="n">
        <v>569</v>
      </c>
      <c r="AD459" t="n">
        <v>6</v>
      </c>
      <c r="AE459" t="n">
        <v>6</v>
      </c>
      <c r="AF459" t="n">
        <v>28</v>
      </c>
      <c r="AG459" t="n">
        <v>30</v>
      </c>
      <c r="AH459" t="n">
        <v>12</v>
      </c>
      <c r="AI459" t="n">
        <v>13</v>
      </c>
      <c r="AJ459" t="n">
        <v>5</v>
      </c>
      <c r="AK459" t="n">
        <v>7</v>
      </c>
      <c r="AL459" t="n">
        <v>14</v>
      </c>
      <c r="AM459" t="n">
        <v>14</v>
      </c>
      <c r="AN459" t="n">
        <v>4</v>
      </c>
      <c r="AO459" t="n">
        <v>4</v>
      </c>
      <c r="AP459" t="n">
        <v>0</v>
      </c>
      <c r="AQ459" t="n">
        <v>0</v>
      </c>
      <c r="AR459" t="inlineStr">
        <is>
          <t>No</t>
        </is>
      </c>
      <c r="AS459" t="inlineStr">
        <is>
          <t>Yes</t>
        </is>
      </c>
      <c r="AT459">
        <f>HYPERLINK("http://catalog.hathitrust.org/Record/000708284","HathiTrust Record")</f>
        <v/>
      </c>
      <c r="AU459">
        <f>HYPERLINK("https://creighton-primo.hosted.exlibrisgroup.com/primo-explore/search?tab=default_tab&amp;search_scope=EVERYTHING&amp;vid=01CRU&amp;lang=en_US&amp;offset=0&amp;query=any,contains,991004857079702656","Catalog Record")</f>
        <v/>
      </c>
      <c r="AV459">
        <f>HYPERLINK("http://www.worldcat.org/oclc/5675807","WorldCat Record")</f>
        <v/>
      </c>
      <c r="AW459" t="inlineStr">
        <is>
          <t>409172:eng</t>
        </is>
      </c>
      <c r="AX459" t="inlineStr">
        <is>
          <t>5675807</t>
        </is>
      </c>
      <c r="AY459" t="inlineStr">
        <is>
          <t>991004857079702656</t>
        </is>
      </c>
      <c r="AZ459" t="inlineStr">
        <is>
          <t>991004857079702656</t>
        </is>
      </c>
      <c r="BA459" t="inlineStr">
        <is>
          <t>2260647640002656</t>
        </is>
      </c>
      <c r="BB459" t="inlineStr">
        <is>
          <t>BOOK</t>
        </is>
      </c>
      <c r="BD459" t="inlineStr">
        <is>
          <t>9780123431509</t>
        </is>
      </c>
      <c r="BE459" t="inlineStr">
        <is>
          <t>32285001541399</t>
        </is>
      </c>
      <c r="BF459" t="inlineStr">
        <is>
          <t>893344340</t>
        </is>
      </c>
    </row>
    <row r="460">
      <c r="B460" t="inlineStr">
        <is>
          <t>CURAL</t>
        </is>
      </c>
      <c r="C460" t="inlineStr">
        <is>
          <t>SHELVES</t>
        </is>
      </c>
      <c r="D460" t="inlineStr">
        <is>
          <t>QP385 .U86 2001</t>
        </is>
      </c>
      <c r="E460" t="inlineStr">
        <is>
          <t>0                      QP 0385000U  86          2001</t>
        </is>
      </c>
      <c r="F460" t="inlineStr">
        <is>
          <t>The new phrenology : the limits of localizing cognitive processes in the brain / William R. Uttal.</t>
        </is>
      </c>
      <c r="H460" t="inlineStr">
        <is>
          <t>No</t>
        </is>
      </c>
      <c r="I460" t="inlineStr">
        <is>
          <t>1</t>
        </is>
      </c>
      <c r="J460" t="inlineStr">
        <is>
          <t>No</t>
        </is>
      </c>
      <c r="K460" t="inlineStr">
        <is>
          <t>No</t>
        </is>
      </c>
      <c r="L460" t="inlineStr">
        <is>
          <t>0</t>
        </is>
      </c>
      <c r="M460" t="inlineStr">
        <is>
          <t>Uttal, William R.</t>
        </is>
      </c>
      <c r="N460" t="inlineStr">
        <is>
          <t>Cambridge, Mass. : MIT Press, c2001.</t>
        </is>
      </c>
      <c r="O460" t="inlineStr">
        <is>
          <t>2001</t>
        </is>
      </c>
      <c r="Q460" t="inlineStr">
        <is>
          <t>eng</t>
        </is>
      </c>
      <c r="R460" t="inlineStr">
        <is>
          <t>mau</t>
        </is>
      </c>
      <c r="S460" t="inlineStr">
        <is>
          <t>Life and mind</t>
        </is>
      </c>
      <c r="T460" t="inlineStr">
        <is>
          <t xml:space="preserve">QP </t>
        </is>
      </c>
      <c r="U460" t="n">
        <v>4</v>
      </c>
      <c r="V460" t="n">
        <v>4</v>
      </c>
      <c r="W460" t="inlineStr">
        <is>
          <t>2007-01-20</t>
        </is>
      </c>
      <c r="X460" t="inlineStr">
        <is>
          <t>2007-01-20</t>
        </is>
      </c>
      <c r="Y460" t="inlineStr">
        <is>
          <t>2002-02-25</t>
        </is>
      </c>
      <c r="Z460" t="inlineStr">
        <is>
          <t>2002-02-25</t>
        </is>
      </c>
      <c r="AA460" t="n">
        <v>417</v>
      </c>
      <c r="AB460" t="n">
        <v>297</v>
      </c>
      <c r="AC460" t="n">
        <v>316</v>
      </c>
      <c r="AD460" t="n">
        <v>3</v>
      </c>
      <c r="AE460" t="n">
        <v>3</v>
      </c>
      <c r="AF460" t="n">
        <v>13</v>
      </c>
      <c r="AG460" t="n">
        <v>13</v>
      </c>
      <c r="AH460" t="n">
        <v>3</v>
      </c>
      <c r="AI460" t="n">
        <v>3</v>
      </c>
      <c r="AJ460" t="n">
        <v>3</v>
      </c>
      <c r="AK460" t="n">
        <v>3</v>
      </c>
      <c r="AL460" t="n">
        <v>7</v>
      </c>
      <c r="AM460" t="n">
        <v>7</v>
      </c>
      <c r="AN460" t="n">
        <v>2</v>
      </c>
      <c r="AO460" t="n">
        <v>2</v>
      </c>
      <c r="AP460" t="n">
        <v>0</v>
      </c>
      <c r="AQ460" t="n">
        <v>0</v>
      </c>
      <c r="AR460" t="inlineStr">
        <is>
          <t>No</t>
        </is>
      </c>
      <c r="AS460" t="inlineStr">
        <is>
          <t>No</t>
        </is>
      </c>
      <c r="AU460">
        <f>HYPERLINK("https://creighton-primo.hosted.exlibrisgroup.com/primo-explore/search?tab=default_tab&amp;search_scope=EVERYTHING&amp;vid=01CRU&amp;lang=en_US&amp;offset=0&amp;query=any,contains,991003729049702656","Catalog Record")</f>
        <v/>
      </c>
      <c r="AV460">
        <f>HYPERLINK("http://www.worldcat.org/oclc/45248325","WorldCat Record")</f>
        <v/>
      </c>
      <c r="AW460" t="inlineStr">
        <is>
          <t>836945784:eng</t>
        </is>
      </c>
      <c r="AX460" t="inlineStr">
        <is>
          <t>45248325</t>
        </is>
      </c>
      <c r="AY460" t="inlineStr">
        <is>
          <t>991003729049702656</t>
        </is>
      </c>
      <c r="AZ460" t="inlineStr">
        <is>
          <t>991003729049702656</t>
        </is>
      </c>
      <c r="BA460" t="inlineStr">
        <is>
          <t>2269400670002656</t>
        </is>
      </c>
      <c r="BB460" t="inlineStr">
        <is>
          <t>BOOK</t>
        </is>
      </c>
      <c r="BD460" t="inlineStr">
        <is>
          <t>9780262210171</t>
        </is>
      </c>
      <c r="BE460" t="inlineStr">
        <is>
          <t>32285004456769</t>
        </is>
      </c>
      <c r="BF460" t="inlineStr">
        <is>
          <t>893887815</t>
        </is>
      </c>
    </row>
    <row r="461">
      <c r="B461" t="inlineStr">
        <is>
          <t>CURAL</t>
        </is>
      </c>
      <c r="C461" t="inlineStr">
        <is>
          <t>SHELVES</t>
        </is>
      </c>
      <c r="D461" t="inlineStr">
        <is>
          <t>QP385.5 .A85</t>
        </is>
      </c>
      <c r="E461" t="inlineStr">
        <is>
          <t>0                      QP 0385500A  85</t>
        </is>
      </c>
      <c r="F461" t="inlineStr">
        <is>
          <t>Asymmetrical function of the brain / edited by Marcel Kinsbourne.</t>
        </is>
      </c>
      <c r="H461" t="inlineStr">
        <is>
          <t>No</t>
        </is>
      </c>
      <c r="I461" t="inlineStr">
        <is>
          <t>1</t>
        </is>
      </c>
      <c r="J461" t="inlineStr">
        <is>
          <t>Yes</t>
        </is>
      </c>
      <c r="K461" t="inlineStr">
        <is>
          <t>No</t>
        </is>
      </c>
      <c r="L461" t="inlineStr">
        <is>
          <t>0</t>
        </is>
      </c>
      <c r="N461" t="inlineStr">
        <is>
          <t>Cambridge ; New York : Cambridge University Press, 1978.</t>
        </is>
      </c>
      <c r="O461" t="inlineStr">
        <is>
          <t>1978</t>
        </is>
      </c>
      <c r="Q461" t="inlineStr">
        <is>
          <t>eng</t>
        </is>
      </c>
      <c r="R461" t="inlineStr">
        <is>
          <t>mau</t>
        </is>
      </c>
      <c r="T461" t="inlineStr">
        <is>
          <t xml:space="preserve">QP </t>
        </is>
      </c>
      <c r="U461" t="n">
        <v>4</v>
      </c>
      <c r="V461" t="n">
        <v>7</v>
      </c>
      <c r="W461" t="inlineStr">
        <is>
          <t>1995-01-31</t>
        </is>
      </c>
      <c r="X461" t="inlineStr">
        <is>
          <t>1995-01-31</t>
        </is>
      </c>
      <c r="Y461" t="inlineStr">
        <is>
          <t>1993-03-03</t>
        </is>
      </c>
      <c r="Z461" t="inlineStr">
        <is>
          <t>1993-03-03</t>
        </is>
      </c>
      <c r="AA461" t="n">
        <v>492</v>
      </c>
      <c r="AB461" t="n">
        <v>353</v>
      </c>
      <c r="AC461" t="n">
        <v>358</v>
      </c>
      <c r="AD461" t="n">
        <v>3</v>
      </c>
      <c r="AE461" t="n">
        <v>3</v>
      </c>
      <c r="AF461" t="n">
        <v>16</v>
      </c>
      <c r="AG461" t="n">
        <v>16</v>
      </c>
      <c r="AH461" t="n">
        <v>4</v>
      </c>
      <c r="AI461" t="n">
        <v>4</v>
      </c>
      <c r="AJ461" t="n">
        <v>4</v>
      </c>
      <c r="AK461" t="n">
        <v>4</v>
      </c>
      <c r="AL461" t="n">
        <v>9</v>
      </c>
      <c r="AM461" t="n">
        <v>9</v>
      </c>
      <c r="AN461" t="n">
        <v>1</v>
      </c>
      <c r="AO461" t="n">
        <v>1</v>
      </c>
      <c r="AP461" t="n">
        <v>0</v>
      </c>
      <c r="AQ461" t="n">
        <v>0</v>
      </c>
      <c r="AR461" t="inlineStr">
        <is>
          <t>No</t>
        </is>
      </c>
      <c r="AS461" t="inlineStr">
        <is>
          <t>No</t>
        </is>
      </c>
      <c r="AU461">
        <f>HYPERLINK("https://creighton-primo.hosted.exlibrisgroup.com/primo-explore/search?tab=default_tab&amp;search_scope=EVERYTHING&amp;vid=01CRU&amp;lang=en_US&amp;offset=0&amp;query=any,contains,991001791359702656","Catalog Record")</f>
        <v/>
      </c>
      <c r="AV461">
        <f>HYPERLINK("http://www.worldcat.org/oclc/3002664","WorldCat Record")</f>
        <v/>
      </c>
      <c r="AW461" t="inlineStr">
        <is>
          <t>54168720:eng</t>
        </is>
      </c>
      <c r="AX461" t="inlineStr">
        <is>
          <t>3002664</t>
        </is>
      </c>
      <c r="AY461" t="inlineStr">
        <is>
          <t>991001791359702656</t>
        </is>
      </c>
      <c r="AZ461" t="inlineStr">
        <is>
          <t>991001791359702656</t>
        </is>
      </c>
      <c r="BA461" t="inlineStr">
        <is>
          <t>2272166110002656</t>
        </is>
      </c>
      <c r="BB461" t="inlineStr">
        <is>
          <t>BOOK</t>
        </is>
      </c>
      <c r="BD461" t="inlineStr">
        <is>
          <t>9780521214810</t>
        </is>
      </c>
      <c r="BE461" t="inlineStr">
        <is>
          <t>32285001562015</t>
        </is>
      </c>
      <c r="BF461" t="inlineStr">
        <is>
          <t>893433144</t>
        </is>
      </c>
    </row>
    <row r="462">
      <c r="B462" t="inlineStr">
        <is>
          <t>CURAL</t>
        </is>
      </c>
      <c r="C462" t="inlineStr">
        <is>
          <t>SHELVES</t>
        </is>
      </c>
      <c r="D462" t="inlineStr">
        <is>
          <t>QP385.5 .B43 1986</t>
        </is>
      </c>
      <c r="E462" t="inlineStr">
        <is>
          <t>0                      QP 0385500B  43          1986</t>
        </is>
      </c>
      <c r="F462" t="inlineStr">
        <is>
          <t>Left side, right side : a review of laterality research / Alan Beaton.</t>
        </is>
      </c>
      <c r="H462" t="inlineStr">
        <is>
          <t>No</t>
        </is>
      </c>
      <c r="I462" t="inlineStr">
        <is>
          <t>1</t>
        </is>
      </c>
      <c r="J462" t="inlineStr">
        <is>
          <t>No</t>
        </is>
      </c>
      <c r="K462" t="inlineStr">
        <is>
          <t>No</t>
        </is>
      </c>
      <c r="L462" t="inlineStr">
        <is>
          <t>0</t>
        </is>
      </c>
      <c r="M462" t="inlineStr">
        <is>
          <t>Beaton, Alan.</t>
        </is>
      </c>
      <c r="N462" t="inlineStr">
        <is>
          <t>New Haven : Yale University Press, 1986, c1985.</t>
        </is>
      </c>
      <c r="O462" t="inlineStr">
        <is>
          <t>1986</t>
        </is>
      </c>
      <c r="Q462" t="inlineStr">
        <is>
          <t>eng</t>
        </is>
      </c>
      <c r="R462" t="inlineStr">
        <is>
          <t>ctu</t>
        </is>
      </c>
      <c r="T462" t="inlineStr">
        <is>
          <t xml:space="preserve">QP </t>
        </is>
      </c>
      <c r="U462" t="n">
        <v>14</v>
      </c>
      <c r="V462" t="n">
        <v>14</v>
      </c>
      <c r="W462" t="inlineStr">
        <is>
          <t>2005-03-29</t>
        </is>
      </c>
      <c r="X462" t="inlineStr">
        <is>
          <t>2005-03-29</t>
        </is>
      </c>
      <c r="Y462" t="inlineStr">
        <is>
          <t>1993-03-03</t>
        </is>
      </c>
      <c r="Z462" t="inlineStr">
        <is>
          <t>1993-03-03</t>
        </is>
      </c>
      <c r="AA462" t="n">
        <v>626</v>
      </c>
      <c r="AB462" t="n">
        <v>586</v>
      </c>
      <c r="AC462" t="n">
        <v>644</v>
      </c>
      <c r="AD462" t="n">
        <v>5</v>
      </c>
      <c r="AE462" t="n">
        <v>6</v>
      </c>
      <c r="AF462" t="n">
        <v>32</v>
      </c>
      <c r="AG462" t="n">
        <v>33</v>
      </c>
      <c r="AH462" t="n">
        <v>15</v>
      </c>
      <c r="AI462" t="n">
        <v>15</v>
      </c>
      <c r="AJ462" t="n">
        <v>7</v>
      </c>
      <c r="AK462" t="n">
        <v>7</v>
      </c>
      <c r="AL462" t="n">
        <v>13</v>
      </c>
      <c r="AM462" t="n">
        <v>13</v>
      </c>
      <c r="AN462" t="n">
        <v>4</v>
      </c>
      <c r="AO462" t="n">
        <v>5</v>
      </c>
      <c r="AP462" t="n">
        <v>0</v>
      </c>
      <c r="AQ462" t="n">
        <v>0</v>
      </c>
      <c r="AR462" t="inlineStr">
        <is>
          <t>No</t>
        </is>
      </c>
      <c r="AS462" t="inlineStr">
        <is>
          <t>No</t>
        </is>
      </c>
      <c r="AU462">
        <f>HYPERLINK("https://creighton-primo.hosted.exlibrisgroup.com/primo-explore/search?tab=default_tab&amp;search_scope=EVERYTHING&amp;vid=01CRU&amp;lang=en_US&amp;offset=0&amp;query=any,contains,991000801989702656","Catalog Record")</f>
        <v/>
      </c>
      <c r="AV462">
        <f>HYPERLINK("http://www.worldcat.org/oclc/13261135","WorldCat Record")</f>
        <v/>
      </c>
      <c r="AW462" t="inlineStr">
        <is>
          <t>4877172:eng</t>
        </is>
      </c>
      <c r="AX462" t="inlineStr">
        <is>
          <t>13261135</t>
        </is>
      </c>
      <c r="AY462" t="inlineStr">
        <is>
          <t>991000801989702656</t>
        </is>
      </c>
      <c r="AZ462" t="inlineStr">
        <is>
          <t>991000801989702656</t>
        </is>
      </c>
      <c r="BA462" t="inlineStr">
        <is>
          <t>2264609280002656</t>
        </is>
      </c>
      <c r="BB462" t="inlineStr">
        <is>
          <t>BOOK</t>
        </is>
      </c>
      <c r="BD462" t="inlineStr">
        <is>
          <t>9780300035490</t>
        </is>
      </c>
      <c r="BE462" t="inlineStr">
        <is>
          <t>32285001562023</t>
        </is>
      </c>
      <c r="BF462" t="inlineStr">
        <is>
          <t>893413691</t>
        </is>
      </c>
    </row>
    <row r="463">
      <c r="B463" t="inlineStr">
        <is>
          <t>CURAL</t>
        </is>
      </c>
      <c r="C463" t="inlineStr">
        <is>
          <t>SHELVES</t>
        </is>
      </c>
      <c r="D463" t="inlineStr">
        <is>
          <t>QP385.5 .B7 1989</t>
        </is>
      </c>
      <c r="E463" t="inlineStr">
        <is>
          <t>0                      QP 0385500B  7           1989</t>
        </is>
      </c>
      <c r="F463" t="inlineStr">
        <is>
          <t>Hemispheric specialization and psychological function / John L. Bradshaw.</t>
        </is>
      </c>
      <c r="H463" t="inlineStr">
        <is>
          <t>No</t>
        </is>
      </c>
      <c r="I463" t="inlineStr">
        <is>
          <t>1</t>
        </is>
      </c>
      <c r="J463" t="inlineStr">
        <is>
          <t>No</t>
        </is>
      </c>
      <c r="K463" t="inlineStr">
        <is>
          <t>No</t>
        </is>
      </c>
      <c r="L463" t="inlineStr">
        <is>
          <t>0</t>
        </is>
      </c>
      <c r="M463" t="inlineStr">
        <is>
          <t>Bradshaw, John L., 1940-</t>
        </is>
      </c>
      <c r="N463" t="inlineStr">
        <is>
          <t>Chichester ; New York : Wiley, c1989.</t>
        </is>
      </c>
      <c r="O463" t="inlineStr">
        <is>
          <t>1989</t>
        </is>
      </c>
      <c r="Q463" t="inlineStr">
        <is>
          <t>eng</t>
        </is>
      </c>
      <c r="R463" t="inlineStr">
        <is>
          <t>enk</t>
        </is>
      </c>
      <c r="T463" t="inlineStr">
        <is>
          <t xml:space="preserve">QP </t>
        </is>
      </c>
      <c r="U463" t="n">
        <v>21</v>
      </c>
      <c r="V463" t="n">
        <v>21</v>
      </c>
      <c r="W463" t="inlineStr">
        <is>
          <t>2001-02-19</t>
        </is>
      </c>
      <c r="X463" t="inlineStr">
        <is>
          <t>2001-02-19</t>
        </is>
      </c>
      <c r="Y463" t="inlineStr">
        <is>
          <t>1992-02-21</t>
        </is>
      </c>
      <c r="Z463" t="inlineStr">
        <is>
          <t>1992-02-21</t>
        </is>
      </c>
      <c r="AA463" t="n">
        <v>316</v>
      </c>
      <c r="AB463" t="n">
        <v>196</v>
      </c>
      <c r="AC463" t="n">
        <v>205</v>
      </c>
      <c r="AD463" t="n">
        <v>1</v>
      </c>
      <c r="AE463" t="n">
        <v>1</v>
      </c>
      <c r="AF463" t="n">
        <v>9</v>
      </c>
      <c r="AG463" t="n">
        <v>9</v>
      </c>
      <c r="AH463" t="n">
        <v>1</v>
      </c>
      <c r="AI463" t="n">
        <v>1</v>
      </c>
      <c r="AJ463" t="n">
        <v>3</v>
      </c>
      <c r="AK463" t="n">
        <v>3</v>
      </c>
      <c r="AL463" t="n">
        <v>7</v>
      </c>
      <c r="AM463" t="n">
        <v>7</v>
      </c>
      <c r="AN463" t="n">
        <v>0</v>
      </c>
      <c r="AO463" t="n">
        <v>0</v>
      </c>
      <c r="AP463" t="n">
        <v>0</v>
      </c>
      <c r="AQ463" t="n">
        <v>0</v>
      </c>
      <c r="AR463" t="inlineStr">
        <is>
          <t>No</t>
        </is>
      </c>
      <c r="AS463" t="inlineStr">
        <is>
          <t>Yes</t>
        </is>
      </c>
      <c r="AT463">
        <f>HYPERLINK("http://catalog.hathitrust.org/Record/001835224","HathiTrust Record")</f>
        <v/>
      </c>
      <c r="AU463">
        <f>HYPERLINK("https://creighton-primo.hosted.exlibrisgroup.com/primo-explore/search?tab=default_tab&amp;search_scope=EVERYTHING&amp;vid=01CRU&amp;lang=en_US&amp;offset=0&amp;query=any,contains,991001533549702656","Catalog Record")</f>
        <v/>
      </c>
      <c r="AV463">
        <f>HYPERLINK("http://www.worldcat.org/oclc/20056706","WorldCat Record")</f>
        <v/>
      </c>
      <c r="AW463" t="inlineStr">
        <is>
          <t>21214923:eng</t>
        </is>
      </c>
      <c r="AX463" t="inlineStr">
        <is>
          <t>20056706</t>
        </is>
      </c>
      <c r="AY463" t="inlineStr">
        <is>
          <t>991001533549702656</t>
        </is>
      </c>
      <c r="AZ463" t="inlineStr">
        <is>
          <t>991001533549702656</t>
        </is>
      </c>
      <c r="BA463" t="inlineStr">
        <is>
          <t>2271332840002656</t>
        </is>
      </c>
      <c r="BB463" t="inlineStr">
        <is>
          <t>BOOK</t>
        </is>
      </c>
      <c r="BD463" t="inlineStr">
        <is>
          <t>9780471923183</t>
        </is>
      </c>
      <c r="BE463" t="inlineStr">
        <is>
          <t>32285000936467</t>
        </is>
      </c>
      <c r="BF463" t="inlineStr">
        <is>
          <t>893778849</t>
        </is>
      </c>
    </row>
    <row r="464">
      <c r="B464" t="inlineStr">
        <is>
          <t>CURAL</t>
        </is>
      </c>
      <c r="C464" t="inlineStr">
        <is>
          <t>SHELVES</t>
        </is>
      </c>
      <c r="D464" t="inlineStr">
        <is>
          <t>QP385.5 .B73 1988</t>
        </is>
      </c>
      <c r="E464" t="inlineStr">
        <is>
          <t>0                      QP 0385500B  73          1988</t>
        </is>
      </c>
      <c r="F464" t="inlineStr">
        <is>
          <t>Brain lateralization in children : developmental implications / edited by Dennis L. Molfese, Sidney J. Segalowitz.</t>
        </is>
      </c>
      <c r="H464" t="inlineStr">
        <is>
          <t>No</t>
        </is>
      </c>
      <c r="I464" t="inlineStr">
        <is>
          <t>1</t>
        </is>
      </c>
      <c r="J464" t="inlineStr">
        <is>
          <t>No</t>
        </is>
      </c>
      <c r="K464" t="inlineStr">
        <is>
          <t>No</t>
        </is>
      </c>
      <c r="L464" t="inlineStr">
        <is>
          <t>0</t>
        </is>
      </c>
      <c r="N464" t="inlineStr">
        <is>
          <t>New York : Guilford Press, c1988.</t>
        </is>
      </c>
      <c r="O464" t="inlineStr">
        <is>
          <t>1988</t>
        </is>
      </c>
      <c r="Q464" t="inlineStr">
        <is>
          <t>eng</t>
        </is>
      </c>
      <c r="R464" t="inlineStr">
        <is>
          <t>nyu</t>
        </is>
      </c>
      <c r="T464" t="inlineStr">
        <is>
          <t xml:space="preserve">QP </t>
        </is>
      </c>
      <c r="U464" t="n">
        <v>6</v>
      </c>
      <c r="V464" t="n">
        <v>6</v>
      </c>
      <c r="W464" t="inlineStr">
        <is>
          <t>1994-11-27</t>
        </is>
      </c>
      <c r="X464" t="inlineStr">
        <is>
          <t>1994-11-27</t>
        </is>
      </c>
      <c r="Y464" t="inlineStr">
        <is>
          <t>1991-01-04</t>
        </is>
      </c>
      <c r="Z464" t="inlineStr">
        <is>
          <t>1991-01-04</t>
        </is>
      </c>
      <c r="AA464" t="n">
        <v>411</v>
      </c>
      <c r="AB464" t="n">
        <v>310</v>
      </c>
      <c r="AC464" t="n">
        <v>311</v>
      </c>
      <c r="AD464" t="n">
        <v>3</v>
      </c>
      <c r="AE464" t="n">
        <v>3</v>
      </c>
      <c r="AF464" t="n">
        <v>17</v>
      </c>
      <c r="AG464" t="n">
        <v>17</v>
      </c>
      <c r="AH464" t="n">
        <v>5</v>
      </c>
      <c r="AI464" t="n">
        <v>5</v>
      </c>
      <c r="AJ464" t="n">
        <v>5</v>
      </c>
      <c r="AK464" t="n">
        <v>5</v>
      </c>
      <c r="AL464" t="n">
        <v>10</v>
      </c>
      <c r="AM464" t="n">
        <v>10</v>
      </c>
      <c r="AN464" t="n">
        <v>2</v>
      </c>
      <c r="AO464" t="n">
        <v>2</v>
      </c>
      <c r="AP464" t="n">
        <v>0</v>
      </c>
      <c r="AQ464" t="n">
        <v>0</v>
      </c>
      <c r="AR464" t="inlineStr">
        <is>
          <t>No</t>
        </is>
      </c>
      <c r="AS464" t="inlineStr">
        <is>
          <t>No</t>
        </is>
      </c>
      <c r="AU464">
        <f>HYPERLINK("https://creighton-primo.hosted.exlibrisgroup.com/primo-explore/search?tab=default_tab&amp;search_scope=EVERYTHING&amp;vid=01CRU&amp;lang=en_US&amp;offset=0&amp;query=any,contains,991001280799702656","Catalog Record")</f>
        <v/>
      </c>
      <c r="AV464">
        <f>HYPERLINK("http://www.worldcat.org/oclc/17917332","WorldCat Record")</f>
        <v/>
      </c>
      <c r="AW464" t="inlineStr">
        <is>
          <t>889478551:eng</t>
        </is>
      </c>
      <c r="AX464" t="inlineStr">
        <is>
          <t>17917332</t>
        </is>
      </c>
      <c r="AY464" t="inlineStr">
        <is>
          <t>991001280799702656</t>
        </is>
      </c>
      <c r="AZ464" t="inlineStr">
        <is>
          <t>991001280799702656</t>
        </is>
      </c>
      <c r="BA464" t="inlineStr">
        <is>
          <t>2270017710002656</t>
        </is>
      </c>
      <c r="BB464" t="inlineStr">
        <is>
          <t>BOOK</t>
        </is>
      </c>
      <c r="BD464" t="inlineStr">
        <is>
          <t>9780898627190</t>
        </is>
      </c>
      <c r="BE464" t="inlineStr">
        <is>
          <t>32285000407618</t>
        </is>
      </c>
      <c r="BF464" t="inlineStr">
        <is>
          <t>893528844</t>
        </is>
      </c>
    </row>
    <row r="465">
      <c r="B465" t="inlineStr">
        <is>
          <t>CURAL</t>
        </is>
      </c>
      <c r="C465" t="inlineStr">
        <is>
          <t>SHELVES</t>
        </is>
      </c>
      <c r="D465" t="inlineStr">
        <is>
          <t>QP385.5 .B79 1982</t>
        </is>
      </c>
      <c r="E465" t="inlineStr">
        <is>
          <t>0                      QP 0385500B  79          1982</t>
        </is>
      </c>
      <c r="F465" t="inlineStr">
        <is>
          <t>Laterality : functional asymmetry in the intact brain / M.P. Bryden.</t>
        </is>
      </c>
      <c r="H465" t="inlineStr">
        <is>
          <t>No</t>
        </is>
      </c>
      <c r="I465" t="inlineStr">
        <is>
          <t>1</t>
        </is>
      </c>
      <c r="J465" t="inlineStr">
        <is>
          <t>No</t>
        </is>
      </c>
      <c r="K465" t="inlineStr">
        <is>
          <t>No</t>
        </is>
      </c>
      <c r="L465" t="inlineStr">
        <is>
          <t>0</t>
        </is>
      </c>
      <c r="M465" t="inlineStr">
        <is>
          <t>Bryden, M. P.</t>
        </is>
      </c>
      <c r="N465" t="inlineStr">
        <is>
          <t>New York : Academic Press, 1982.</t>
        </is>
      </c>
      <c r="O465" t="inlineStr">
        <is>
          <t>1982</t>
        </is>
      </c>
      <c r="Q465" t="inlineStr">
        <is>
          <t>eng</t>
        </is>
      </c>
      <c r="R465" t="inlineStr">
        <is>
          <t>nyu</t>
        </is>
      </c>
      <c r="S465" t="inlineStr">
        <is>
          <t>Perspectives in neurolinguistics, neuropsychology, and psycholinguistics</t>
        </is>
      </c>
      <c r="T465" t="inlineStr">
        <is>
          <t xml:space="preserve">QP </t>
        </is>
      </c>
      <c r="U465" t="n">
        <v>4</v>
      </c>
      <c r="V465" t="n">
        <v>4</v>
      </c>
      <c r="W465" t="inlineStr">
        <is>
          <t>2003-01-31</t>
        </is>
      </c>
      <c r="X465" t="inlineStr">
        <is>
          <t>2003-01-31</t>
        </is>
      </c>
      <c r="Y465" t="inlineStr">
        <is>
          <t>1992-03-17</t>
        </is>
      </c>
      <c r="Z465" t="inlineStr">
        <is>
          <t>1992-03-17</t>
        </is>
      </c>
      <c r="AA465" t="n">
        <v>501</v>
      </c>
      <c r="AB465" t="n">
        <v>365</v>
      </c>
      <c r="AC465" t="n">
        <v>392</v>
      </c>
      <c r="AD465" t="n">
        <v>3</v>
      </c>
      <c r="AE465" t="n">
        <v>3</v>
      </c>
      <c r="AF465" t="n">
        <v>17</v>
      </c>
      <c r="AG465" t="n">
        <v>19</v>
      </c>
      <c r="AH465" t="n">
        <v>6</v>
      </c>
      <c r="AI465" t="n">
        <v>7</v>
      </c>
      <c r="AJ465" t="n">
        <v>4</v>
      </c>
      <c r="AK465" t="n">
        <v>5</v>
      </c>
      <c r="AL465" t="n">
        <v>9</v>
      </c>
      <c r="AM465" t="n">
        <v>9</v>
      </c>
      <c r="AN465" t="n">
        <v>2</v>
      </c>
      <c r="AO465" t="n">
        <v>2</v>
      </c>
      <c r="AP465" t="n">
        <v>0</v>
      </c>
      <c r="AQ465" t="n">
        <v>0</v>
      </c>
      <c r="AR465" t="inlineStr">
        <is>
          <t>No</t>
        </is>
      </c>
      <c r="AS465" t="inlineStr">
        <is>
          <t>Yes</t>
        </is>
      </c>
      <c r="AT465">
        <f>HYPERLINK("http://catalog.hathitrust.org/Record/000231091","HathiTrust Record")</f>
        <v/>
      </c>
      <c r="AU465">
        <f>HYPERLINK("https://creighton-primo.hosted.exlibrisgroup.com/primo-explore/search?tab=default_tab&amp;search_scope=EVERYTHING&amp;vid=01CRU&amp;lang=en_US&amp;offset=0&amp;query=any,contains,991005247899702656","Catalog Record")</f>
        <v/>
      </c>
      <c r="AV465">
        <f>HYPERLINK("http://www.worldcat.org/oclc/8474811","WorldCat Record")</f>
        <v/>
      </c>
      <c r="AW465" t="inlineStr">
        <is>
          <t>889984944:eng</t>
        </is>
      </c>
      <c r="AX465" t="inlineStr">
        <is>
          <t>8474811</t>
        </is>
      </c>
      <c r="AY465" t="inlineStr">
        <is>
          <t>991005247899702656</t>
        </is>
      </c>
      <c r="AZ465" t="inlineStr">
        <is>
          <t>991005247899702656</t>
        </is>
      </c>
      <c r="BA465" t="inlineStr">
        <is>
          <t>2257570050002656</t>
        </is>
      </c>
      <c r="BB465" t="inlineStr">
        <is>
          <t>BOOK</t>
        </is>
      </c>
      <c r="BD465" t="inlineStr">
        <is>
          <t>9780121381806</t>
        </is>
      </c>
      <c r="BE465" t="inlineStr">
        <is>
          <t>32285001012458</t>
        </is>
      </c>
      <c r="BF465" t="inlineStr">
        <is>
          <t>893795855</t>
        </is>
      </c>
    </row>
    <row r="466">
      <c r="B466" t="inlineStr">
        <is>
          <t>CURAL</t>
        </is>
      </c>
      <c r="C466" t="inlineStr">
        <is>
          <t>SHELVES</t>
        </is>
      </c>
      <c r="D466" t="inlineStr">
        <is>
          <t>QP385.5 .C46 1984</t>
        </is>
      </c>
      <c r="E466" t="inlineStr">
        <is>
          <t>0                      QP 0385500C  46          1984</t>
        </is>
      </c>
      <c r="F466" t="inlineStr">
        <is>
          <t>Cerebral dominance : the biological foundations / edited by Norman Geschwind and Albert M. Galaburda.</t>
        </is>
      </c>
      <c r="H466" t="inlineStr">
        <is>
          <t>No</t>
        </is>
      </c>
      <c r="I466" t="inlineStr">
        <is>
          <t>1</t>
        </is>
      </c>
      <c r="J466" t="inlineStr">
        <is>
          <t>No</t>
        </is>
      </c>
      <c r="K466" t="inlineStr">
        <is>
          <t>No</t>
        </is>
      </c>
      <c r="L466" t="inlineStr">
        <is>
          <t>0</t>
        </is>
      </c>
      <c r="N466" t="inlineStr">
        <is>
          <t>Cambridge, Mass. : Harvard University Press, 1984.</t>
        </is>
      </c>
      <c r="O466" t="inlineStr">
        <is>
          <t>1984</t>
        </is>
      </c>
      <c r="Q466" t="inlineStr">
        <is>
          <t>eng</t>
        </is>
      </c>
      <c r="R466" t="inlineStr">
        <is>
          <t>mau</t>
        </is>
      </c>
      <c r="T466" t="inlineStr">
        <is>
          <t xml:space="preserve">QP </t>
        </is>
      </c>
      <c r="U466" t="n">
        <v>4</v>
      </c>
      <c r="V466" t="n">
        <v>4</v>
      </c>
      <c r="W466" t="inlineStr">
        <is>
          <t>1995-01-31</t>
        </is>
      </c>
      <c r="X466" t="inlineStr">
        <is>
          <t>1995-01-31</t>
        </is>
      </c>
      <c r="Y466" t="inlineStr">
        <is>
          <t>1993-03-03</t>
        </is>
      </c>
      <c r="Z466" t="inlineStr">
        <is>
          <t>1993-03-03</t>
        </is>
      </c>
      <c r="AA466" t="n">
        <v>532</v>
      </c>
      <c r="AB466" t="n">
        <v>406</v>
      </c>
      <c r="AC466" t="n">
        <v>413</v>
      </c>
      <c r="AD466" t="n">
        <v>3</v>
      </c>
      <c r="AE466" t="n">
        <v>3</v>
      </c>
      <c r="AF466" t="n">
        <v>16</v>
      </c>
      <c r="AG466" t="n">
        <v>16</v>
      </c>
      <c r="AH466" t="n">
        <v>4</v>
      </c>
      <c r="AI466" t="n">
        <v>4</v>
      </c>
      <c r="AJ466" t="n">
        <v>5</v>
      </c>
      <c r="AK466" t="n">
        <v>5</v>
      </c>
      <c r="AL466" t="n">
        <v>9</v>
      </c>
      <c r="AM466" t="n">
        <v>9</v>
      </c>
      <c r="AN466" t="n">
        <v>2</v>
      </c>
      <c r="AO466" t="n">
        <v>2</v>
      </c>
      <c r="AP466" t="n">
        <v>0</v>
      </c>
      <c r="AQ466" t="n">
        <v>0</v>
      </c>
      <c r="AR466" t="inlineStr">
        <is>
          <t>No</t>
        </is>
      </c>
      <c r="AS466" t="inlineStr">
        <is>
          <t>Yes</t>
        </is>
      </c>
      <c r="AT466">
        <f>HYPERLINK("http://catalog.hathitrust.org/Record/000345309","HathiTrust Record")</f>
        <v/>
      </c>
      <c r="AU466">
        <f>HYPERLINK("https://creighton-primo.hosted.exlibrisgroup.com/primo-explore/search?tab=default_tab&amp;search_scope=EVERYTHING&amp;vid=01CRU&amp;lang=en_US&amp;offset=0&amp;query=any,contains,991000398329702656","Catalog Record")</f>
        <v/>
      </c>
      <c r="AV466">
        <f>HYPERLINK("http://www.worldcat.org/oclc/10605338","WorldCat Record")</f>
        <v/>
      </c>
      <c r="AW466" t="inlineStr">
        <is>
          <t>836660141:eng</t>
        </is>
      </c>
      <c r="AX466" t="inlineStr">
        <is>
          <t>10605338</t>
        </is>
      </c>
      <c r="AY466" t="inlineStr">
        <is>
          <t>991000398329702656</t>
        </is>
      </c>
      <c r="AZ466" t="inlineStr">
        <is>
          <t>991000398329702656</t>
        </is>
      </c>
      <c r="BA466" t="inlineStr">
        <is>
          <t>2258840130002656</t>
        </is>
      </c>
      <c r="BB466" t="inlineStr">
        <is>
          <t>BOOK</t>
        </is>
      </c>
      <c r="BD466" t="inlineStr">
        <is>
          <t>9780674106581</t>
        </is>
      </c>
      <c r="BE466" t="inlineStr">
        <is>
          <t>32285001562031</t>
        </is>
      </c>
      <c r="BF466" t="inlineStr">
        <is>
          <t>893595511</t>
        </is>
      </c>
    </row>
    <row r="467">
      <c r="B467" t="inlineStr">
        <is>
          <t>CURAL</t>
        </is>
      </c>
      <c r="C467" t="inlineStr">
        <is>
          <t>SHELVES</t>
        </is>
      </c>
      <c r="D467" t="inlineStr">
        <is>
          <t>QP385.5 .C66 1983</t>
        </is>
      </c>
      <c r="E467" t="inlineStr">
        <is>
          <t>0                      QP 0385500C  66          1983</t>
        </is>
      </c>
      <c r="F467" t="inlineStr">
        <is>
          <t>Human laterality / Michael C. Corballis.</t>
        </is>
      </c>
      <c r="H467" t="inlineStr">
        <is>
          <t>No</t>
        </is>
      </c>
      <c r="I467" t="inlineStr">
        <is>
          <t>1</t>
        </is>
      </c>
      <c r="J467" t="inlineStr">
        <is>
          <t>No</t>
        </is>
      </c>
      <c r="K467" t="inlineStr">
        <is>
          <t>Yes</t>
        </is>
      </c>
      <c r="L467" t="inlineStr">
        <is>
          <t>0</t>
        </is>
      </c>
      <c r="M467" t="inlineStr">
        <is>
          <t>Corballis, Michael C.</t>
        </is>
      </c>
      <c r="N467" t="inlineStr">
        <is>
          <t>New York : Academic Press, 1983.</t>
        </is>
      </c>
      <c r="O467" t="inlineStr">
        <is>
          <t>1983</t>
        </is>
      </c>
      <c r="Q467" t="inlineStr">
        <is>
          <t>eng</t>
        </is>
      </c>
      <c r="R467" t="inlineStr">
        <is>
          <t>nyu</t>
        </is>
      </c>
      <c r="S467" t="inlineStr">
        <is>
          <t>Perspectives in neurolinguistics, neuropsychology, and psycholinguistics</t>
        </is>
      </c>
      <c r="T467" t="inlineStr">
        <is>
          <t xml:space="preserve">QP </t>
        </is>
      </c>
      <c r="U467" t="n">
        <v>7</v>
      </c>
      <c r="V467" t="n">
        <v>7</v>
      </c>
      <c r="W467" t="inlineStr">
        <is>
          <t>2005-03-29</t>
        </is>
      </c>
      <c r="X467" t="inlineStr">
        <is>
          <t>2005-03-29</t>
        </is>
      </c>
      <c r="Y467" t="inlineStr">
        <is>
          <t>1993-03-03</t>
        </is>
      </c>
      <c r="Z467" t="inlineStr">
        <is>
          <t>1993-03-03</t>
        </is>
      </c>
      <c r="AA467" t="n">
        <v>434</v>
      </c>
      <c r="AB467" t="n">
        <v>315</v>
      </c>
      <c r="AC467" t="n">
        <v>375</v>
      </c>
      <c r="AD467" t="n">
        <v>4</v>
      </c>
      <c r="AE467" t="n">
        <v>5</v>
      </c>
      <c r="AF467" t="n">
        <v>14</v>
      </c>
      <c r="AG467" t="n">
        <v>17</v>
      </c>
      <c r="AH467" t="n">
        <v>2</v>
      </c>
      <c r="AI467" t="n">
        <v>4</v>
      </c>
      <c r="AJ467" t="n">
        <v>3</v>
      </c>
      <c r="AK467" t="n">
        <v>5</v>
      </c>
      <c r="AL467" t="n">
        <v>9</v>
      </c>
      <c r="AM467" t="n">
        <v>9</v>
      </c>
      <c r="AN467" t="n">
        <v>3</v>
      </c>
      <c r="AO467" t="n">
        <v>3</v>
      </c>
      <c r="AP467" t="n">
        <v>0</v>
      </c>
      <c r="AQ467" t="n">
        <v>0</v>
      </c>
      <c r="AR467" t="inlineStr">
        <is>
          <t>No</t>
        </is>
      </c>
      <c r="AS467" t="inlineStr">
        <is>
          <t>Yes</t>
        </is>
      </c>
      <c r="AT467">
        <f>HYPERLINK("http://catalog.hathitrust.org/Record/000116462","HathiTrust Record")</f>
        <v/>
      </c>
      <c r="AU467">
        <f>HYPERLINK("https://creighton-primo.hosted.exlibrisgroup.com/primo-explore/search?tab=default_tab&amp;search_scope=EVERYTHING&amp;vid=01CRU&amp;lang=en_US&amp;offset=0&amp;query=any,contains,991000221479702656","Catalog Record")</f>
        <v/>
      </c>
      <c r="AV467">
        <f>HYPERLINK("http://www.worldcat.org/oclc/9576524","WorldCat Record")</f>
        <v/>
      </c>
      <c r="AW467" t="inlineStr">
        <is>
          <t>43436945:eng</t>
        </is>
      </c>
      <c r="AX467" t="inlineStr">
        <is>
          <t>9576524</t>
        </is>
      </c>
      <c r="AY467" t="inlineStr">
        <is>
          <t>991000221479702656</t>
        </is>
      </c>
      <c r="AZ467" t="inlineStr">
        <is>
          <t>991000221479702656</t>
        </is>
      </c>
      <c r="BA467" t="inlineStr">
        <is>
          <t>2267565650002656</t>
        </is>
      </c>
      <c r="BB467" t="inlineStr">
        <is>
          <t>BOOK</t>
        </is>
      </c>
      <c r="BD467" t="inlineStr">
        <is>
          <t>9780121881801</t>
        </is>
      </c>
      <c r="BE467" t="inlineStr">
        <is>
          <t>32285001562049</t>
        </is>
      </c>
      <c r="BF467" t="inlineStr">
        <is>
          <t>893413198</t>
        </is>
      </c>
    </row>
    <row r="468">
      <c r="B468" t="inlineStr">
        <is>
          <t>CURAL</t>
        </is>
      </c>
      <c r="C468" t="inlineStr">
        <is>
          <t>SHELVES</t>
        </is>
      </c>
      <c r="D468" t="inlineStr">
        <is>
          <t>QP385.5 .C68 1992</t>
        </is>
      </c>
      <c r="E468" t="inlineStr">
        <is>
          <t>0                      QP 0385500C  68          1992</t>
        </is>
      </c>
      <c r="F468" t="inlineStr">
        <is>
          <t>The left-hander syndrome : the causes and consequences of left-handedness / Stanley Coren.</t>
        </is>
      </c>
      <c r="H468" t="inlineStr">
        <is>
          <t>No</t>
        </is>
      </c>
      <c r="I468" t="inlineStr">
        <is>
          <t>1</t>
        </is>
      </c>
      <c r="J468" t="inlineStr">
        <is>
          <t>No</t>
        </is>
      </c>
      <c r="K468" t="inlineStr">
        <is>
          <t>No</t>
        </is>
      </c>
      <c r="L468" t="inlineStr">
        <is>
          <t>0</t>
        </is>
      </c>
      <c r="M468" t="inlineStr">
        <is>
          <t>Coren, Stanley.</t>
        </is>
      </c>
      <c r="N468" t="inlineStr">
        <is>
          <t>New York : Free Press ; Toronto : Maxwell Macmillan Canada ; New York : Maxwell Macmillan International, c1992.</t>
        </is>
      </c>
      <c r="O468" t="inlineStr">
        <is>
          <t>1992</t>
        </is>
      </c>
      <c r="Q468" t="inlineStr">
        <is>
          <t>eng</t>
        </is>
      </c>
      <c r="R468" t="inlineStr">
        <is>
          <t>nyu</t>
        </is>
      </c>
      <c r="T468" t="inlineStr">
        <is>
          <t xml:space="preserve">QP </t>
        </is>
      </c>
      <c r="U468" t="n">
        <v>22</v>
      </c>
      <c r="V468" t="n">
        <v>22</v>
      </c>
      <c r="W468" t="inlineStr">
        <is>
          <t>2005-02-16</t>
        </is>
      </c>
      <c r="X468" t="inlineStr">
        <is>
          <t>2005-02-16</t>
        </is>
      </c>
      <c r="Y468" t="inlineStr">
        <is>
          <t>1991-11-26</t>
        </is>
      </c>
      <c r="Z468" t="inlineStr">
        <is>
          <t>1991-11-26</t>
        </is>
      </c>
      <c r="AA468" t="n">
        <v>1307</v>
      </c>
      <c r="AB468" t="n">
        <v>1183</v>
      </c>
      <c r="AC468" t="n">
        <v>1374</v>
      </c>
      <c r="AD468" t="n">
        <v>6</v>
      </c>
      <c r="AE468" t="n">
        <v>8</v>
      </c>
      <c r="AF468" t="n">
        <v>24</v>
      </c>
      <c r="AG468" t="n">
        <v>28</v>
      </c>
      <c r="AH468" t="n">
        <v>12</v>
      </c>
      <c r="AI468" t="n">
        <v>13</v>
      </c>
      <c r="AJ468" t="n">
        <v>6</v>
      </c>
      <c r="AK468" t="n">
        <v>7</v>
      </c>
      <c r="AL468" t="n">
        <v>13</v>
      </c>
      <c r="AM468" t="n">
        <v>13</v>
      </c>
      <c r="AN468" t="n">
        <v>1</v>
      </c>
      <c r="AO468" t="n">
        <v>3</v>
      </c>
      <c r="AP468" t="n">
        <v>0</v>
      </c>
      <c r="AQ468" t="n">
        <v>0</v>
      </c>
      <c r="AR468" t="inlineStr">
        <is>
          <t>No</t>
        </is>
      </c>
      <c r="AS468" t="inlineStr">
        <is>
          <t>Yes</t>
        </is>
      </c>
      <c r="AT468">
        <f>HYPERLINK("http://catalog.hathitrust.org/Record/002507261","HathiTrust Record")</f>
        <v/>
      </c>
      <c r="AU468">
        <f>HYPERLINK("https://creighton-primo.hosted.exlibrisgroup.com/primo-explore/search?tab=default_tab&amp;search_scope=EVERYTHING&amp;vid=01CRU&amp;lang=en_US&amp;offset=0&amp;query=any,contains,991001908619702656","Catalog Record")</f>
        <v/>
      </c>
      <c r="AV468">
        <f>HYPERLINK("http://www.worldcat.org/oclc/24107035","WorldCat Record")</f>
        <v/>
      </c>
      <c r="AW468" t="inlineStr">
        <is>
          <t>346913:eng</t>
        </is>
      </c>
      <c r="AX468" t="inlineStr">
        <is>
          <t>24107035</t>
        </is>
      </c>
      <c r="AY468" t="inlineStr">
        <is>
          <t>991001908619702656</t>
        </is>
      </c>
      <c r="AZ468" t="inlineStr">
        <is>
          <t>991001908619702656</t>
        </is>
      </c>
      <c r="BA468" t="inlineStr">
        <is>
          <t>2257131980002656</t>
        </is>
      </c>
      <c r="BB468" t="inlineStr">
        <is>
          <t>BOOK</t>
        </is>
      </c>
      <c r="BD468" t="inlineStr">
        <is>
          <t>9780029066829</t>
        </is>
      </c>
      <c r="BE468" t="inlineStr">
        <is>
          <t>32285000817915</t>
        </is>
      </c>
      <c r="BF468" t="inlineStr">
        <is>
          <t>893226218</t>
        </is>
      </c>
    </row>
    <row r="469">
      <c r="B469" t="inlineStr">
        <is>
          <t>CURAL</t>
        </is>
      </c>
      <c r="C469" t="inlineStr">
        <is>
          <t>SHELVES</t>
        </is>
      </c>
      <c r="D469" t="inlineStr">
        <is>
          <t>QP385.5 .D83 1985</t>
        </is>
      </c>
      <c r="E469" t="inlineStr">
        <is>
          <t>0                      QP 0385500D  83          1985</t>
        </is>
      </c>
      <c r="F469" t="inlineStr">
        <is>
          <t>The Dual brain : hemispheric specialization in humans / edited by D. Frank Benson, Eran Zaidel.</t>
        </is>
      </c>
      <c r="H469" t="inlineStr">
        <is>
          <t>No</t>
        </is>
      </c>
      <c r="I469" t="inlineStr">
        <is>
          <t>1</t>
        </is>
      </c>
      <c r="J469" t="inlineStr">
        <is>
          <t>No</t>
        </is>
      </c>
      <c r="K469" t="inlineStr">
        <is>
          <t>No</t>
        </is>
      </c>
      <c r="L469" t="inlineStr">
        <is>
          <t>0</t>
        </is>
      </c>
      <c r="N469" t="inlineStr">
        <is>
          <t>New York : Guilford Press, 1985.</t>
        </is>
      </c>
      <c r="O469" t="inlineStr">
        <is>
          <t>1985</t>
        </is>
      </c>
      <c r="Q469" t="inlineStr">
        <is>
          <t>eng</t>
        </is>
      </c>
      <c r="R469" t="inlineStr">
        <is>
          <t>nyu</t>
        </is>
      </c>
      <c r="S469" t="inlineStr">
        <is>
          <t>UCLA forum in medical sciences ; no. 26</t>
        </is>
      </c>
      <c r="T469" t="inlineStr">
        <is>
          <t xml:space="preserve">QP </t>
        </is>
      </c>
      <c r="U469" t="n">
        <v>14</v>
      </c>
      <c r="V469" t="n">
        <v>14</v>
      </c>
      <c r="W469" t="inlineStr">
        <is>
          <t>1995-03-18</t>
        </is>
      </c>
      <c r="X469" t="inlineStr">
        <is>
          <t>1995-03-18</t>
        </is>
      </c>
      <c r="Y469" t="inlineStr">
        <is>
          <t>1993-03-03</t>
        </is>
      </c>
      <c r="Z469" t="inlineStr">
        <is>
          <t>1993-03-03</t>
        </is>
      </c>
      <c r="AA469" t="n">
        <v>428</v>
      </c>
      <c r="AB469" t="n">
        <v>328</v>
      </c>
      <c r="AC469" t="n">
        <v>329</v>
      </c>
      <c r="AD469" t="n">
        <v>3</v>
      </c>
      <c r="AE469" t="n">
        <v>3</v>
      </c>
      <c r="AF469" t="n">
        <v>8</v>
      </c>
      <c r="AG469" t="n">
        <v>8</v>
      </c>
      <c r="AH469" t="n">
        <v>3</v>
      </c>
      <c r="AI469" t="n">
        <v>3</v>
      </c>
      <c r="AJ469" t="n">
        <v>2</v>
      </c>
      <c r="AK469" t="n">
        <v>2</v>
      </c>
      <c r="AL469" t="n">
        <v>3</v>
      </c>
      <c r="AM469" t="n">
        <v>3</v>
      </c>
      <c r="AN469" t="n">
        <v>2</v>
      </c>
      <c r="AO469" t="n">
        <v>2</v>
      </c>
      <c r="AP469" t="n">
        <v>0</v>
      </c>
      <c r="AQ469" t="n">
        <v>0</v>
      </c>
      <c r="AR469" t="inlineStr">
        <is>
          <t>No</t>
        </is>
      </c>
      <c r="AS469" t="inlineStr">
        <is>
          <t>No</t>
        </is>
      </c>
      <c r="AU469">
        <f>HYPERLINK("https://creighton-primo.hosted.exlibrisgroup.com/primo-explore/search?tab=default_tab&amp;search_scope=EVERYTHING&amp;vid=01CRU&amp;lang=en_US&amp;offset=0&amp;query=any,contains,991000720229702656","Catalog Record")</f>
        <v/>
      </c>
      <c r="AV469">
        <f>HYPERLINK("http://www.worldcat.org/oclc/12665267","WorldCat Record")</f>
        <v/>
      </c>
      <c r="AW469" t="inlineStr">
        <is>
          <t>889972678:eng</t>
        </is>
      </c>
      <c r="AX469" t="inlineStr">
        <is>
          <t>12665267</t>
        </is>
      </c>
      <c r="AY469" t="inlineStr">
        <is>
          <t>991000720229702656</t>
        </is>
      </c>
      <c r="AZ469" t="inlineStr">
        <is>
          <t>991000720229702656</t>
        </is>
      </c>
      <c r="BA469" t="inlineStr">
        <is>
          <t>2264397210002656</t>
        </is>
      </c>
      <c r="BB469" t="inlineStr">
        <is>
          <t>BOOK</t>
        </is>
      </c>
      <c r="BD469" t="inlineStr">
        <is>
          <t>9780898626438</t>
        </is>
      </c>
      <c r="BE469" t="inlineStr">
        <is>
          <t>32285001562056</t>
        </is>
      </c>
      <c r="BF469" t="inlineStr">
        <is>
          <t>893509040</t>
        </is>
      </c>
    </row>
    <row r="470">
      <c r="B470" t="inlineStr">
        <is>
          <t>CURAL</t>
        </is>
      </c>
      <c r="C470" t="inlineStr">
        <is>
          <t>SHELVES</t>
        </is>
      </c>
      <c r="D470" t="inlineStr">
        <is>
          <t>QP385.5 .E37 1986</t>
        </is>
      </c>
      <c r="E470" t="inlineStr">
        <is>
          <t>0                      QP 0385500E  37          1986</t>
        </is>
      </c>
      <c r="F470" t="inlineStr">
        <is>
          <t>Anatomy of genius : split brains and global minds / Jan Ehrenwald.</t>
        </is>
      </c>
      <c r="H470" t="inlineStr">
        <is>
          <t>No</t>
        </is>
      </c>
      <c r="I470" t="inlineStr">
        <is>
          <t>1</t>
        </is>
      </c>
      <c r="J470" t="inlineStr">
        <is>
          <t>No</t>
        </is>
      </c>
      <c r="K470" t="inlineStr">
        <is>
          <t>No</t>
        </is>
      </c>
      <c r="L470" t="inlineStr">
        <is>
          <t>0</t>
        </is>
      </c>
      <c r="M470" t="inlineStr">
        <is>
          <t>Ehrenwald, Jan, 1900-1988.</t>
        </is>
      </c>
      <c r="N470" t="inlineStr">
        <is>
          <t>New York, N.Y. : Human Sciences Press, c1986.</t>
        </is>
      </c>
      <c r="O470" t="inlineStr">
        <is>
          <t>1986</t>
        </is>
      </c>
      <c r="P470" t="inlineStr">
        <is>
          <t>Paperback ed.</t>
        </is>
      </c>
      <c r="Q470" t="inlineStr">
        <is>
          <t>eng</t>
        </is>
      </c>
      <c r="R470" t="inlineStr">
        <is>
          <t>nyu</t>
        </is>
      </c>
      <c r="T470" t="inlineStr">
        <is>
          <t xml:space="preserve">QP </t>
        </is>
      </c>
      <c r="U470" t="n">
        <v>8</v>
      </c>
      <c r="V470" t="n">
        <v>8</v>
      </c>
      <c r="W470" t="inlineStr">
        <is>
          <t>2003-07-15</t>
        </is>
      </c>
      <c r="X470" t="inlineStr">
        <is>
          <t>2003-07-15</t>
        </is>
      </c>
      <c r="Y470" t="inlineStr">
        <is>
          <t>1993-03-03</t>
        </is>
      </c>
      <c r="Z470" t="inlineStr">
        <is>
          <t>1993-03-03</t>
        </is>
      </c>
      <c r="AA470" t="n">
        <v>56</v>
      </c>
      <c r="AB470" t="n">
        <v>54</v>
      </c>
      <c r="AC470" t="n">
        <v>443</v>
      </c>
      <c r="AD470" t="n">
        <v>1</v>
      </c>
      <c r="AE470" t="n">
        <v>4</v>
      </c>
      <c r="AF470" t="n">
        <v>2</v>
      </c>
      <c r="AG470" t="n">
        <v>17</v>
      </c>
      <c r="AH470" t="n">
        <v>0</v>
      </c>
      <c r="AI470" t="n">
        <v>5</v>
      </c>
      <c r="AJ470" t="n">
        <v>2</v>
      </c>
      <c r="AK470" t="n">
        <v>6</v>
      </c>
      <c r="AL470" t="n">
        <v>0</v>
      </c>
      <c r="AM470" t="n">
        <v>7</v>
      </c>
      <c r="AN470" t="n">
        <v>0</v>
      </c>
      <c r="AO470" t="n">
        <v>3</v>
      </c>
      <c r="AP470" t="n">
        <v>0</v>
      </c>
      <c r="AQ470" t="n">
        <v>0</v>
      </c>
      <c r="AR470" t="inlineStr">
        <is>
          <t>No</t>
        </is>
      </c>
      <c r="AS470" t="inlineStr">
        <is>
          <t>No</t>
        </is>
      </c>
      <c r="AU470">
        <f>HYPERLINK("https://creighton-primo.hosted.exlibrisgroup.com/primo-explore/search?tab=default_tab&amp;search_scope=EVERYTHING&amp;vid=01CRU&amp;lang=en_US&amp;offset=0&amp;query=any,contains,991000936609702656","Catalog Record")</f>
        <v/>
      </c>
      <c r="AV470">
        <f>HYPERLINK("http://www.worldcat.org/oclc/14362475","WorldCat Record")</f>
        <v/>
      </c>
      <c r="AW470" t="inlineStr">
        <is>
          <t>213714537:eng</t>
        </is>
      </c>
      <c r="AX470" t="inlineStr">
        <is>
          <t>14362475</t>
        </is>
      </c>
      <c r="AY470" t="inlineStr">
        <is>
          <t>991000936609702656</t>
        </is>
      </c>
      <c r="AZ470" t="inlineStr">
        <is>
          <t>991000936609702656</t>
        </is>
      </c>
      <c r="BA470" t="inlineStr">
        <is>
          <t>2260905140002656</t>
        </is>
      </c>
      <c r="BB470" t="inlineStr">
        <is>
          <t>BOOK</t>
        </is>
      </c>
      <c r="BD470" t="inlineStr">
        <is>
          <t>9780898852929</t>
        </is>
      </c>
      <c r="BE470" t="inlineStr">
        <is>
          <t>32285001562064</t>
        </is>
      </c>
      <c r="BF470" t="inlineStr">
        <is>
          <t>893778403</t>
        </is>
      </c>
    </row>
    <row r="471">
      <c r="B471" t="inlineStr">
        <is>
          <t>CURAL</t>
        </is>
      </c>
      <c r="C471" t="inlineStr">
        <is>
          <t>SHELVES</t>
        </is>
      </c>
      <c r="D471" t="inlineStr">
        <is>
          <t>QP385.5 .H45 1993</t>
        </is>
      </c>
      <c r="E471" t="inlineStr">
        <is>
          <t>0                      QP 0385500H  45          1993</t>
        </is>
      </c>
      <c r="F471" t="inlineStr">
        <is>
          <t>Hemispheric asymmetry : what's right and what's left / Joseph B. Hellige.</t>
        </is>
      </c>
      <c r="H471" t="inlineStr">
        <is>
          <t>No</t>
        </is>
      </c>
      <c r="I471" t="inlineStr">
        <is>
          <t>1</t>
        </is>
      </c>
      <c r="J471" t="inlineStr">
        <is>
          <t>No</t>
        </is>
      </c>
      <c r="K471" t="inlineStr">
        <is>
          <t>No</t>
        </is>
      </c>
      <c r="L471" t="inlineStr">
        <is>
          <t>0</t>
        </is>
      </c>
      <c r="M471" t="inlineStr">
        <is>
          <t>Hellige, Joseph B.</t>
        </is>
      </c>
      <c r="N471" t="inlineStr">
        <is>
          <t>Cambridge, Mass. : Harvard University Press, 1993.</t>
        </is>
      </c>
      <c r="O471" t="inlineStr">
        <is>
          <t>1993</t>
        </is>
      </c>
      <c r="Q471" t="inlineStr">
        <is>
          <t>eng</t>
        </is>
      </c>
      <c r="R471" t="inlineStr">
        <is>
          <t>mau</t>
        </is>
      </c>
      <c r="S471" t="inlineStr">
        <is>
          <t>Perspectives in cognitive neuroscience</t>
        </is>
      </c>
      <c r="T471" t="inlineStr">
        <is>
          <t xml:space="preserve">QP </t>
        </is>
      </c>
      <c r="U471" t="n">
        <v>6</v>
      </c>
      <c r="V471" t="n">
        <v>6</v>
      </c>
      <c r="W471" t="inlineStr">
        <is>
          <t>2003-01-31</t>
        </is>
      </c>
      <c r="X471" t="inlineStr">
        <is>
          <t>2003-01-31</t>
        </is>
      </c>
      <c r="Y471" t="inlineStr">
        <is>
          <t>1994-05-11</t>
        </is>
      </c>
      <c r="Z471" t="inlineStr">
        <is>
          <t>1994-05-11</t>
        </is>
      </c>
      <c r="AA471" t="n">
        <v>563</v>
      </c>
      <c r="AB471" t="n">
        <v>438</v>
      </c>
      <c r="AC471" t="n">
        <v>479</v>
      </c>
      <c r="AD471" t="n">
        <v>4</v>
      </c>
      <c r="AE471" t="n">
        <v>4</v>
      </c>
      <c r="AF471" t="n">
        <v>22</v>
      </c>
      <c r="AG471" t="n">
        <v>24</v>
      </c>
      <c r="AH471" t="n">
        <v>8</v>
      </c>
      <c r="AI471" t="n">
        <v>10</v>
      </c>
      <c r="AJ471" t="n">
        <v>5</v>
      </c>
      <c r="AK471" t="n">
        <v>6</v>
      </c>
      <c r="AL471" t="n">
        <v>13</v>
      </c>
      <c r="AM471" t="n">
        <v>14</v>
      </c>
      <c r="AN471" t="n">
        <v>3</v>
      </c>
      <c r="AO471" t="n">
        <v>3</v>
      </c>
      <c r="AP471" t="n">
        <v>0</v>
      </c>
      <c r="AQ471" t="n">
        <v>0</v>
      </c>
      <c r="AR471" t="inlineStr">
        <is>
          <t>No</t>
        </is>
      </c>
      <c r="AS471" t="inlineStr">
        <is>
          <t>Yes</t>
        </is>
      </c>
      <c r="AT471">
        <f>HYPERLINK("http://catalog.hathitrust.org/Record/002635672","HathiTrust Record")</f>
        <v/>
      </c>
      <c r="AU471">
        <f>HYPERLINK("https://creighton-primo.hosted.exlibrisgroup.com/primo-explore/search?tab=default_tab&amp;search_scope=EVERYTHING&amp;vid=01CRU&amp;lang=en_US&amp;offset=0&amp;query=any,contains,991002062029702656","Catalog Record")</f>
        <v/>
      </c>
      <c r="AV471">
        <f>HYPERLINK("http://www.worldcat.org/oclc/26396426","WorldCat Record")</f>
        <v/>
      </c>
      <c r="AW471" t="inlineStr">
        <is>
          <t>2676155:eng</t>
        </is>
      </c>
      <c r="AX471" t="inlineStr">
        <is>
          <t>26396426</t>
        </is>
      </c>
      <c r="AY471" t="inlineStr">
        <is>
          <t>991002062029702656</t>
        </is>
      </c>
      <c r="AZ471" t="inlineStr">
        <is>
          <t>991002062029702656</t>
        </is>
      </c>
      <c r="BA471" t="inlineStr">
        <is>
          <t>2256826490002656</t>
        </is>
      </c>
      <c r="BB471" t="inlineStr">
        <is>
          <t>BOOK</t>
        </is>
      </c>
      <c r="BD471" t="inlineStr">
        <is>
          <t>9780674387300</t>
        </is>
      </c>
      <c r="BE471" t="inlineStr">
        <is>
          <t>32285001896090</t>
        </is>
      </c>
      <c r="BF471" t="inlineStr">
        <is>
          <t>893232528</t>
        </is>
      </c>
    </row>
    <row r="472">
      <c r="B472" t="inlineStr">
        <is>
          <t>CURAL</t>
        </is>
      </c>
      <c r="C472" t="inlineStr">
        <is>
          <t>SHELVES</t>
        </is>
      </c>
      <c r="D472" t="inlineStr">
        <is>
          <t>QP385.5 .S67</t>
        </is>
      </c>
      <c r="E472" t="inlineStr">
        <is>
          <t>0                      QP 0385500S  67</t>
        </is>
      </c>
      <c r="F472" t="inlineStr">
        <is>
          <t>Left brain, right brain / Sally P. Springer, Georg Deutsch.</t>
        </is>
      </c>
      <c r="H472" t="inlineStr">
        <is>
          <t>No</t>
        </is>
      </c>
      <c r="I472" t="inlineStr">
        <is>
          <t>1</t>
        </is>
      </c>
      <c r="J472" t="inlineStr">
        <is>
          <t>No</t>
        </is>
      </c>
      <c r="K472" t="inlineStr">
        <is>
          <t>Yes</t>
        </is>
      </c>
      <c r="L472" t="inlineStr">
        <is>
          <t>0</t>
        </is>
      </c>
      <c r="M472" t="inlineStr">
        <is>
          <t>Springer, Sally P., 1947-</t>
        </is>
      </c>
      <c r="N472" t="inlineStr">
        <is>
          <t>San Francisco : W.H. Freeman, c1981.</t>
        </is>
      </c>
      <c r="O472" t="inlineStr">
        <is>
          <t>1981</t>
        </is>
      </c>
      <c r="Q472" t="inlineStr">
        <is>
          <t>eng</t>
        </is>
      </c>
      <c r="R472" t="inlineStr">
        <is>
          <t>cau</t>
        </is>
      </c>
      <c r="S472" t="inlineStr">
        <is>
          <t>A series of books in psychology</t>
        </is>
      </c>
      <c r="T472" t="inlineStr">
        <is>
          <t xml:space="preserve">QP </t>
        </is>
      </c>
      <c r="U472" t="n">
        <v>11</v>
      </c>
      <c r="V472" t="n">
        <v>11</v>
      </c>
      <c r="W472" t="inlineStr">
        <is>
          <t>2005-03-29</t>
        </is>
      </c>
      <c r="X472" t="inlineStr">
        <is>
          <t>2005-03-29</t>
        </is>
      </c>
      <c r="Y472" t="inlineStr">
        <is>
          <t>1993-03-03</t>
        </is>
      </c>
      <c r="Z472" t="inlineStr">
        <is>
          <t>1993-03-03</t>
        </is>
      </c>
      <c r="AA472" t="n">
        <v>1236</v>
      </c>
      <c r="AB472" t="n">
        <v>1055</v>
      </c>
      <c r="AC472" t="n">
        <v>2005</v>
      </c>
      <c r="AD472" t="n">
        <v>10</v>
      </c>
      <c r="AE472" t="n">
        <v>21</v>
      </c>
      <c r="AF472" t="n">
        <v>32</v>
      </c>
      <c r="AG472" t="n">
        <v>54</v>
      </c>
      <c r="AH472" t="n">
        <v>11</v>
      </c>
      <c r="AI472" t="n">
        <v>22</v>
      </c>
      <c r="AJ472" t="n">
        <v>6</v>
      </c>
      <c r="AK472" t="n">
        <v>10</v>
      </c>
      <c r="AL472" t="n">
        <v>13</v>
      </c>
      <c r="AM472" t="n">
        <v>22</v>
      </c>
      <c r="AN472" t="n">
        <v>8</v>
      </c>
      <c r="AO472" t="n">
        <v>11</v>
      </c>
      <c r="AP472" t="n">
        <v>1</v>
      </c>
      <c r="AQ472" t="n">
        <v>1</v>
      </c>
      <c r="AR472" t="inlineStr">
        <is>
          <t>No</t>
        </is>
      </c>
      <c r="AS472" t="inlineStr">
        <is>
          <t>No</t>
        </is>
      </c>
      <c r="AU472">
        <f>HYPERLINK("https://creighton-primo.hosted.exlibrisgroup.com/primo-explore/search?tab=default_tab&amp;search_scope=EVERYTHING&amp;vid=01CRU&amp;lang=en_US&amp;offset=0&amp;query=any,contains,991005054149702656","Catalog Record")</f>
        <v/>
      </c>
      <c r="AV472">
        <f>HYPERLINK("http://www.worldcat.org/oclc/6890095","WorldCat Record")</f>
        <v/>
      </c>
      <c r="AW472" t="inlineStr">
        <is>
          <t>4113673:eng</t>
        </is>
      </c>
      <c r="AX472" t="inlineStr">
        <is>
          <t>6890095</t>
        </is>
      </c>
      <c r="AY472" t="inlineStr">
        <is>
          <t>991005054149702656</t>
        </is>
      </c>
      <c r="AZ472" t="inlineStr">
        <is>
          <t>991005054149702656</t>
        </is>
      </c>
      <c r="BA472" t="inlineStr">
        <is>
          <t>2264048260002656</t>
        </is>
      </c>
      <c r="BB472" t="inlineStr">
        <is>
          <t>BOOK</t>
        </is>
      </c>
      <c r="BD472" t="inlineStr">
        <is>
          <t>9780716712695</t>
        </is>
      </c>
      <c r="BE472" t="inlineStr">
        <is>
          <t>32285001562072</t>
        </is>
      </c>
      <c r="BF472" t="inlineStr">
        <is>
          <t>893707176</t>
        </is>
      </c>
    </row>
    <row r="473">
      <c r="B473" t="inlineStr">
        <is>
          <t>CURAL</t>
        </is>
      </c>
      <c r="C473" t="inlineStr">
        <is>
          <t>SHELVES</t>
        </is>
      </c>
      <c r="D473" t="inlineStr">
        <is>
          <t>QP385.5 .S67 1985</t>
        </is>
      </c>
      <c r="E473" t="inlineStr">
        <is>
          <t>0                      QP 0385500S  67          1985</t>
        </is>
      </c>
      <c r="F473" t="inlineStr">
        <is>
          <t>Left brain, right brain / Sally P. Springer, Georg Deutsch.</t>
        </is>
      </c>
      <c r="H473" t="inlineStr">
        <is>
          <t>No</t>
        </is>
      </c>
      <c r="I473" t="inlineStr">
        <is>
          <t>1</t>
        </is>
      </c>
      <c r="J473" t="inlineStr">
        <is>
          <t>No</t>
        </is>
      </c>
      <c r="K473" t="inlineStr">
        <is>
          <t>Yes</t>
        </is>
      </c>
      <c r="L473" t="inlineStr">
        <is>
          <t>0</t>
        </is>
      </c>
      <c r="M473" t="inlineStr">
        <is>
          <t>Springer, Sally P., 1947-</t>
        </is>
      </c>
      <c r="N473" t="inlineStr">
        <is>
          <t>New York : W.H. Freeman, c1985.</t>
        </is>
      </c>
      <c r="O473" t="inlineStr">
        <is>
          <t>1985</t>
        </is>
      </c>
      <c r="P473" t="inlineStr">
        <is>
          <t>Rev. ed.</t>
        </is>
      </c>
      <c r="Q473" t="inlineStr">
        <is>
          <t>eng</t>
        </is>
      </c>
      <c r="R473" t="inlineStr">
        <is>
          <t>nyu</t>
        </is>
      </c>
      <c r="S473" t="inlineStr">
        <is>
          <t>A Series of books in psychology</t>
        </is>
      </c>
      <c r="T473" t="inlineStr">
        <is>
          <t xml:space="preserve">QP </t>
        </is>
      </c>
      <c r="U473" t="n">
        <v>29</v>
      </c>
      <c r="V473" t="n">
        <v>29</v>
      </c>
      <c r="W473" t="inlineStr">
        <is>
          <t>2005-02-16</t>
        </is>
      </c>
      <c r="X473" t="inlineStr">
        <is>
          <t>2005-02-16</t>
        </is>
      </c>
      <c r="Y473" t="inlineStr">
        <is>
          <t>1992-11-30</t>
        </is>
      </c>
      <c r="Z473" t="inlineStr">
        <is>
          <t>1992-11-30</t>
        </is>
      </c>
      <c r="AA473" t="n">
        <v>908</v>
      </c>
      <c r="AB473" t="n">
        <v>768</v>
      </c>
      <c r="AC473" t="n">
        <v>2005</v>
      </c>
      <c r="AD473" t="n">
        <v>11</v>
      </c>
      <c r="AE473" t="n">
        <v>21</v>
      </c>
      <c r="AF473" t="n">
        <v>19</v>
      </c>
      <c r="AG473" t="n">
        <v>54</v>
      </c>
      <c r="AH473" t="n">
        <v>7</v>
      </c>
      <c r="AI473" t="n">
        <v>22</v>
      </c>
      <c r="AJ473" t="n">
        <v>3</v>
      </c>
      <c r="AK473" t="n">
        <v>10</v>
      </c>
      <c r="AL473" t="n">
        <v>8</v>
      </c>
      <c r="AM473" t="n">
        <v>22</v>
      </c>
      <c r="AN473" t="n">
        <v>4</v>
      </c>
      <c r="AO473" t="n">
        <v>11</v>
      </c>
      <c r="AP473" t="n">
        <v>0</v>
      </c>
      <c r="AQ473" t="n">
        <v>1</v>
      </c>
      <c r="AR473" t="inlineStr">
        <is>
          <t>No</t>
        </is>
      </c>
      <c r="AS473" t="inlineStr">
        <is>
          <t>No</t>
        </is>
      </c>
      <c r="AU473">
        <f>HYPERLINK("https://creighton-primo.hosted.exlibrisgroup.com/primo-explore/search?tab=default_tab&amp;search_scope=EVERYTHING&amp;vid=01CRU&amp;lang=en_US&amp;offset=0&amp;query=any,contains,991000516019702656","Catalog Record")</f>
        <v/>
      </c>
      <c r="AV473">
        <f>HYPERLINK("http://www.worldcat.org/oclc/11290048","WorldCat Record")</f>
        <v/>
      </c>
      <c r="AW473" t="inlineStr">
        <is>
          <t>4113673:eng</t>
        </is>
      </c>
      <c r="AX473" t="inlineStr">
        <is>
          <t>11290048</t>
        </is>
      </c>
      <c r="AY473" t="inlineStr">
        <is>
          <t>991000516019702656</t>
        </is>
      </c>
      <c r="AZ473" t="inlineStr">
        <is>
          <t>991000516019702656</t>
        </is>
      </c>
      <c r="BA473" t="inlineStr">
        <is>
          <t>2264162880002656</t>
        </is>
      </c>
      <c r="BB473" t="inlineStr">
        <is>
          <t>BOOK</t>
        </is>
      </c>
      <c r="BD473" t="inlineStr">
        <is>
          <t>9780716716679</t>
        </is>
      </c>
      <c r="BE473" t="inlineStr">
        <is>
          <t>32285001409936</t>
        </is>
      </c>
      <c r="BF473" t="inlineStr">
        <is>
          <t>893702197</t>
        </is>
      </c>
    </row>
    <row r="474">
      <c r="B474" t="inlineStr">
        <is>
          <t>CURAL</t>
        </is>
      </c>
      <c r="C474" t="inlineStr">
        <is>
          <t>SHELVES</t>
        </is>
      </c>
      <c r="D474" t="inlineStr">
        <is>
          <t>QP388 .H88 1986</t>
        </is>
      </c>
      <c r="E474" t="inlineStr">
        <is>
          <t>0                      QP 0388000H  88          1986</t>
        </is>
      </c>
      <c r="F474" t="inlineStr">
        <is>
          <t>Megabrain : new tools and techniques for brain growth and mind expansion / Michael Hutchison.</t>
        </is>
      </c>
      <c r="H474" t="inlineStr">
        <is>
          <t>No</t>
        </is>
      </c>
      <c r="I474" t="inlineStr">
        <is>
          <t>1</t>
        </is>
      </c>
      <c r="J474" t="inlineStr">
        <is>
          <t>No</t>
        </is>
      </c>
      <c r="K474" t="inlineStr">
        <is>
          <t>No</t>
        </is>
      </c>
      <c r="L474" t="inlineStr">
        <is>
          <t>0</t>
        </is>
      </c>
      <c r="M474" t="inlineStr">
        <is>
          <t>Hutchison, Michael.</t>
        </is>
      </c>
      <c r="N474" t="inlineStr">
        <is>
          <t>New York : W. Morrow, c1986.</t>
        </is>
      </c>
      <c r="O474" t="inlineStr">
        <is>
          <t>1986</t>
        </is>
      </c>
      <c r="P474" t="inlineStr">
        <is>
          <t>1st ed.</t>
        </is>
      </c>
      <c r="Q474" t="inlineStr">
        <is>
          <t>eng</t>
        </is>
      </c>
      <c r="R474" t="inlineStr">
        <is>
          <t>nyu</t>
        </is>
      </c>
      <c r="S474" t="inlineStr">
        <is>
          <t>Beech Tree Books</t>
        </is>
      </c>
      <c r="T474" t="inlineStr">
        <is>
          <t xml:space="preserve">QP </t>
        </is>
      </c>
      <c r="U474" t="n">
        <v>0</v>
      </c>
      <c r="V474" t="n">
        <v>0</v>
      </c>
      <c r="W474" t="inlineStr">
        <is>
          <t>2008-02-11</t>
        </is>
      </c>
      <c r="X474" t="inlineStr">
        <is>
          <t>2008-02-11</t>
        </is>
      </c>
      <c r="Y474" t="inlineStr">
        <is>
          <t>1990-05-17</t>
        </is>
      </c>
      <c r="Z474" t="inlineStr">
        <is>
          <t>1990-05-17</t>
        </is>
      </c>
      <c r="AA474" t="n">
        <v>388</v>
      </c>
      <c r="AB474" t="n">
        <v>363</v>
      </c>
      <c r="AC474" t="n">
        <v>407</v>
      </c>
      <c r="AD474" t="n">
        <v>4</v>
      </c>
      <c r="AE474" t="n">
        <v>4</v>
      </c>
      <c r="AF474" t="n">
        <v>8</v>
      </c>
      <c r="AG474" t="n">
        <v>8</v>
      </c>
      <c r="AH474" t="n">
        <v>4</v>
      </c>
      <c r="AI474" t="n">
        <v>4</v>
      </c>
      <c r="AJ474" t="n">
        <v>1</v>
      </c>
      <c r="AK474" t="n">
        <v>1</v>
      </c>
      <c r="AL474" t="n">
        <v>4</v>
      </c>
      <c r="AM474" t="n">
        <v>4</v>
      </c>
      <c r="AN474" t="n">
        <v>1</v>
      </c>
      <c r="AO474" t="n">
        <v>1</v>
      </c>
      <c r="AP474" t="n">
        <v>0</v>
      </c>
      <c r="AQ474" t="n">
        <v>0</v>
      </c>
      <c r="AR474" t="inlineStr">
        <is>
          <t>No</t>
        </is>
      </c>
      <c r="AS474" t="inlineStr">
        <is>
          <t>Yes</t>
        </is>
      </c>
      <c r="AT474">
        <f>HYPERLINK("http://catalog.hathitrust.org/Record/102102362","HathiTrust Record")</f>
        <v/>
      </c>
      <c r="AU474">
        <f>HYPERLINK("https://creighton-primo.hosted.exlibrisgroup.com/primo-explore/search?tab=default_tab&amp;search_scope=EVERYTHING&amp;vid=01CRU&amp;lang=en_US&amp;offset=0&amp;query=any,contains,991000703229702656","Catalog Record")</f>
        <v/>
      </c>
      <c r="AV474">
        <f>HYPERLINK("http://www.worldcat.org/oclc/12553572","WorldCat Record")</f>
        <v/>
      </c>
      <c r="AW474" t="inlineStr">
        <is>
          <t>4881905:eng</t>
        </is>
      </c>
      <c r="AX474" t="inlineStr">
        <is>
          <t>12553572</t>
        </is>
      </c>
      <c r="AY474" t="inlineStr">
        <is>
          <t>991000703229702656</t>
        </is>
      </c>
      <c r="AZ474" t="inlineStr">
        <is>
          <t>991000703229702656</t>
        </is>
      </c>
      <c r="BA474" t="inlineStr">
        <is>
          <t>2259153360002656</t>
        </is>
      </c>
      <c r="BB474" t="inlineStr">
        <is>
          <t>BOOK</t>
        </is>
      </c>
      <c r="BD474" t="inlineStr">
        <is>
          <t>9780688048808</t>
        </is>
      </c>
      <c r="BE474" t="inlineStr">
        <is>
          <t>32285000153154</t>
        </is>
      </c>
      <c r="BF474" t="inlineStr">
        <is>
          <t>893407439</t>
        </is>
      </c>
    </row>
    <row r="475">
      <c r="B475" t="inlineStr">
        <is>
          <t>CURAL</t>
        </is>
      </c>
      <c r="C475" t="inlineStr">
        <is>
          <t>SHELVES</t>
        </is>
      </c>
      <c r="D475" t="inlineStr">
        <is>
          <t>QP398 .B37 1987</t>
        </is>
      </c>
      <c r="E475" t="inlineStr">
        <is>
          <t>0                      QP 0398000B  37          1987</t>
        </is>
      </c>
      <c r="F475" t="inlineStr">
        <is>
          <t>The cerebral computer : an introduction to the computational structure of the human brain / Robert J. Baron.</t>
        </is>
      </c>
      <c r="H475" t="inlineStr">
        <is>
          <t>No</t>
        </is>
      </c>
      <c r="I475" t="inlineStr">
        <is>
          <t>1</t>
        </is>
      </c>
      <c r="J475" t="inlineStr">
        <is>
          <t>No</t>
        </is>
      </c>
      <c r="K475" t="inlineStr">
        <is>
          <t>No</t>
        </is>
      </c>
      <c r="L475" t="inlineStr">
        <is>
          <t>0</t>
        </is>
      </c>
      <c r="M475" t="inlineStr">
        <is>
          <t>Baron, Robert J.</t>
        </is>
      </c>
      <c r="N475" t="inlineStr">
        <is>
          <t>Hillsdale, N.J. : L. Erlbaum Associates, 1987.</t>
        </is>
      </c>
      <c r="O475" t="inlineStr">
        <is>
          <t>1987</t>
        </is>
      </c>
      <c r="Q475" t="inlineStr">
        <is>
          <t>eng</t>
        </is>
      </c>
      <c r="R475" t="inlineStr">
        <is>
          <t>nju</t>
        </is>
      </c>
      <c r="T475" t="inlineStr">
        <is>
          <t xml:space="preserve">QP </t>
        </is>
      </c>
      <c r="U475" t="n">
        <v>2</v>
      </c>
      <c r="V475" t="n">
        <v>2</v>
      </c>
      <c r="W475" t="inlineStr">
        <is>
          <t>1993-03-31</t>
        </is>
      </c>
      <c r="X475" t="inlineStr">
        <is>
          <t>1993-03-31</t>
        </is>
      </c>
      <c r="Y475" t="inlineStr">
        <is>
          <t>1993-03-03</t>
        </is>
      </c>
      <c r="Z475" t="inlineStr">
        <is>
          <t>1993-03-03</t>
        </is>
      </c>
      <c r="AA475" t="n">
        <v>431</v>
      </c>
      <c r="AB475" t="n">
        <v>335</v>
      </c>
      <c r="AC475" t="n">
        <v>362</v>
      </c>
      <c r="AD475" t="n">
        <v>3</v>
      </c>
      <c r="AE475" t="n">
        <v>3</v>
      </c>
      <c r="AF475" t="n">
        <v>12</v>
      </c>
      <c r="AG475" t="n">
        <v>12</v>
      </c>
      <c r="AH475" t="n">
        <v>3</v>
      </c>
      <c r="AI475" t="n">
        <v>3</v>
      </c>
      <c r="AJ475" t="n">
        <v>3</v>
      </c>
      <c r="AK475" t="n">
        <v>3</v>
      </c>
      <c r="AL475" t="n">
        <v>7</v>
      </c>
      <c r="AM475" t="n">
        <v>7</v>
      </c>
      <c r="AN475" t="n">
        <v>2</v>
      </c>
      <c r="AO475" t="n">
        <v>2</v>
      </c>
      <c r="AP475" t="n">
        <v>0</v>
      </c>
      <c r="AQ475" t="n">
        <v>0</v>
      </c>
      <c r="AR475" t="inlineStr">
        <is>
          <t>No</t>
        </is>
      </c>
      <c r="AS475" t="inlineStr">
        <is>
          <t>Yes</t>
        </is>
      </c>
      <c r="AT475">
        <f>HYPERLINK("http://catalog.hathitrust.org/Record/000825884","HathiTrust Record")</f>
        <v/>
      </c>
      <c r="AU475">
        <f>HYPERLINK("https://creighton-primo.hosted.exlibrisgroup.com/primo-explore/search?tab=default_tab&amp;search_scope=EVERYTHING&amp;vid=01CRU&amp;lang=en_US&amp;offset=0&amp;query=any,contains,991001019729702656","Catalog Record")</f>
        <v/>
      </c>
      <c r="AV475">
        <f>HYPERLINK("http://www.worldcat.org/oclc/15366059","WorldCat Record")</f>
        <v/>
      </c>
      <c r="AW475" t="inlineStr">
        <is>
          <t>10087139:eng</t>
        </is>
      </c>
      <c r="AX475" t="inlineStr">
        <is>
          <t>15366059</t>
        </is>
      </c>
      <c r="AY475" t="inlineStr">
        <is>
          <t>991001019729702656</t>
        </is>
      </c>
      <c r="AZ475" t="inlineStr">
        <is>
          <t>991001019729702656</t>
        </is>
      </c>
      <c r="BA475" t="inlineStr">
        <is>
          <t>2261792240002656</t>
        </is>
      </c>
      <c r="BB475" t="inlineStr">
        <is>
          <t>BOOK</t>
        </is>
      </c>
      <c r="BD475" t="inlineStr">
        <is>
          <t>9780898598247</t>
        </is>
      </c>
      <c r="BE475" t="inlineStr">
        <is>
          <t>32285001562080</t>
        </is>
      </c>
      <c r="BF475" t="inlineStr">
        <is>
          <t>893589955</t>
        </is>
      </c>
    </row>
    <row r="476">
      <c r="B476" t="inlineStr">
        <is>
          <t>CURAL</t>
        </is>
      </c>
      <c r="C476" t="inlineStr">
        <is>
          <t>SHELVES</t>
        </is>
      </c>
      <c r="D476" t="inlineStr">
        <is>
          <t>QP399 .B6813 1991</t>
        </is>
      </c>
      <c r="E476" t="inlineStr">
        <is>
          <t>0                      QP 0399000B  6813        1991</t>
        </is>
      </c>
      <c r="F476" t="inlineStr">
        <is>
          <t>Neurolinguistics : historical and theoretical perspectives / Charles P. Bouton ; translated by Terence MacNamee.</t>
        </is>
      </c>
      <c r="H476" t="inlineStr">
        <is>
          <t>No</t>
        </is>
      </c>
      <c r="I476" t="inlineStr">
        <is>
          <t>1</t>
        </is>
      </c>
      <c r="J476" t="inlineStr">
        <is>
          <t>No</t>
        </is>
      </c>
      <c r="K476" t="inlineStr">
        <is>
          <t>No</t>
        </is>
      </c>
      <c r="L476" t="inlineStr">
        <is>
          <t>0</t>
        </is>
      </c>
      <c r="M476" t="inlineStr">
        <is>
          <t>Bouton, Charles P.</t>
        </is>
      </c>
      <c r="N476" t="inlineStr">
        <is>
          <t>New York : Plenum Press, c1991.</t>
        </is>
      </c>
      <c r="O476" t="inlineStr">
        <is>
          <t>1991</t>
        </is>
      </c>
      <c r="Q476" t="inlineStr">
        <is>
          <t>eng</t>
        </is>
      </c>
      <c r="R476" t="inlineStr">
        <is>
          <t>nyu</t>
        </is>
      </c>
      <c r="S476" t="inlineStr">
        <is>
          <t>Applied psycholinguistics and communication disorders</t>
        </is>
      </c>
      <c r="T476" t="inlineStr">
        <is>
          <t xml:space="preserve">QP </t>
        </is>
      </c>
      <c r="U476" t="n">
        <v>1</v>
      </c>
      <c r="V476" t="n">
        <v>1</v>
      </c>
      <c r="W476" t="inlineStr">
        <is>
          <t>1992-03-11</t>
        </is>
      </c>
      <c r="X476" t="inlineStr">
        <is>
          <t>1992-03-11</t>
        </is>
      </c>
      <c r="Y476" t="inlineStr">
        <is>
          <t>1992-03-01</t>
        </is>
      </c>
      <c r="Z476" t="inlineStr">
        <is>
          <t>1992-03-01</t>
        </is>
      </c>
      <c r="AA476" t="n">
        <v>229</v>
      </c>
      <c r="AB476" t="n">
        <v>158</v>
      </c>
      <c r="AC476" t="n">
        <v>182</v>
      </c>
      <c r="AD476" t="n">
        <v>1</v>
      </c>
      <c r="AE476" t="n">
        <v>1</v>
      </c>
      <c r="AF476" t="n">
        <v>7</v>
      </c>
      <c r="AG476" t="n">
        <v>9</v>
      </c>
      <c r="AH476" t="n">
        <v>3</v>
      </c>
      <c r="AI476" t="n">
        <v>5</v>
      </c>
      <c r="AJ476" t="n">
        <v>2</v>
      </c>
      <c r="AK476" t="n">
        <v>2</v>
      </c>
      <c r="AL476" t="n">
        <v>5</v>
      </c>
      <c r="AM476" t="n">
        <v>6</v>
      </c>
      <c r="AN476" t="n">
        <v>0</v>
      </c>
      <c r="AO476" t="n">
        <v>0</v>
      </c>
      <c r="AP476" t="n">
        <v>0</v>
      </c>
      <c r="AQ476" t="n">
        <v>0</v>
      </c>
      <c r="AR476" t="inlineStr">
        <is>
          <t>No</t>
        </is>
      </c>
      <c r="AS476" t="inlineStr">
        <is>
          <t>Yes</t>
        </is>
      </c>
      <c r="AT476">
        <f>HYPERLINK("http://catalog.hathitrust.org/Record/002455056","HathiTrust Record")</f>
        <v/>
      </c>
      <c r="AU476">
        <f>HYPERLINK("https://creighton-primo.hosted.exlibrisgroup.com/primo-explore/search?tab=default_tab&amp;search_scope=EVERYTHING&amp;vid=01CRU&amp;lang=en_US&amp;offset=0&amp;query=any,contains,991001756469702656","Catalog Record")</f>
        <v/>
      </c>
      <c r="AV476">
        <f>HYPERLINK("http://www.worldcat.org/oclc/22209792","WorldCat Record")</f>
        <v/>
      </c>
      <c r="AW476" t="inlineStr">
        <is>
          <t>4495021554:eng</t>
        </is>
      </c>
      <c r="AX476" t="inlineStr">
        <is>
          <t>22209792</t>
        </is>
      </c>
      <c r="AY476" t="inlineStr">
        <is>
          <t>991001756469702656</t>
        </is>
      </c>
      <c r="AZ476" t="inlineStr">
        <is>
          <t>991001756469702656</t>
        </is>
      </c>
      <c r="BA476" t="inlineStr">
        <is>
          <t>2254869880002656</t>
        </is>
      </c>
      <c r="BB476" t="inlineStr">
        <is>
          <t>BOOK</t>
        </is>
      </c>
      <c r="BD476" t="inlineStr">
        <is>
          <t>9780306436918</t>
        </is>
      </c>
      <c r="BE476" t="inlineStr">
        <is>
          <t>32285000937341</t>
        </is>
      </c>
      <c r="BF476" t="inlineStr">
        <is>
          <t>893316016</t>
        </is>
      </c>
    </row>
    <row r="477">
      <c r="B477" t="inlineStr">
        <is>
          <t>CURAL</t>
        </is>
      </c>
      <c r="C477" t="inlineStr">
        <is>
          <t>SHELVES</t>
        </is>
      </c>
      <c r="D477" t="inlineStr">
        <is>
          <t>QP399 .C35 2000</t>
        </is>
      </c>
      <c r="E477" t="inlineStr">
        <is>
          <t>0                      QP 0399000C  35          2000</t>
        </is>
      </c>
      <c r="F477" t="inlineStr">
        <is>
          <t>Lingua ex machina : reconciling Darwin and Chomsky with the human brain / William H. Calvin, Derek Bickerton.</t>
        </is>
      </c>
      <c r="H477" t="inlineStr">
        <is>
          <t>No</t>
        </is>
      </c>
      <c r="I477" t="inlineStr">
        <is>
          <t>1</t>
        </is>
      </c>
      <c r="J477" t="inlineStr">
        <is>
          <t>No</t>
        </is>
      </c>
      <c r="K477" t="inlineStr">
        <is>
          <t>No</t>
        </is>
      </c>
      <c r="L477" t="inlineStr">
        <is>
          <t>0</t>
        </is>
      </c>
      <c r="M477" t="inlineStr">
        <is>
          <t>Calvin, William H., 1939-</t>
        </is>
      </c>
      <c r="N477" t="inlineStr">
        <is>
          <t>Cambridge, Mass. : MIT Press, 2000.</t>
        </is>
      </c>
      <c r="O477" t="inlineStr">
        <is>
          <t>2000</t>
        </is>
      </c>
      <c r="Q477" t="inlineStr">
        <is>
          <t>eng</t>
        </is>
      </c>
      <c r="R477" t="inlineStr">
        <is>
          <t>mau</t>
        </is>
      </c>
      <c r="T477" t="inlineStr">
        <is>
          <t xml:space="preserve">QP </t>
        </is>
      </c>
      <c r="U477" t="n">
        <v>1</v>
      </c>
      <c r="V477" t="n">
        <v>1</v>
      </c>
      <c r="W477" t="inlineStr">
        <is>
          <t>2000-09-11</t>
        </is>
      </c>
      <c r="X477" t="inlineStr">
        <is>
          <t>2000-09-11</t>
        </is>
      </c>
      <c r="Y477" t="inlineStr">
        <is>
          <t>2000-09-11</t>
        </is>
      </c>
      <c r="Z477" t="inlineStr">
        <is>
          <t>2000-09-11</t>
        </is>
      </c>
      <c r="AA477" t="n">
        <v>614</v>
      </c>
      <c r="AB477" t="n">
        <v>476</v>
      </c>
      <c r="AC477" t="n">
        <v>510</v>
      </c>
      <c r="AD477" t="n">
        <v>6</v>
      </c>
      <c r="AE477" t="n">
        <v>6</v>
      </c>
      <c r="AF477" t="n">
        <v>25</v>
      </c>
      <c r="AG477" t="n">
        <v>25</v>
      </c>
      <c r="AH477" t="n">
        <v>6</v>
      </c>
      <c r="AI477" t="n">
        <v>6</v>
      </c>
      <c r="AJ477" t="n">
        <v>6</v>
      </c>
      <c r="AK477" t="n">
        <v>6</v>
      </c>
      <c r="AL477" t="n">
        <v>13</v>
      </c>
      <c r="AM477" t="n">
        <v>13</v>
      </c>
      <c r="AN477" t="n">
        <v>4</v>
      </c>
      <c r="AO477" t="n">
        <v>4</v>
      </c>
      <c r="AP477" t="n">
        <v>0</v>
      </c>
      <c r="AQ477" t="n">
        <v>0</v>
      </c>
      <c r="AR477" t="inlineStr">
        <is>
          <t>No</t>
        </is>
      </c>
      <c r="AS477" t="inlineStr">
        <is>
          <t>No</t>
        </is>
      </c>
      <c r="AU477">
        <f>HYPERLINK("https://creighton-primo.hosted.exlibrisgroup.com/primo-explore/search?tab=default_tab&amp;search_scope=EVERYTHING&amp;vid=01CRU&amp;lang=en_US&amp;offset=0&amp;query=any,contains,991003232869702656","Catalog Record")</f>
        <v/>
      </c>
      <c r="AV477">
        <f>HYPERLINK("http://www.worldcat.org/oclc/41580447","WorldCat Record")</f>
        <v/>
      </c>
      <c r="AW477" t="inlineStr">
        <is>
          <t>792887396:eng</t>
        </is>
      </c>
      <c r="AX477" t="inlineStr">
        <is>
          <t>41580447</t>
        </is>
      </c>
      <c r="AY477" t="inlineStr">
        <is>
          <t>991003232869702656</t>
        </is>
      </c>
      <c r="AZ477" t="inlineStr">
        <is>
          <t>991003232869702656</t>
        </is>
      </c>
      <c r="BA477" t="inlineStr">
        <is>
          <t>2267857030002656</t>
        </is>
      </c>
      <c r="BB477" t="inlineStr">
        <is>
          <t>BOOK</t>
        </is>
      </c>
      <c r="BD477" t="inlineStr">
        <is>
          <t>9780262032735</t>
        </is>
      </c>
      <c r="BE477" t="inlineStr">
        <is>
          <t>32285003760518</t>
        </is>
      </c>
      <c r="BF477" t="inlineStr">
        <is>
          <t>893262677</t>
        </is>
      </c>
    </row>
    <row r="478">
      <c r="B478" t="inlineStr">
        <is>
          <t>CURAL</t>
        </is>
      </c>
      <c r="C478" t="inlineStr">
        <is>
          <t>SHELVES</t>
        </is>
      </c>
      <c r="D478" t="inlineStr">
        <is>
          <t>QP399 .D86 1984</t>
        </is>
      </c>
      <c r="E478" t="inlineStr">
        <is>
          <t>0                      QP 0399000D  86          1984</t>
        </is>
      </c>
      <c r="F478" t="inlineStr">
        <is>
          <t>Doubling the brain : on the evolution of brain lateralization and its implications for language / Janet Dunaif-Hattis.</t>
        </is>
      </c>
      <c r="H478" t="inlineStr">
        <is>
          <t>No</t>
        </is>
      </c>
      <c r="I478" t="inlineStr">
        <is>
          <t>1</t>
        </is>
      </c>
      <c r="J478" t="inlineStr">
        <is>
          <t>No</t>
        </is>
      </c>
      <c r="K478" t="inlineStr">
        <is>
          <t>No</t>
        </is>
      </c>
      <c r="L478" t="inlineStr">
        <is>
          <t>0</t>
        </is>
      </c>
      <c r="M478" t="inlineStr">
        <is>
          <t>Dunaif-Hattis, Janet, 1952-</t>
        </is>
      </c>
      <c r="N478" t="inlineStr">
        <is>
          <t>New York : P. Lang, c1984.</t>
        </is>
      </c>
      <c r="O478" t="inlineStr">
        <is>
          <t>1984</t>
        </is>
      </c>
      <c r="Q478" t="inlineStr">
        <is>
          <t>eng</t>
        </is>
      </c>
      <c r="R478" t="inlineStr">
        <is>
          <t>nyu</t>
        </is>
      </c>
      <c r="S478" t="inlineStr">
        <is>
          <t>American university studies. Series XI, Anthropology/sociology, 0740-0489 ; v. 3</t>
        </is>
      </c>
      <c r="T478" t="inlineStr">
        <is>
          <t xml:space="preserve">QP </t>
        </is>
      </c>
      <c r="U478" t="n">
        <v>1</v>
      </c>
      <c r="V478" t="n">
        <v>1</v>
      </c>
      <c r="W478" t="inlineStr">
        <is>
          <t>1994-02-23</t>
        </is>
      </c>
      <c r="X478" t="inlineStr">
        <is>
          <t>1994-02-23</t>
        </is>
      </c>
      <c r="Y478" t="inlineStr">
        <is>
          <t>1993-03-03</t>
        </is>
      </c>
      <c r="Z478" t="inlineStr">
        <is>
          <t>1993-03-03</t>
        </is>
      </c>
      <c r="AA478" t="n">
        <v>208</v>
      </c>
      <c r="AB478" t="n">
        <v>162</v>
      </c>
      <c r="AC478" t="n">
        <v>162</v>
      </c>
      <c r="AD478" t="n">
        <v>2</v>
      </c>
      <c r="AE478" t="n">
        <v>2</v>
      </c>
      <c r="AF478" t="n">
        <v>5</v>
      </c>
      <c r="AG478" t="n">
        <v>5</v>
      </c>
      <c r="AH478" t="n">
        <v>1</v>
      </c>
      <c r="AI478" t="n">
        <v>1</v>
      </c>
      <c r="AJ478" t="n">
        <v>2</v>
      </c>
      <c r="AK478" t="n">
        <v>2</v>
      </c>
      <c r="AL478" t="n">
        <v>3</v>
      </c>
      <c r="AM478" t="n">
        <v>3</v>
      </c>
      <c r="AN478" t="n">
        <v>1</v>
      </c>
      <c r="AO478" t="n">
        <v>1</v>
      </c>
      <c r="AP478" t="n">
        <v>0</v>
      </c>
      <c r="AQ478" t="n">
        <v>0</v>
      </c>
      <c r="AR478" t="inlineStr">
        <is>
          <t>No</t>
        </is>
      </c>
      <c r="AS478" t="inlineStr">
        <is>
          <t>No</t>
        </is>
      </c>
      <c r="AU478">
        <f>HYPERLINK("https://creighton-primo.hosted.exlibrisgroup.com/primo-explore/search?tab=default_tab&amp;search_scope=EVERYTHING&amp;vid=01CRU&amp;lang=en_US&amp;offset=0&amp;query=any,contains,991000444149702656","Catalog Record")</f>
        <v/>
      </c>
      <c r="AV478">
        <f>HYPERLINK("http://www.worldcat.org/oclc/10849551","WorldCat Record")</f>
        <v/>
      </c>
      <c r="AW478" t="inlineStr">
        <is>
          <t>291403274:eng</t>
        </is>
      </c>
      <c r="AX478" t="inlineStr">
        <is>
          <t>10849551</t>
        </is>
      </c>
      <c r="AY478" t="inlineStr">
        <is>
          <t>991000444149702656</t>
        </is>
      </c>
      <c r="AZ478" t="inlineStr">
        <is>
          <t>991000444149702656</t>
        </is>
      </c>
      <c r="BA478" t="inlineStr">
        <is>
          <t>2260452310002656</t>
        </is>
      </c>
      <c r="BB478" t="inlineStr">
        <is>
          <t>BOOK</t>
        </is>
      </c>
      <c r="BD478" t="inlineStr">
        <is>
          <t>9780820400563</t>
        </is>
      </c>
      <c r="BE478" t="inlineStr">
        <is>
          <t>32285001562106</t>
        </is>
      </c>
      <c r="BF478" t="inlineStr">
        <is>
          <t>893620485</t>
        </is>
      </c>
    </row>
    <row r="479">
      <c r="B479" t="inlineStr">
        <is>
          <t>CURAL</t>
        </is>
      </c>
      <c r="C479" t="inlineStr">
        <is>
          <t>SHELVES</t>
        </is>
      </c>
      <c r="D479" t="inlineStr">
        <is>
          <t>QP399 .L37 1983</t>
        </is>
      </c>
      <c r="E479" t="inlineStr">
        <is>
          <t>0                      QP 0399000L  37          1983</t>
        </is>
      </c>
      <c r="F479" t="inlineStr">
        <is>
          <t>Language functions and brain organization / edited by Sidney J. Segalowitz.</t>
        </is>
      </c>
      <c r="H479" t="inlineStr">
        <is>
          <t>No</t>
        </is>
      </c>
      <c r="I479" t="inlineStr">
        <is>
          <t>1</t>
        </is>
      </c>
      <c r="J479" t="inlineStr">
        <is>
          <t>No</t>
        </is>
      </c>
      <c r="K479" t="inlineStr">
        <is>
          <t>No</t>
        </is>
      </c>
      <c r="L479" t="inlineStr">
        <is>
          <t>0</t>
        </is>
      </c>
      <c r="N479" t="inlineStr">
        <is>
          <t>New York : Academic Press, 1983.</t>
        </is>
      </c>
      <c r="O479" t="inlineStr">
        <is>
          <t>1983</t>
        </is>
      </c>
      <c r="Q479" t="inlineStr">
        <is>
          <t>eng</t>
        </is>
      </c>
      <c r="R479" t="inlineStr">
        <is>
          <t>nyu</t>
        </is>
      </c>
      <c r="S479" t="inlineStr">
        <is>
          <t>Perspectives in neurolinguistics, neuropsychology, and psycholinguistics</t>
        </is>
      </c>
      <c r="T479" t="inlineStr">
        <is>
          <t xml:space="preserve">QP </t>
        </is>
      </c>
      <c r="U479" t="n">
        <v>2</v>
      </c>
      <c r="V479" t="n">
        <v>2</v>
      </c>
      <c r="W479" t="inlineStr">
        <is>
          <t>1996-02-15</t>
        </is>
      </c>
      <c r="X479" t="inlineStr">
        <is>
          <t>1996-02-15</t>
        </is>
      </c>
      <c r="Y479" t="inlineStr">
        <is>
          <t>1993-03-03</t>
        </is>
      </c>
      <c r="Z479" t="inlineStr">
        <is>
          <t>1993-03-03</t>
        </is>
      </c>
      <c r="AA479" t="n">
        <v>544</v>
      </c>
      <c r="AB479" t="n">
        <v>403</v>
      </c>
      <c r="AC479" t="n">
        <v>456</v>
      </c>
      <c r="AD479" t="n">
        <v>3</v>
      </c>
      <c r="AE479" t="n">
        <v>3</v>
      </c>
      <c r="AF479" t="n">
        <v>19</v>
      </c>
      <c r="AG479" t="n">
        <v>22</v>
      </c>
      <c r="AH479" t="n">
        <v>6</v>
      </c>
      <c r="AI479" t="n">
        <v>8</v>
      </c>
      <c r="AJ479" t="n">
        <v>4</v>
      </c>
      <c r="AK479" t="n">
        <v>6</v>
      </c>
      <c r="AL479" t="n">
        <v>11</v>
      </c>
      <c r="AM479" t="n">
        <v>11</v>
      </c>
      <c r="AN479" t="n">
        <v>2</v>
      </c>
      <c r="AO479" t="n">
        <v>2</v>
      </c>
      <c r="AP479" t="n">
        <v>0</v>
      </c>
      <c r="AQ479" t="n">
        <v>0</v>
      </c>
      <c r="AR479" t="inlineStr">
        <is>
          <t>No</t>
        </is>
      </c>
      <c r="AS479" t="inlineStr">
        <is>
          <t>Yes</t>
        </is>
      </c>
      <c r="AT479">
        <f>HYPERLINK("http://catalog.hathitrust.org/Record/000592034","HathiTrust Record")</f>
        <v/>
      </c>
      <c r="AU479">
        <f>HYPERLINK("https://creighton-primo.hosted.exlibrisgroup.com/primo-explore/search?tab=default_tab&amp;search_scope=EVERYTHING&amp;vid=01CRU&amp;lang=en_US&amp;offset=0&amp;query=any,contains,991000033059702656","Catalog Record")</f>
        <v/>
      </c>
      <c r="AV479">
        <f>HYPERLINK("http://www.worldcat.org/oclc/8626409","WorldCat Record")</f>
        <v/>
      </c>
      <c r="AW479" t="inlineStr">
        <is>
          <t>32540886:eng</t>
        </is>
      </c>
      <c r="AX479" t="inlineStr">
        <is>
          <t>8626409</t>
        </is>
      </c>
      <c r="AY479" t="inlineStr">
        <is>
          <t>991000033059702656</t>
        </is>
      </c>
      <c r="AZ479" t="inlineStr">
        <is>
          <t>991000033059702656</t>
        </is>
      </c>
      <c r="BA479" t="inlineStr">
        <is>
          <t>2261166870002656</t>
        </is>
      </c>
      <c r="BB479" t="inlineStr">
        <is>
          <t>BOOK</t>
        </is>
      </c>
      <c r="BD479" t="inlineStr">
        <is>
          <t>9780126356403</t>
        </is>
      </c>
      <c r="BE479" t="inlineStr">
        <is>
          <t>32285001562114</t>
        </is>
      </c>
      <c r="BF479" t="inlineStr">
        <is>
          <t>893425350</t>
        </is>
      </c>
    </row>
    <row r="480">
      <c r="B480" t="inlineStr">
        <is>
          <t>CURAL</t>
        </is>
      </c>
      <c r="C480" t="inlineStr">
        <is>
          <t>SHELVES</t>
        </is>
      </c>
      <c r="D480" t="inlineStr">
        <is>
          <t>QP40 .P46 1996</t>
        </is>
      </c>
      <c r="E480" t="inlineStr">
        <is>
          <t>0                      QP 0040000P  46          1996</t>
        </is>
      </c>
      <c r="F480" t="inlineStr">
        <is>
          <t>Physiology : 700 questions &amp; answers / David G. Penney.</t>
        </is>
      </c>
      <c r="H480" t="inlineStr">
        <is>
          <t>No</t>
        </is>
      </c>
      <c r="I480" t="inlineStr">
        <is>
          <t>1</t>
        </is>
      </c>
      <c r="J480" t="inlineStr">
        <is>
          <t>No</t>
        </is>
      </c>
      <c r="K480" t="inlineStr">
        <is>
          <t>No</t>
        </is>
      </c>
      <c r="L480" t="inlineStr">
        <is>
          <t>0</t>
        </is>
      </c>
      <c r="M480" t="inlineStr">
        <is>
          <t>Penney, David G.</t>
        </is>
      </c>
      <c r="N480" t="inlineStr">
        <is>
          <t>Stamford, Conn. : Appleton &amp; Lange, c1996.</t>
        </is>
      </c>
      <c r="O480" t="inlineStr">
        <is>
          <t>1996</t>
        </is>
      </c>
      <c r="P480" t="inlineStr">
        <is>
          <t>9th ed.</t>
        </is>
      </c>
      <c r="Q480" t="inlineStr">
        <is>
          <t>eng</t>
        </is>
      </c>
      <c r="R480" t="inlineStr">
        <is>
          <t>ctu</t>
        </is>
      </c>
      <c r="S480" t="inlineStr">
        <is>
          <t>A USMLE step 1 review</t>
        </is>
      </c>
      <c r="T480" t="inlineStr">
        <is>
          <t xml:space="preserve">QP </t>
        </is>
      </c>
      <c r="U480" t="n">
        <v>7</v>
      </c>
      <c r="V480" t="n">
        <v>7</v>
      </c>
      <c r="W480" t="inlineStr">
        <is>
          <t>2005-11-27</t>
        </is>
      </c>
      <c r="X480" t="inlineStr">
        <is>
          <t>2005-11-27</t>
        </is>
      </c>
      <c r="Y480" t="inlineStr">
        <is>
          <t>1996-06-04</t>
        </is>
      </c>
      <c r="Z480" t="inlineStr">
        <is>
          <t>1996-06-04</t>
        </is>
      </c>
      <c r="AA480" t="n">
        <v>57</v>
      </c>
      <c r="AB480" t="n">
        <v>43</v>
      </c>
      <c r="AC480" t="n">
        <v>50</v>
      </c>
      <c r="AD480" t="n">
        <v>1</v>
      </c>
      <c r="AE480" t="n">
        <v>1</v>
      </c>
      <c r="AF480" t="n">
        <v>2</v>
      </c>
      <c r="AG480" t="n">
        <v>2</v>
      </c>
      <c r="AH480" t="n">
        <v>0</v>
      </c>
      <c r="AI480" t="n">
        <v>0</v>
      </c>
      <c r="AJ480" t="n">
        <v>1</v>
      </c>
      <c r="AK480" t="n">
        <v>1</v>
      </c>
      <c r="AL480" t="n">
        <v>1</v>
      </c>
      <c r="AM480" t="n">
        <v>1</v>
      </c>
      <c r="AN480" t="n">
        <v>0</v>
      </c>
      <c r="AO480" t="n">
        <v>0</v>
      </c>
      <c r="AP480" t="n">
        <v>0</v>
      </c>
      <c r="AQ480" t="n">
        <v>0</v>
      </c>
      <c r="AR480" t="inlineStr">
        <is>
          <t>No</t>
        </is>
      </c>
      <c r="AS480" t="inlineStr">
        <is>
          <t>Yes</t>
        </is>
      </c>
      <c r="AT480">
        <f>HYPERLINK("http://catalog.hathitrust.org/Record/010661951","HathiTrust Record")</f>
        <v/>
      </c>
      <c r="AU480">
        <f>HYPERLINK("https://creighton-primo.hosted.exlibrisgroup.com/primo-explore/search?tab=default_tab&amp;search_scope=EVERYTHING&amp;vid=01CRU&amp;lang=en_US&amp;offset=0&amp;query=any,contains,991002547039702656","Catalog Record")</f>
        <v/>
      </c>
      <c r="AV480">
        <f>HYPERLINK("http://www.worldcat.org/oclc/33098894","WorldCat Record")</f>
        <v/>
      </c>
      <c r="AW480" t="inlineStr">
        <is>
          <t>15071670:eng</t>
        </is>
      </c>
      <c r="AX480" t="inlineStr">
        <is>
          <t>33098894</t>
        </is>
      </c>
      <c r="AY480" t="inlineStr">
        <is>
          <t>991002547039702656</t>
        </is>
      </c>
      <c r="AZ480" t="inlineStr">
        <is>
          <t>991002547039702656</t>
        </is>
      </c>
      <c r="BA480" t="inlineStr">
        <is>
          <t>2270288220002656</t>
        </is>
      </c>
      <c r="BB480" t="inlineStr">
        <is>
          <t>BOOK</t>
        </is>
      </c>
      <c r="BD480" t="inlineStr">
        <is>
          <t>9780838562222</t>
        </is>
      </c>
      <c r="BE480" t="inlineStr">
        <is>
          <t>32285002187242</t>
        </is>
      </c>
      <c r="BF480" t="inlineStr">
        <is>
          <t>893779943</t>
        </is>
      </c>
    </row>
    <row r="481">
      <c r="B481" t="inlineStr">
        <is>
          <t>CURAL</t>
        </is>
      </c>
      <c r="C481" t="inlineStr">
        <is>
          <t>SHELVES</t>
        </is>
      </c>
      <c r="D481" t="inlineStr">
        <is>
          <t>QP401 .C25</t>
        </is>
      </c>
      <c r="E481" t="inlineStr">
        <is>
          <t>0                      QP 0401000C  25</t>
        </is>
      </c>
      <c r="F481" t="inlineStr">
        <is>
          <t>Bodily changes in pain, hunger, fear and rage; an account of recent researches into the function of emotional excitement, by Walter B. Cannon ...</t>
        </is>
      </c>
      <c r="H481" t="inlineStr">
        <is>
          <t>No</t>
        </is>
      </c>
      <c r="I481" t="inlineStr">
        <is>
          <t>1</t>
        </is>
      </c>
      <c r="J481" t="inlineStr">
        <is>
          <t>No</t>
        </is>
      </c>
      <c r="K481" t="inlineStr">
        <is>
          <t>Yes</t>
        </is>
      </c>
      <c r="L481" t="inlineStr">
        <is>
          <t>0</t>
        </is>
      </c>
      <c r="M481" t="inlineStr">
        <is>
          <t>Cannon, Walter B. (Walter Bradford), 1871-1945.</t>
        </is>
      </c>
      <c r="N481" t="inlineStr">
        <is>
          <t>New York, London, D. Appleton and Company, 1920.</t>
        </is>
      </c>
      <c r="O481" t="inlineStr">
        <is>
          <t>1920</t>
        </is>
      </c>
      <c r="Q481" t="inlineStr">
        <is>
          <t>eng</t>
        </is>
      </c>
      <c r="R481" t="inlineStr">
        <is>
          <t>nyu</t>
        </is>
      </c>
      <c r="T481" t="inlineStr">
        <is>
          <t xml:space="preserve">QP </t>
        </is>
      </c>
      <c r="U481" t="n">
        <v>2</v>
      </c>
      <c r="V481" t="n">
        <v>2</v>
      </c>
      <c r="W481" t="inlineStr">
        <is>
          <t>2001-09-18</t>
        </is>
      </c>
      <c r="X481" t="inlineStr">
        <is>
          <t>2001-09-18</t>
        </is>
      </c>
      <c r="Y481" t="inlineStr">
        <is>
          <t>1997-08-06</t>
        </is>
      </c>
      <c r="Z481" t="inlineStr">
        <is>
          <t>1997-08-06</t>
        </is>
      </c>
      <c r="AA481" t="n">
        <v>120</v>
      </c>
      <c r="AB481" t="n">
        <v>105</v>
      </c>
      <c r="AC481" t="n">
        <v>729</v>
      </c>
      <c r="AD481" t="n">
        <v>2</v>
      </c>
      <c r="AE481" t="n">
        <v>6</v>
      </c>
      <c r="AF481" t="n">
        <v>5</v>
      </c>
      <c r="AG481" t="n">
        <v>38</v>
      </c>
      <c r="AH481" t="n">
        <v>2</v>
      </c>
      <c r="AI481" t="n">
        <v>16</v>
      </c>
      <c r="AJ481" t="n">
        <v>2</v>
      </c>
      <c r="AK481" t="n">
        <v>7</v>
      </c>
      <c r="AL481" t="n">
        <v>2</v>
      </c>
      <c r="AM481" t="n">
        <v>18</v>
      </c>
      <c r="AN481" t="n">
        <v>1</v>
      </c>
      <c r="AO481" t="n">
        <v>4</v>
      </c>
      <c r="AP481" t="n">
        <v>0</v>
      </c>
      <c r="AQ481" t="n">
        <v>0</v>
      </c>
      <c r="AR481" t="inlineStr">
        <is>
          <t>Yes</t>
        </is>
      </c>
      <c r="AS481" t="inlineStr">
        <is>
          <t>No</t>
        </is>
      </c>
      <c r="AT481">
        <f>HYPERLINK("http://catalog.hathitrust.org/Record/001580781","HathiTrust Record")</f>
        <v/>
      </c>
      <c r="AU481">
        <f>HYPERLINK("https://creighton-primo.hosted.exlibrisgroup.com/primo-explore/search?tab=default_tab&amp;search_scope=EVERYTHING&amp;vid=01CRU&amp;lang=en_US&amp;offset=0&amp;query=any,contains,991004004529702656","Catalog Record")</f>
        <v/>
      </c>
      <c r="AV481">
        <f>HYPERLINK("http://www.worldcat.org/oclc/2081371","WorldCat Record")</f>
        <v/>
      </c>
      <c r="AW481" t="inlineStr">
        <is>
          <t>1319510:eng</t>
        </is>
      </c>
      <c r="AX481" t="inlineStr">
        <is>
          <t>2081371</t>
        </is>
      </c>
      <c r="AY481" t="inlineStr">
        <is>
          <t>991004004529702656</t>
        </is>
      </c>
      <c r="AZ481" t="inlineStr">
        <is>
          <t>991004004529702656</t>
        </is>
      </c>
      <c r="BA481" t="inlineStr">
        <is>
          <t>2259145240002656</t>
        </is>
      </c>
      <c r="BB481" t="inlineStr">
        <is>
          <t>BOOK</t>
        </is>
      </c>
      <c r="BE481" t="inlineStr">
        <is>
          <t>32285003014734</t>
        </is>
      </c>
      <c r="BF481" t="inlineStr">
        <is>
          <t>893888211</t>
        </is>
      </c>
    </row>
    <row r="482">
      <c r="B482" t="inlineStr">
        <is>
          <t>CURAL</t>
        </is>
      </c>
      <c r="C482" t="inlineStr">
        <is>
          <t>SHELVES</t>
        </is>
      </c>
      <c r="D482" t="inlineStr">
        <is>
          <t>QP401 .K6 1982</t>
        </is>
      </c>
      <c r="E482" t="inlineStr">
        <is>
          <t>0                      QP 0401000K  6           1982</t>
        </is>
      </c>
      <c r="F482" t="inlineStr">
        <is>
          <t>The tangled wing : biological constraints on the human spirit / Melvin Konner.</t>
        </is>
      </c>
      <c r="H482" t="inlineStr">
        <is>
          <t>No</t>
        </is>
      </c>
      <c r="I482" t="inlineStr">
        <is>
          <t>1</t>
        </is>
      </c>
      <c r="J482" t="inlineStr">
        <is>
          <t>No</t>
        </is>
      </c>
      <c r="K482" t="inlineStr">
        <is>
          <t>No</t>
        </is>
      </c>
      <c r="L482" t="inlineStr">
        <is>
          <t>0</t>
        </is>
      </c>
      <c r="M482" t="inlineStr">
        <is>
          <t>Konner, Melvin.</t>
        </is>
      </c>
      <c r="N482" t="inlineStr">
        <is>
          <t>New York : Holt, Rinehart, and Winston, c1982.</t>
        </is>
      </c>
      <c r="O482" t="inlineStr">
        <is>
          <t>1982</t>
        </is>
      </c>
      <c r="P482" t="inlineStr">
        <is>
          <t>1st ed.</t>
        </is>
      </c>
      <c r="Q482" t="inlineStr">
        <is>
          <t>eng</t>
        </is>
      </c>
      <c r="R482" t="inlineStr">
        <is>
          <t>nyu</t>
        </is>
      </c>
      <c r="T482" t="inlineStr">
        <is>
          <t xml:space="preserve">QP </t>
        </is>
      </c>
      <c r="U482" t="n">
        <v>3</v>
      </c>
      <c r="V482" t="n">
        <v>3</v>
      </c>
      <c r="W482" t="inlineStr">
        <is>
          <t>2007-07-20</t>
        </is>
      </c>
      <c r="X482" t="inlineStr">
        <is>
          <t>2007-07-20</t>
        </is>
      </c>
      <c r="Y482" t="inlineStr">
        <is>
          <t>2002-11-07</t>
        </is>
      </c>
      <c r="Z482" t="inlineStr">
        <is>
          <t>2002-11-07</t>
        </is>
      </c>
      <c r="AA482" t="n">
        <v>932</v>
      </c>
      <c r="AB482" t="n">
        <v>855</v>
      </c>
      <c r="AC482" t="n">
        <v>1188</v>
      </c>
      <c r="AD482" t="n">
        <v>3</v>
      </c>
      <c r="AE482" t="n">
        <v>6</v>
      </c>
      <c r="AF482" t="n">
        <v>22</v>
      </c>
      <c r="AG482" t="n">
        <v>35</v>
      </c>
      <c r="AH482" t="n">
        <v>9</v>
      </c>
      <c r="AI482" t="n">
        <v>13</v>
      </c>
      <c r="AJ482" t="n">
        <v>5</v>
      </c>
      <c r="AK482" t="n">
        <v>7</v>
      </c>
      <c r="AL482" t="n">
        <v>12</v>
      </c>
      <c r="AM482" t="n">
        <v>17</v>
      </c>
      <c r="AN482" t="n">
        <v>1</v>
      </c>
      <c r="AO482" t="n">
        <v>4</v>
      </c>
      <c r="AP482" t="n">
        <v>1</v>
      </c>
      <c r="AQ482" t="n">
        <v>2</v>
      </c>
      <c r="AR482" t="inlineStr">
        <is>
          <t>No</t>
        </is>
      </c>
      <c r="AS482" t="inlineStr">
        <is>
          <t>Yes</t>
        </is>
      </c>
      <c r="AT482">
        <f>HYPERLINK("http://catalog.hathitrust.org/Record/000102045","HathiTrust Record")</f>
        <v/>
      </c>
      <c r="AU482">
        <f>HYPERLINK("https://creighton-primo.hosted.exlibrisgroup.com/primo-explore/search?tab=default_tab&amp;search_scope=EVERYTHING&amp;vid=01CRU&amp;lang=en_US&amp;offset=0&amp;query=any,contains,991003923619702656","Catalog Record")</f>
        <v/>
      </c>
      <c r="AV482">
        <f>HYPERLINK("http://www.worldcat.org/oclc/7554823","WorldCat Record")</f>
        <v/>
      </c>
      <c r="AW482" t="inlineStr">
        <is>
          <t>960642:eng</t>
        </is>
      </c>
      <c r="AX482" t="inlineStr">
        <is>
          <t>7554823</t>
        </is>
      </c>
      <c r="AY482" t="inlineStr">
        <is>
          <t>991003923619702656</t>
        </is>
      </c>
      <c r="AZ482" t="inlineStr">
        <is>
          <t>991003923619702656</t>
        </is>
      </c>
      <c r="BA482" t="inlineStr">
        <is>
          <t>2264611600002656</t>
        </is>
      </c>
      <c r="BB482" t="inlineStr">
        <is>
          <t>BOOK</t>
        </is>
      </c>
      <c r="BD482" t="inlineStr">
        <is>
          <t>9780030570629</t>
        </is>
      </c>
      <c r="BE482" t="inlineStr">
        <is>
          <t>32285004661640</t>
        </is>
      </c>
      <c r="BF482" t="inlineStr">
        <is>
          <t>893788069</t>
        </is>
      </c>
    </row>
    <row r="483">
      <c r="B483" t="inlineStr">
        <is>
          <t>CURAL</t>
        </is>
      </c>
      <c r="C483" t="inlineStr">
        <is>
          <t>SHELVES</t>
        </is>
      </c>
      <c r="D483" t="inlineStr">
        <is>
          <t>QP401 .M44</t>
        </is>
      </c>
      <c r="E483" t="inlineStr">
        <is>
          <t>0                      QP 0401000M  44</t>
        </is>
      </c>
      <c r="F483" t="inlineStr">
        <is>
          <t>The puzzle of pain.</t>
        </is>
      </c>
      <c r="H483" t="inlineStr">
        <is>
          <t>No</t>
        </is>
      </c>
      <c r="I483" t="inlineStr">
        <is>
          <t>1</t>
        </is>
      </c>
      <c r="J483" t="inlineStr">
        <is>
          <t>Yes</t>
        </is>
      </c>
      <c r="K483" t="inlineStr">
        <is>
          <t>No</t>
        </is>
      </c>
      <c r="L483" t="inlineStr">
        <is>
          <t>0</t>
        </is>
      </c>
      <c r="M483" t="inlineStr">
        <is>
          <t>Melzack, Ronald.</t>
        </is>
      </c>
      <c r="N483" t="inlineStr">
        <is>
          <t>New York, Basic Books [1973]</t>
        </is>
      </c>
      <c r="O483" t="inlineStr">
        <is>
          <t>1973</t>
        </is>
      </c>
      <c r="Q483" t="inlineStr">
        <is>
          <t>eng</t>
        </is>
      </c>
      <c r="R483" t="inlineStr">
        <is>
          <t>nyu</t>
        </is>
      </c>
      <c r="T483" t="inlineStr">
        <is>
          <t xml:space="preserve">QP </t>
        </is>
      </c>
      <c r="U483" t="n">
        <v>5</v>
      </c>
      <c r="V483" t="n">
        <v>12</v>
      </c>
      <c r="W483" t="inlineStr">
        <is>
          <t>2007-03-12</t>
        </is>
      </c>
      <c r="X483" t="inlineStr">
        <is>
          <t>2007-03-12</t>
        </is>
      </c>
      <c r="Y483" t="inlineStr">
        <is>
          <t>1996-11-04</t>
        </is>
      </c>
      <c r="Z483" t="inlineStr">
        <is>
          <t>1996-11-04</t>
        </is>
      </c>
      <c r="AA483" t="n">
        <v>695</v>
      </c>
      <c r="AB483" t="n">
        <v>615</v>
      </c>
      <c r="AC483" t="n">
        <v>636</v>
      </c>
      <c r="AD483" t="n">
        <v>5</v>
      </c>
      <c r="AE483" t="n">
        <v>5</v>
      </c>
      <c r="AF483" t="n">
        <v>28</v>
      </c>
      <c r="AG483" t="n">
        <v>28</v>
      </c>
      <c r="AH483" t="n">
        <v>12</v>
      </c>
      <c r="AI483" t="n">
        <v>12</v>
      </c>
      <c r="AJ483" t="n">
        <v>5</v>
      </c>
      <c r="AK483" t="n">
        <v>5</v>
      </c>
      <c r="AL483" t="n">
        <v>14</v>
      </c>
      <c r="AM483" t="n">
        <v>14</v>
      </c>
      <c r="AN483" t="n">
        <v>3</v>
      </c>
      <c r="AO483" t="n">
        <v>3</v>
      </c>
      <c r="AP483" t="n">
        <v>0</v>
      </c>
      <c r="AQ483" t="n">
        <v>0</v>
      </c>
      <c r="AR483" t="inlineStr">
        <is>
          <t>No</t>
        </is>
      </c>
      <c r="AS483" t="inlineStr">
        <is>
          <t>No</t>
        </is>
      </c>
      <c r="AU483">
        <f>HYPERLINK("https://creighton-primo.hosted.exlibrisgroup.com/primo-explore/search?tab=default_tab&amp;search_scope=EVERYTHING&amp;vid=01CRU&amp;lang=en_US&amp;offset=0&amp;query=any,contains,991001791379702656","Catalog Record")</f>
        <v/>
      </c>
      <c r="AV483">
        <f>HYPERLINK("http://www.worldcat.org/oclc/782312","WorldCat Record")</f>
        <v/>
      </c>
      <c r="AW483" t="inlineStr">
        <is>
          <t>1710034:eng</t>
        </is>
      </c>
      <c r="AX483" t="inlineStr">
        <is>
          <t>782312</t>
        </is>
      </c>
      <c r="AY483" t="inlineStr">
        <is>
          <t>991001791379702656</t>
        </is>
      </c>
      <c r="AZ483" t="inlineStr">
        <is>
          <t>991001791379702656</t>
        </is>
      </c>
      <c r="BA483" t="inlineStr">
        <is>
          <t>2263345290002656</t>
        </is>
      </c>
      <c r="BB483" t="inlineStr">
        <is>
          <t>BOOK</t>
        </is>
      </c>
      <c r="BD483" t="inlineStr">
        <is>
          <t>9780465067794</t>
        </is>
      </c>
      <c r="BE483" t="inlineStr">
        <is>
          <t>32285002199510</t>
        </is>
      </c>
      <c r="BF483" t="inlineStr">
        <is>
          <t>893590647</t>
        </is>
      </c>
    </row>
    <row r="484">
      <c r="B484" t="inlineStr">
        <is>
          <t>CURAL</t>
        </is>
      </c>
      <c r="C484" t="inlineStr">
        <is>
          <t>SHELVES</t>
        </is>
      </c>
      <c r="D484" t="inlineStr">
        <is>
          <t>QP402 .B56 2006</t>
        </is>
      </c>
      <c r="E484" t="inlineStr">
        <is>
          <t>0                      QP 0402000B  56          2006</t>
        </is>
      </c>
      <c r="F484" t="inlineStr">
        <is>
          <t>Biology of personality and individual differences / edited by Turhan Canli.</t>
        </is>
      </c>
      <c r="H484" t="inlineStr">
        <is>
          <t>No</t>
        </is>
      </c>
      <c r="I484" t="inlineStr">
        <is>
          <t>1</t>
        </is>
      </c>
      <c r="J484" t="inlineStr">
        <is>
          <t>No</t>
        </is>
      </c>
      <c r="K484" t="inlineStr">
        <is>
          <t>No</t>
        </is>
      </c>
      <c r="L484" t="inlineStr">
        <is>
          <t>0</t>
        </is>
      </c>
      <c r="N484" t="inlineStr">
        <is>
          <t>New York : Guilford Press, c2006.</t>
        </is>
      </c>
      <c r="O484" t="inlineStr">
        <is>
          <t>2006</t>
        </is>
      </c>
      <c r="Q484" t="inlineStr">
        <is>
          <t>eng</t>
        </is>
      </c>
      <c r="R484" t="inlineStr">
        <is>
          <t>nyu</t>
        </is>
      </c>
      <c r="T484" t="inlineStr">
        <is>
          <t xml:space="preserve">QP </t>
        </is>
      </c>
      <c r="U484" t="n">
        <v>2</v>
      </c>
      <c r="V484" t="n">
        <v>2</v>
      </c>
      <c r="W484" t="inlineStr">
        <is>
          <t>2007-09-11</t>
        </is>
      </c>
      <c r="X484" t="inlineStr">
        <is>
          <t>2007-09-11</t>
        </is>
      </c>
      <c r="Y484" t="inlineStr">
        <is>
          <t>2007-09-11</t>
        </is>
      </c>
      <c r="Z484" t="inlineStr">
        <is>
          <t>2007-09-11</t>
        </is>
      </c>
      <c r="AA484" t="n">
        <v>361</v>
      </c>
      <c r="AB484" t="n">
        <v>281</v>
      </c>
      <c r="AC484" t="n">
        <v>664</v>
      </c>
      <c r="AD484" t="n">
        <v>3</v>
      </c>
      <c r="AE484" t="n">
        <v>6</v>
      </c>
      <c r="AF484" t="n">
        <v>14</v>
      </c>
      <c r="AG484" t="n">
        <v>31</v>
      </c>
      <c r="AH484" t="n">
        <v>6</v>
      </c>
      <c r="AI484" t="n">
        <v>12</v>
      </c>
      <c r="AJ484" t="n">
        <v>4</v>
      </c>
      <c r="AK484" t="n">
        <v>8</v>
      </c>
      <c r="AL484" t="n">
        <v>5</v>
      </c>
      <c r="AM484" t="n">
        <v>11</v>
      </c>
      <c r="AN484" t="n">
        <v>2</v>
      </c>
      <c r="AO484" t="n">
        <v>5</v>
      </c>
      <c r="AP484" t="n">
        <v>0</v>
      </c>
      <c r="AQ484" t="n">
        <v>1</v>
      </c>
      <c r="AR484" t="inlineStr">
        <is>
          <t>No</t>
        </is>
      </c>
      <c r="AS484" t="inlineStr">
        <is>
          <t>No</t>
        </is>
      </c>
      <c r="AU484">
        <f>HYPERLINK("https://creighton-primo.hosted.exlibrisgroup.com/primo-explore/search?tab=default_tab&amp;search_scope=EVERYTHING&amp;vid=01CRU&amp;lang=en_US&amp;offset=0&amp;query=any,contains,991005108549702656","Catalog Record")</f>
        <v/>
      </c>
      <c r="AV484">
        <f>HYPERLINK("http://www.worldcat.org/oclc/60590112","WorldCat Record")</f>
        <v/>
      </c>
      <c r="AW484" t="inlineStr">
        <is>
          <t>1044592462:eng</t>
        </is>
      </c>
      <c r="AX484" t="inlineStr">
        <is>
          <t>60590112</t>
        </is>
      </c>
      <c r="AY484" t="inlineStr">
        <is>
          <t>991005108549702656</t>
        </is>
      </c>
      <c r="AZ484" t="inlineStr">
        <is>
          <t>991005108549702656</t>
        </is>
      </c>
      <c r="BA484" t="inlineStr">
        <is>
          <t>2272344050002656</t>
        </is>
      </c>
      <c r="BB484" t="inlineStr">
        <is>
          <t>BOOK</t>
        </is>
      </c>
      <c r="BD484" t="inlineStr">
        <is>
          <t>9781593852528</t>
        </is>
      </c>
      <c r="BE484" t="inlineStr">
        <is>
          <t>32285005324891</t>
        </is>
      </c>
      <c r="BF484" t="inlineStr">
        <is>
          <t>893507624</t>
        </is>
      </c>
    </row>
    <row r="485">
      <c r="B485" t="inlineStr">
        <is>
          <t>CURAL</t>
        </is>
      </c>
      <c r="C485" t="inlineStr">
        <is>
          <t>SHELVES</t>
        </is>
      </c>
      <c r="D485" t="inlineStr">
        <is>
          <t>QP406 .A627 1992</t>
        </is>
      </c>
      <c r="E485" t="inlineStr">
        <is>
          <t>0                      QP 0406000A  627         1992</t>
        </is>
      </c>
      <c r="F485" t="inlineStr">
        <is>
          <t>Memory's voice : deciphering the brain-mind code / Daniel L. Alkon.</t>
        </is>
      </c>
      <c r="H485" t="inlineStr">
        <is>
          <t>No</t>
        </is>
      </c>
      <c r="I485" t="inlineStr">
        <is>
          <t>1</t>
        </is>
      </c>
      <c r="J485" t="inlineStr">
        <is>
          <t>No</t>
        </is>
      </c>
      <c r="K485" t="inlineStr">
        <is>
          <t>No</t>
        </is>
      </c>
      <c r="L485" t="inlineStr">
        <is>
          <t>0</t>
        </is>
      </c>
      <c r="M485" t="inlineStr">
        <is>
          <t>Alkon, Daniel L.</t>
        </is>
      </c>
      <c r="N485" t="inlineStr">
        <is>
          <t>New York : HarperCollins Publishers, 1992.</t>
        </is>
      </c>
      <c r="O485" t="inlineStr">
        <is>
          <t>1992</t>
        </is>
      </c>
      <c r="P485" t="inlineStr">
        <is>
          <t>1st ed.</t>
        </is>
      </c>
      <c r="Q485" t="inlineStr">
        <is>
          <t>eng</t>
        </is>
      </c>
      <c r="R485" t="inlineStr">
        <is>
          <t>nyu</t>
        </is>
      </c>
      <c r="T485" t="inlineStr">
        <is>
          <t xml:space="preserve">QP </t>
        </is>
      </c>
      <c r="U485" t="n">
        <v>1</v>
      </c>
      <c r="V485" t="n">
        <v>1</v>
      </c>
      <c r="W485" t="inlineStr">
        <is>
          <t>1999-03-25</t>
        </is>
      </c>
      <c r="X485" t="inlineStr">
        <is>
          <t>1999-03-25</t>
        </is>
      </c>
      <c r="Y485" t="inlineStr">
        <is>
          <t>1994-05-11</t>
        </is>
      </c>
      <c r="Z485" t="inlineStr">
        <is>
          <t>1994-05-11</t>
        </is>
      </c>
      <c r="AA485" t="n">
        <v>458</v>
      </c>
      <c r="AB485" t="n">
        <v>408</v>
      </c>
      <c r="AC485" t="n">
        <v>450</v>
      </c>
      <c r="AD485" t="n">
        <v>3</v>
      </c>
      <c r="AE485" t="n">
        <v>3</v>
      </c>
      <c r="AF485" t="n">
        <v>15</v>
      </c>
      <c r="AG485" t="n">
        <v>15</v>
      </c>
      <c r="AH485" t="n">
        <v>5</v>
      </c>
      <c r="AI485" t="n">
        <v>5</v>
      </c>
      <c r="AJ485" t="n">
        <v>6</v>
      </c>
      <c r="AK485" t="n">
        <v>6</v>
      </c>
      <c r="AL485" t="n">
        <v>7</v>
      </c>
      <c r="AM485" t="n">
        <v>7</v>
      </c>
      <c r="AN485" t="n">
        <v>2</v>
      </c>
      <c r="AO485" t="n">
        <v>2</v>
      </c>
      <c r="AP485" t="n">
        <v>0</v>
      </c>
      <c r="AQ485" t="n">
        <v>0</v>
      </c>
      <c r="AR485" t="inlineStr">
        <is>
          <t>No</t>
        </is>
      </c>
      <c r="AS485" t="inlineStr">
        <is>
          <t>Yes</t>
        </is>
      </c>
      <c r="AT485">
        <f>HYPERLINK("http://catalog.hathitrust.org/Record/002588192","HathiTrust Record")</f>
        <v/>
      </c>
      <c r="AU485">
        <f>HYPERLINK("https://creighton-primo.hosted.exlibrisgroup.com/primo-explore/search?tab=default_tab&amp;search_scope=EVERYTHING&amp;vid=01CRU&amp;lang=en_US&amp;offset=0&amp;query=any,contains,991002034749702656","Catalog Record")</f>
        <v/>
      </c>
      <c r="AV485">
        <f>HYPERLINK("http://www.worldcat.org/oclc/25915185","WorldCat Record")</f>
        <v/>
      </c>
      <c r="AW485" t="inlineStr">
        <is>
          <t>232988210:eng</t>
        </is>
      </c>
      <c r="AX485" t="inlineStr">
        <is>
          <t>25915185</t>
        </is>
      </c>
      <c r="AY485" t="inlineStr">
        <is>
          <t>991002034749702656</t>
        </is>
      </c>
      <c r="AZ485" t="inlineStr">
        <is>
          <t>991002034749702656</t>
        </is>
      </c>
      <c r="BA485" t="inlineStr">
        <is>
          <t>2269887920002656</t>
        </is>
      </c>
      <c r="BB485" t="inlineStr">
        <is>
          <t>BOOK</t>
        </is>
      </c>
      <c r="BD485" t="inlineStr">
        <is>
          <t>9780060183004</t>
        </is>
      </c>
      <c r="BE485" t="inlineStr">
        <is>
          <t>32285001896157</t>
        </is>
      </c>
      <c r="BF485" t="inlineStr">
        <is>
          <t>893316299</t>
        </is>
      </c>
    </row>
    <row r="486">
      <c r="B486" t="inlineStr">
        <is>
          <t>CURAL</t>
        </is>
      </c>
      <c r="C486" t="inlineStr">
        <is>
          <t>SHELVES</t>
        </is>
      </c>
      <c r="D486" t="inlineStr">
        <is>
          <t>QP406 .A74 1984</t>
        </is>
      </c>
      <c r="E486" t="inlineStr">
        <is>
          <t>0                      QP 0406000A  74          1984</t>
        </is>
      </c>
      <c r="F486" t="inlineStr">
        <is>
          <t>Memory and the brain / Magda B. Arnold.</t>
        </is>
      </c>
      <c r="H486" t="inlineStr">
        <is>
          <t>No</t>
        </is>
      </c>
      <c r="I486" t="inlineStr">
        <is>
          <t>1</t>
        </is>
      </c>
      <c r="J486" t="inlineStr">
        <is>
          <t>No</t>
        </is>
      </c>
      <c r="K486" t="inlineStr">
        <is>
          <t>No</t>
        </is>
      </c>
      <c r="L486" t="inlineStr">
        <is>
          <t>0</t>
        </is>
      </c>
      <c r="M486" t="inlineStr">
        <is>
          <t>Arnold, Magda B.</t>
        </is>
      </c>
      <c r="N486" t="inlineStr">
        <is>
          <t>Hillsdale, N.J. : L. Erlbaum Associates, 1984.</t>
        </is>
      </c>
      <c r="O486" t="inlineStr">
        <is>
          <t>1984</t>
        </is>
      </c>
      <c r="Q486" t="inlineStr">
        <is>
          <t>eng</t>
        </is>
      </c>
      <c r="R486" t="inlineStr">
        <is>
          <t>nju</t>
        </is>
      </c>
      <c r="T486" t="inlineStr">
        <is>
          <t xml:space="preserve">QP </t>
        </is>
      </c>
      <c r="U486" t="n">
        <v>8</v>
      </c>
      <c r="V486" t="n">
        <v>8</v>
      </c>
      <c r="W486" t="inlineStr">
        <is>
          <t>1999-10-07</t>
        </is>
      </c>
      <c r="X486" t="inlineStr">
        <is>
          <t>1999-10-07</t>
        </is>
      </c>
      <c r="Y486" t="inlineStr">
        <is>
          <t>1993-03-03</t>
        </is>
      </c>
      <c r="Z486" t="inlineStr">
        <is>
          <t>1993-03-03</t>
        </is>
      </c>
      <c r="AA486" t="n">
        <v>492</v>
      </c>
      <c r="AB486" t="n">
        <v>399</v>
      </c>
      <c r="AC486" t="n">
        <v>427</v>
      </c>
      <c r="AD486" t="n">
        <v>3</v>
      </c>
      <c r="AE486" t="n">
        <v>3</v>
      </c>
      <c r="AF486" t="n">
        <v>21</v>
      </c>
      <c r="AG486" t="n">
        <v>21</v>
      </c>
      <c r="AH486" t="n">
        <v>5</v>
      </c>
      <c r="AI486" t="n">
        <v>5</v>
      </c>
      <c r="AJ486" t="n">
        <v>7</v>
      </c>
      <c r="AK486" t="n">
        <v>7</v>
      </c>
      <c r="AL486" t="n">
        <v>15</v>
      </c>
      <c r="AM486" t="n">
        <v>15</v>
      </c>
      <c r="AN486" t="n">
        <v>2</v>
      </c>
      <c r="AO486" t="n">
        <v>2</v>
      </c>
      <c r="AP486" t="n">
        <v>0</v>
      </c>
      <c r="AQ486" t="n">
        <v>0</v>
      </c>
      <c r="AR486" t="inlineStr">
        <is>
          <t>No</t>
        </is>
      </c>
      <c r="AS486" t="inlineStr">
        <is>
          <t>Yes</t>
        </is>
      </c>
      <c r="AT486">
        <f>HYPERLINK("http://catalog.hathitrust.org/Record/000122481","HathiTrust Record")</f>
        <v/>
      </c>
      <c r="AU486">
        <f>HYPERLINK("https://creighton-primo.hosted.exlibrisgroup.com/primo-explore/search?tab=default_tab&amp;search_scope=EVERYTHING&amp;vid=01CRU&amp;lang=en_US&amp;offset=0&amp;query=any,contains,991000342919702656","Catalog Record")</f>
        <v/>
      </c>
      <c r="AV486">
        <f>HYPERLINK("http://www.worldcat.org/oclc/10275461","WorldCat Record")</f>
        <v/>
      </c>
      <c r="AW486" t="inlineStr">
        <is>
          <t>3348910:eng</t>
        </is>
      </c>
      <c r="AX486" t="inlineStr">
        <is>
          <t>10275461</t>
        </is>
      </c>
      <c r="AY486" t="inlineStr">
        <is>
          <t>991000342919702656</t>
        </is>
      </c>
      <c r="AZ486" t="inlineStr">
        <is>
          <t>991000342919702656</t>
        </is>
      </c>
      <c r="BA486" t="inlineStr">
        <is>
          <t>2268945400002656</t>
        </is>
      </c>
      <c r="BB486" t="inlineStr">
        <is>
          <t>BOOK</t>
        </is>
      </c>
      <c r="BD486" t="inlineStr">
        <is>
          <t>9780898592900</t>
        </is>
      </c>
      <c r="BE486" t="inlineStr">
        <is>
          <t>32285001562148</t>
        </is>
      </c>
      <c r="BF486" t="inlineStr">
        <is>
          <t>893425602</t>
        </is>
      </c>
    </row>
    <row r="487">
      <c r="B487" t="inlineStr">
        <is>
          <t>CURAL</t>
        </is>
      </c>
      <c r="C487" t="inlineStr">
        <is>
          <t>SHELVES</t>
        </is>
      </c>
      <c r="D487" t="inlineStr">
        <is>
          <t>QP406 .D48</t>
        </is>
      </c>
      <c r="E487" t="inlineStr">
        <is>
          <t>0                      QP 0406000D  48</t>
        </is>
      </c>
      <c r="F487" t="inlineStr">
        <is>
          <t>The physiological basis of memory / edited by J. Anthony Deutsch.</t>
        </is>
      </c>
      <c r="H487" t="inlineStr">
        <is>
          <t>No</t>
        </is>
      </c>
      <c r="I487" t="inlineStr">
        <is>
          <t>1</t>
        </is>
      </c>
      <c r="J487" t="inlineStr">
        <is>
          <t>No</t>
        </is>
      </c>
      <c r="K487" t="inlineStr">
        <is>
          <t>Yes</t>
        </is>
      </c>
      <c r="L487" t="inlineStr">
        <is>
          <t>0</t>
        </is>
      </c>
      <c r="M487" t="inlineStr">
        <is>
          <t>Deutsch, J. Anthony, 1927-</t>
        </is>
      </c>
      <c r="N487" t="inlineStr">
        <is>
          <t>New York, Academic Press, 1973.</t>
        </is>
      </c>
      <c r="O487" t="inlineStr">
        <is>
          <t>1973</t>
        </is>
      </c>
      <c r="Q487" t="inlineStr">
        <is>
          <t>eng</t>
        </is>
      </c>
      <c r="R487" t="inlineStr">
        <is>
          <t>nyu</t>
        </is>
      </c>
      <c r="T487" t="inlineStr">
        <is>
          <t xml:space="preserve">QP </t>
        </is>
      </c>
      <c r="U487" t="n">
        <v>6</v>
      </c>
      <c r="V487" t="n">
        <v>6</v>
      </c>
      <c r="W487" t="inlineStr">
        <is>
          <t>1999-11-12</t>
        </is>
      </c>
      <c r="X487" t="inlineStr">
        <is>
          <t>1999-11-12</t>
        </is>
      </c>
      <c r="Y487" t="inlineStr">
        <is>
          <t>1997-09-22</t>
        </is>
      </c>
      <c r="Z487" t="inlineStr">
        <is>
          <t>1997-09-22</t>
        </is>
      </c>
      <c r="AA487" t="n">
        <v>538</v>
      </c>
      <c r="AB487" t="n">
        <v>400</v>
      </c>
      <c r="AC487" t="n">
        <v>590</v>
      </c>
      <c r="AD487" t="n">
        <v>2</v>
      </c>
      <c r="AE487" t="n">
        <v>3</v>
      </c>
      <c r="AF487" t="n">
        <v>20</v>
      </c>
      <c r="AG487" t="n">
        <v>28</v>
      </c>
      <c r="AH487" t="n">
        <v>7</v>
      </c>
      <c r="AI487" t="n">
        <v>9</v>
      </c>
      <c r="AJ487" t="n">
        <v>6</v>
      </c>
      <c r="AK487" t="n">
        <v>9</v>
      </c>
      <c r="AL487" t="n">
        <v>11</v>
      </c>
      <c r="AM487" t="n">
        <v>14</v>
      </c>
      <c r="AN487" t="n">
        <v>1</v>
      </c>
      <c r="AO487" t="n">
        <v>2</v>
      </c>
      <c r="AP487" t="n">
        <v>0</v>
      </c>
      <c r="AQ487" t="n">
        <v>0</v>
      </c>
      <c r="AR487" t="inlineStr">
        <is>
          <t>No</t>
        </is>
      </c>
      <c r="AS487" t="inlineStr">
        <is>
          <t>Yes</t>
        </is>
      </c>
      <c r="AT487">
        <f>HYPERLINK("http://catalog.hathitrust.org/Record/001576880","HathiTrust Record")</f>
        <v/>
      </c>
      <c r="AU487">
        <f>HYPERLINK("https://creighton-primo.hosted.exlibrisgroup.com/primo-explore/search?tab=default_tab&amp;search_scope=EVERYTHING&amp;vid=01CRU&amp;lang=en_US&amp;offset=0&amp;query=any,contains,991003043969702656","Catalog Record")</f>
        <v/>
      </c>
      <c r="AV487">
        <f>HYPERLINK("http://www.worldcat.org/oclc/604977","WorldCat Record")</f>
        <v/>
      </c>
      <c r="AW487" t="inlineStr">
        <is>
          <t>54580742:eng</t>
        </is>
      </c>
      <c r="AX487" t="inlineStr">
        <is>
          <t>604977</t>
        </is>
      </c>
      <c r="AY487" t="inlineStr">
        <is>
          <t>991003043969702656</t>
        </is>
      </c>
      <c r="AZ487" t="inlineStr">
        <is>
          <t>991003043969702656</t>
        </is>
      </c>
      <c r="BA487" t="inlineStr">
        <is>
          <t>2263207200002656</t>
        </is>
      </c>
      <c r="BB487" t="inlineStr">
        <is>
          <t>BOOK</t>
        </is>
      </c>
      <c r="BD487" t="inlineStr">
        <is>
          <t>9780122134500</t>
        </is>
      </c>
      <c r="BE487" t="inlineStr">
        <is>
          <t>32285003174678</t>
        </is>
      </c>
      <c r="BF487" t="inlineStr">
        <is>
          <t>893336081</t>
        </is>
      </c>
    </row>
    <row r="488">
      <c r="B488" t="inlineStr">
        <is>
          <t>CURAL</t>
        </is>
      </c>
      <c r="C488" t="inlineStr">
        <is>
          <t>SHELVES</t>
        </is>
      </c>
      <c r="D488" t="inlineStr">
        <is>
          <t>QP406 .L43 1991</t>
        </is>
      </c>
      <c r="E488" t="inlineStr">
        <is>
          <t>0                      QP 0406000L  43          1991</t>
        </is>
      </c>
      <c r="F488" t="inlineStr">
        <is>
          <t>Learning and memory : a biological view / edited by Joe L. Martinez, Jr., Raymond P. Kesner.</t>
        </is>
      </c>
      <c r="H488" t="inlineStr">
        <is>
          <t>No</t>
        </is>
      </c>
      <c r="I488" t="inlineStr">
        <is>
          <t>1</t>
        </is>
      </c>
      <c r="J488" t="inlineStr">
        <is>
          <t>No</t>
        </is>
      </c>
      <c r="K488" t="inlineStr">
        <is>
          <t>Yes</t>
        </is>
      </c>
      <c r="L488" t="inlineStr">
        <is>
          <t>0</t>
        </is>
      </c>
      <c r="N488" t="inlineStr">
        <is>
          <t>San Diego : Academic Press, c1991.</t>
        </is>
      </c>
      <c r="O488" t="inlineStr">
        <is>
          <t>1991</t>
        </is>
      </c>
      <c r="P488" t="inlineStr">
        <is>
          <t>2nd ed.</t>
        </is>
      </c>
      <c r="Q488" t="inlineStr">
        <is>
          <t>eng</t>
        </is>
      </c>
      <c r="R488" t="inlineStr">
        <is>
          <t>cau</t>
        </is>
      </c>
      <c r="T488" t="inlineStr">
        <is>
          <t xml:space="preserve">QP </t>
        </is>
      </c>
      <c r="U488" t="n">
        <v>6</v>
      </c>
      <c r="V488" t="n">
        <v>6</v>
      </c>
      <c r="W488" t="inlineStr">
        <is>
          <t>2003-03-20</t>
        </is>
      </c>
      <c r="X488" t="inlineStr">
        <is>
          <t>2003-03-20</t>
        </is>
      </c>
      <c r="Y488" t="inlineStr">
        <is>
          <t>1992-04-14</t>
        </is>
      </c>
      <c r="Z488" t="inlineStr">
        <is>
          <t>1992-04-14</t>
        </is>
      </c>
      <c r="AA488" t="n">
        <v>373</v>
      </c>
      <c r="AB488" t="n">
        <v>276</v>
      </c>
      <c r="AC488" t="n">
        <v>513</v>
      </c>
      <c r="AD488" t="n">
        <v>4</v>
      </c>
      <c r="AE488" t="n">
        <v>5</v>
      </c>
      <c r="AF488" t="n">
        <v>15</v>
      </c>
      <c r="AG488" t="n">
        <v>27</v>
      </c>
      <c r="AH488" t="n">
        <v>6</v>
      </c>
      <c r="AI488" t="n">
        <v>9</v>
      </c>
      <c r="AJ488" t="n">
        <v>4</v>
      </c>
      <c r="AK488" t="n">
        <v>8</v>
      </c>
      <c r="AL488" t="n">
        <v>8</v>
      </c>
      <c r="AM488" t="n">
        <v>13</v>
      </c>
      <c r="AN488" t="n">
        <v>3</v>
      </c>
      <c r="AO488" t="n">
        <v>4</v>
      </c>
      <c r="AP488" t="n">
        <v>0</v>
      </c>
      <c r="AQ488" t="n">
        <v>0</v>
      </c>
      <c r="AR488" t="inlineStr">
        <is>
          <t>No</t>
        </is>
      </c>
      <c r="AS488" t="inlineStr">
        <is>
          <t>Yes</t>
        </is>
      </c>
      <c r="AT488">
        <f>HYPERLINK("http://catalog.hathitrust.org/Record/002463524","HathiTrust Record")</f>
        <v/>
      </c>
      <c r="AU488">
        <f>HYPERLINK("https://creighton-primo.hosted.exlibrisgroup.com/primo-explore/search?tab=default_tab&amp;search_scope=EVERYTHING&amp;vid=01CRU&amp;lang=en_US&amp;offset=0&amp;query=any,contains,991001817859702656","Catalog Record")</f>
        <v/>
      </c>
      <c r="AV488">
        <f>HYPERLINK("http://www.worldcat.org/oclc/22859160","WorldCat Record")</f>
        <v/>
      </c>
      <c r="AW488" t="inlineStr">
        <is>
          <t>795605335:eng</t>
        </is>
      </c>
      <c r="AX488" t="inlineStr">
        <is>
          <t>22859160</t>
        </is>
      </c>
      <c r="AY488" t="inlineStr">
        <is>
          <t>991001817859702656</t>
        </is>
      </c>
      <c r="AZ488" t="inlineStr">
        <is>
          <t>991001817859702656</t>
        </is>
      </c>
      <c r="BA488" t="inlineStr">
        <is>
          <t>2259493910002656</t>
        </is>
      </c>
      <c r="BB488" t="inlineStr">
        <is>
          <t>BOOK</t>
        </is>
      </c>
      <c r="BD488" t="inlineStr">
        <is>
          <t>9780124749931</t>
        </is>
      </c>
      <c r="BE488" t="inlineStr">
        <is>
          <t>32285001035343</t>
        </is>
      </c>
      <c r="BF488" t="inlineStr">
        <is>
          <t>893803934</t>
        </is>
      </c>
    </row>
    <row r="489">
      <c r="B489" t="inlineStr">
        <is>
          <t>CURAL</t>
        </is>
      </c>
      <c r="C489" t="inlineStr">
        <is>
          <t>SHELVES</t>
        </is>
      </c>
      <c r="D489" t="inlineStr">
        <is>
          <t>QP406 .M4565 2004</t>
        </is>
      </c>
      <c r="E489" t="inlineStr">
        <is>
          <t>0                      QP 0406000M  4565        2004</t>
        </is>
      </c>
      <c r="F489" t="inlineStr">
        <is>
          <t>Memory : neuropsychological, imaging, and psychopharmacological perspectives / Gérard Emilien ... [et al.].</t>
        </is>
      </c>
      <c r="H489" t="inlineStr">
        <is>
          <t>No</t>
        </is>
      </c>
      <c r="I489" t="inlineStr">
        <is>
          <t>1</t>
        </is>
      </c>
      <c r="J489" t="inlineStr">
        <is>
          <t>No</t>
        </is>
      </c>
      <c r="K489" t="inlineStr">
        <is>
          <t>No</t>
        </is>
      </c>
      <c r="L489" t="inlineStr">
        <is>
          <t>0</t>
        </is>
      </c>
      <c r="N489" t="inlineStr">
        <is>
          <t>Hove [England] ; New York : Psychology Press, 2004.</t>
        </is>
      </c>
      <c r="O489" t="inlineStr">
        <is>
          <t>2004</t>
        </is>
      </c>
      <c r="Q489" t="inlineStr">
        <is>
          <t>eng</t>
        </is>
      </c>
      <c r="R489" t="inlineStr">
        <is>
          <t>enk</t>
        </is>
      </c>
      <c r="T489" t="inlineStr">
        <is>
          <t xml:space="preserve">QP </t>
        </is>
      </c>
      <c r="U489" t="n">
        <v>3</v>
      </c>
      <c r="V489" t="n">
        <v>3</v>
      </c>
      <c r="W489" t="inlineStr">
        <is>
          <t>2005-10-27</t>
        </is>
      </c>
      <c r="X489" t="inlineStr">
        <is>
          <t>2005-10-27</t>
        </is>
      </c>
      <c r="Y489" t="inlineStr">
        <is>
          <t>2005-01-13</t>
        </is>
      </c>
      <c r="Z489" t="inlineStr">
        <is>
          <t>2005-01-13</t>
        </is>
      </c>
      <c r="AA489" t="n">
        <v>167</v>
      </c>
      <c r="AB489" t="n">
        <v>104</v>
      </c>
      <c r="AC489" t="n">
        <v>201</v>
      </c>
      <c r="AD489" t="n">
        <v>2</v>
      </c>
      <c r="AE489" t="n">
        <v>2</v>
      </c>
      <c r="AF489" t="n">
        <v>5</v>
      </c>
      <c r="AG489" t="n">
        <v>8</v>
      </c>
      <c r="AH489" t="n">
        <v>1</v>
      </c>
      <c r="AI489" t="n">
        <v>4</v>
      </c>
      <c r="AJ489" t="n">
        <v>2</v>
      </c>
      <c r="AK489" t="n">
        <v>2</v>
      </c>
      <c r="AL489" t="n">
        <v>3</v>
      </c>
      <c r="AM489" t="n">
        <v>4</v>
      </c>
      <c r="AN489" t="n">
        <v>1</v>
      </c>
      <c r="AO489" t="n">
        <v>1</v>
      </c>
      <c r="AP489" t="n">
        <v>0</v>
      </c>
      <c r="AQ489" t="n">
        <v>0</v>
      </c>
      <c r="AR489" t="inlineStr">
        <is>
          <t>No</t>
        </is>
      </c>
      <c r="AS489" t="inlineStr">
        <is>
          <t>No</t>
        </is>
      </c>
      <c r="AU489">
        <f>HYPERLINK("https://creighton-primo.hosted.exlibrisgroup.com/primo-explore/search?tab=default_tab&amp;search_scope=EVERYTHING&amp;vid=01CRU&amp;lang=en_US&amp;offset=0&amp;query=any,contains,991004431019702656","Catalog Record")</f>
        <v/>
      </c>
      <c r="AV489">
        <f>HYPERLINK("http://www.worldcat.org/oclc/52166041","WorldCat Record")</f>
        <v/>
      </c>
      <c r="AW489" t="inlineStr">
        <is>
          <t>801133785:eng</t>
        </is>
      </c>
      <c r="AX489" t="inlineStr">
        <is>
          <t>52166041</t>
        </is>
      </c>
      <c r="AY489" t="inlineStr">
        <is>
          <t>991004431019702656</t>
        </is>
      </c>
      <c r="AZ489" t="inlineStr">
        <is>
          <t>991004431019702656</t>
        </is>
      </c>
      <c r="BA489" t="inlineStr">
        <is>
          <t>2260952270002656</t>
        </is>
      </c>
      <c r="BB489" t="inlineStr">
        <is>
          <t>BOOK</t>
        </is>
      </c>
      <c r="BD489" t="inlineStr">
        <is>
          <t>9781841693705</t>
        </is>
      </c>
      <c r="BE489" t="inlineStr">
        <is>
          <t>32285005020119</t>
        </is>
      </c>
      <c r="BF489" t="inlineStr">
        <is>
          <t>893247577</t>
        </is>
      </c>
    </row>
    <row r="490">
      <c r="B490" t="inlineStr">
        <is>
          <t>CURAL</t>
        </is>
      </c>
      <c r="C490" t="inlineStr">
        <is>
          <t>SHELVES</t>
        </is>
      </c>
      <c r="D490" t="inlineStr">
        <is>
          <t>QP406 .M46 1985</t>
        </is>
      </c>
      <c r="E490" t="inlineStr">
        <is>
          <t>0                      QP 0406000M  46          1985</t>
        </is>
      </c>
      <c r="F490" t="inlineStr">
        <is>
          <t>Memory systems of the brain : animal and human cognitive processes / edited by Norman M. Weinberger, James L. McGaugh, Gary Lynch.</t>
        </is>
      </c>
      <c r="H490" t="inlineStr">
        <is>
          <t>No</t>
        </is>
      </c>
      <c r="I490" t="inlineStr">
        <is>
          <t>1</t>
        </is>
      </c>
      <c r="J490" t="inlineStr">
        <is>
          <t>No</t>
        </is>
      </c>
      <c r="K490" t="inlineStr">
        <is>
          <t>No</t>
        </is>
      </c>
      <c r="L490" t="inlineStr">
        <is>
          <t>0</t>
        </is>
      </c>
      <c r="N490" t="inlineStr">
        <is>
          <t>New York : Guilford Press, c1985.</t>
        </is>
      </c>
      <c r="O490" t="inlineStr">
        <is>
          <t>1985</t>
        </is>
      </c>
      <c r="Q490" t="inlineStr">
        <is>
          <t>eng</t>
        </is>
      </c>
      <c r="R490" t="inlineStr">
        <is>
          <t>nyu</t>
        </is>
      </c>
      <c r="T490" t="inlineStr">
        <is>
          <t xml:space="preserve">QP </t>
        </is>
      </c>
      <c r="U490" t="n">
        <v>10</v>
      </c>
      <c r="V490" t="n">
        <v>10</v>
      </c>
      <c r="W490" t="inlineStr">
        <is>
          <t>2005-03-09</t>
        </is>
      </c>
      <c r="X490" t="inlineStr">
        <is>
          <t>2005-03-09</t>
        </is>
      </c>
      <c r="Y490" t="inlineStr">
        <is>
          <t>1991-05-01</t>
        </is>
      </c>
      <c r="Z490" t="inlineStr">
        <is>
          <t>1991-05-01</t>
        </is>
      </c>
      <c r="AA490" t="n">
        <v>296</v>
      </c>
      <c r="AB490" t="n">
        <v>224</v>
      </c>
      <c r="AC490" t="n">
        <v>225</v>
      </c>
      <c r="AD490" t="n">
        <v>3</v>
      </c>
      <c r="AE490" t="n">
        <v>3</v>
      </c>
      <c r="AF490" t="n">
        <v>10</v>
      </c>
      <c r="AG490" t="n">
        <v>10</v>
      </c>
      <c r="AH490" t="n">
        <v>2</v>
      </c>
      <c r="AI490" t="n">
        <v>2</v>
      </c>
      <c r="AJ490" t="n">
        <v>3</v>
      </c>
      <c r="AK490" t="n">
        <v>3</v>
      </c>
      <c r="AL490" t="n">
        <v>5</v>
      </c>
      <c r="AM490" t="n">
        <v>5</v>
      </c>
      <c r="AN490" t="n">
        <v>2</v>
      </c>
      <c r="AO490" t="n">
        <v>2</v>
      </c>
      <c r="AP490" t="n">
        <v>0</v>
      </c>
      <c r="AQ490" t="n">
        <v>0</v>
      </c>
      <c r="AR490" t="inlineStr">
        <is>
          <t>No</t>
        </is>
      </c>
      <c r="AS490" t="inlineStr">
        <is>
          <t>No</t>
        </is>
      </c>
      <c r="AU490">
        <f>HYPERLINK("https://creighton-primo.hosted.exlibrisgroup.com/primo-explore/search?tab=default_tab&amp;search_scope=EVERYTHING&amp;vid=01CRU&amp;lang=en_US&amp;offset=0&amp;query=any,contains,991000720269702656","Catalog Record")</f>
        <v/>
      </c>
      <c r="AV490">
        <f>HYPERLINK("http://www.worldcat.org/oclc/12665270","WorldCat Record")</f>
        <v/>
      </c>
      <c r="AW490" t="inlineStr">
        <is>
          <t>890248758:eng</t>
        </is>
      </c>
      <c r="AX490" t="inlineStr">
        <is>
          <t>12665270</t>
        </is>
      </c>
      <c r="AY490" t="inlineStr">
        <is>
          <t>991000720269702656</t>
        </is>
      </c>
      <c r="AZ490" t="inlineStr">
        <is>
          <t>991000720269702656</t>
        </is>
      </c>
      <c r="BA490" t="inlineStr">
        <is>
          <t>2264384790002656</t>
        </is>
      </c>
      <c r="BB490" t="inlineStr">
        <is>
          <t>BOOK</t>
        </is>
      </c>
      <c r="BD490" t="inlineStr">
        <is>
          <t>9780898626667</t>
        </is>
      </c>
      <c r="BE490" t="inlineStr">
        <is>
          <t>32285000570779</t>
        </is>
      </c>
      <c r="BF490" t="inlineStr">
        <is>
          <t>893515557</t>
        </is>
      </c>
    </row>
    <row r="491">
      <c r="B491" t="inlineStr">
        <is>
          <t>CURAL</t>
        </is>
      </c>
      <c r="C491" t="inlineStr">
        <is>
          <t>SHELVES</t>
        </is>
      </c>
      <c r="D491" t="inlineStr">
        <is>
          <t>QP406 .P36 1989</t>
        </is>
      </c>
      <c r="E491" t="inlineStr">
        <is>
          <t>0                      QP 0406000P  36          1989</t>
        </is>
      </c>
      <c r="F491" t="inlineStr">
        <is>
          <t>Parallel models of associative memory / edited by Geoffrey E. Hinton, James A. Anderson.</t>
        </is>
      </c>
      <c r="H491" t="inlineStr">
        <is>
          <t>No</t>
        </is>
      </c>
      <c r="I491" t="inlineStr">
        <is>
          <t>1</t>
        </is>
      </c>
      <c r="J491" t="inlineStr">
        <is>
          <t>No</t>
        </is>
      </c>
      <c r="K491" t="inlineStr">
        <is>
          <t>No</t>
        </is>
      </c>
      <c r="L491" t="inlineStr">
        <is>
          <t>0</t>
        </is>
      </c>
      <c r="N491" t="inlineStr">
        <is>
          <t>Hillsdale, N.J. : L. Erlbaum, 1989.</t>
        </is>
      </c>
      <c r="O491" t="inlineStr">
        <is>
          <t>1989</t>
        </is>
      </c>
      <c r="P491" t="inlineStr">
        <is>
          <t>Updated ed.</t>
        </is>
      </c>
      <c r="Q491" t="inlineStr">
        <is>
          <t>eng</t>
        </is>
      </c>
      <c r="R491" t="inlineStr">
        <is>
          <t>nju</t>
        </is>
      </c>
      <c r="S491" t="inlineStr">
        <is>
          <t>The Cognitive science series</t>
        </is>
      </c>
      <c r="T491" t="inlineStr">
        <is>
          <t xml:space="preserve">QP </t>
        </is>
      </c>
      <c r="U491" t="n">
        <v>5</v>
      </c>
      <c r="V491" t="n">
        <v>5</v>
      </c>
      <c r="W491" t="inlineStr">
        <is>
          <t>1995-03-27</t>
        </is>
      </c>
      <c r="X491" t="inlineStr">
        <is>
          <t>1995-03-27</t>
        </is>
      </c>
      <c r="Y491" t="inlineStr">
        <is>
          <t>1990-01-25</t>
        </is>
      </c>
      <c r="Z491" t="inlineStr">
        <is>
          <t>1990-01-25</t>
        </is>
      </c>
      <c r="AA491" t="n">
        <v>329</v>
      </c>
      <c r="AB491" t="n">
        <v>226</v>
      </c>
      <c r="AC491" t="n">
        <v>460</v>
      </c>
      <c r="AD491" t="n">
        <v>3</v>
      </c>
      <c r="AE491" t="n">
        <v>4</v>
      </c>
      <c r="AF491" t="n">
        <v>13</v>
      </c>
      <c r="AG491" t="n">
        <v>18</v>
      </c>
      <c r="AH491" t="n">
        <v>3</v>
      </c>
      <c r="AI491" t="n">
        <v>5</v>
      </c>
      <c r="AJ491" t="n">
        <v>4</v>
      </c>
      <c r="AK491" t="n">
        <v>6</v>
      </c>
      <c r="AL491" t="n">
        <v>8</v>
      </c>
      <c r="AM491" t="n">
        <v>9</v>
      </c>
      <c r="AN491" t="n">
        <v>2</v>
      </c>
      <c r="AO491" t="n">
        <v>3</v>
      </c>
      <c r="AP491" t="n">
        <v>0</v>
      </c>
      <c r="AQ491" t="n">
        <v>0</v>
      </c>
      <c r="AR491" t="inlineStr">
        <is>
          <t>No</t>
        </is>
      </c>
      <c r="AS491" t="inlineStr">
        <is>
          <t>No</t>
        </is>
      </c>
      <c r="AU491">
        <f>HYPERLINK("https://creighton-primo.hosted.exlibrisgroup.com/primo-explore/search?tab=default_tab&amp;search_scope=EVERYTHING&amp;vid=01CRU&amp;lang=en_US&amp;offset=0&amp;query=any,contains,991001368959702656","Catalog Record")</f>
        <v/>
      </c>
      <c r="AV491">
        <f>HYPERLINK("http://www.worldcat.org/oclc/18560447","WorldCat Record")</f>
        <v/>
      </c>
      <c r="AW491" t="inlineStr">
        <is>
          <t>54428903:eng</t>
        </is>
      </c>
      <c r="AX491" t="inlineStr">
        <is>
          <t>18560447</t>
        </is>
      </c>
      <c r="AY491" t="inlineStr">
        <is>
          <t>991001368959702656</t>
        </is>
      </c>
      <c r="AZ491" t="inlineStr">
        <is>
          <t>991001368959702656</t>
        </is>
      </c>
      <c r="BA491" t="inlineStr">
        <is>
          <t>2271373720002656</t>
        </is>
      </c>
      <c r="BB491" t="inlineStr">
        <is>
          <t>BOOK</t>
        </is>
      </c>
      <c r="BD491" t="inlineStr">
        <is>
          <t>9780805802702</t>
        </is>
      </c>
      <c r="BE491" t="inlineStr">
        <is>
          <t>32285000035286</t>
        </is>
      </c>
      <c r="BF491" t="inlineStr">
        <is>
          <t>893778745</t>
        </is>
      </c>
    </row>
    <row r="492">
      <c r="B492" t="inlineStr">
        <is>
          <t>CURAL</t>
        </is>
      </c>
      <c r="C492" t="inlineStr">
        <is>
          <t>SHELVES</t>
        </is>
      </c>
      <c r="D492" t="inlineStr">
        <is>
          <t>QP406 .P49 1983</t>
        </is>
      </c>
      <c r="E492" t="inlineStr">
        <is>
          <t>0                      QP 0406000P  49          1983</t>
        </is>
      </c>
      <c r="F492" t="inlineStr">
        <is>
          <t>The Physiological basis of memory / edited by J. Anthony Deutsch.</t>
        </is>
      </c>
      <c r="H492" t="inlineStr">
        <is>
          <t>No</t>
        </is>
      </c>
      <c r="I492" t="inlineStr">
        <is>
          <t>1</t>
        </is>
      </c>
      <c r="J492" t="inlineStr">
        <is>
          <t>No</t>
        </is>
      </c>
      <c r="K492" t="inlineStr">
        <is>
          <t>Yes</t>
        </is>
      </c>
      <c r="L492" t="inlineStr">
        <is>
          <t>0</t>
        </is>
      </c>
      <c r="N492" t="inlineStr">
        <is>
          <t>New York : Academic Press, 1983.</t>
        </is>
      </c>
      <c r="O492" t="inlineStr">
        <is>
          <t>1983</t>
        </is>
      </c>
      <c r="P492" t="inlineStr">
        <is>
          <t>2nd ed.</t>
        </is>
      </c>
      <c r="Q492" t="inlineStr">
        <is>
          <t>eng</t>
        </is>
      </c>
      <c r="R492" t="inlineStr">
        <is>
          <t>nyu</t>
        </is>
      </c>
      <c r="T492" t="inlineStr">
        <is>
          <t xml:space="preserve">QP </t>
        </is>
      </c>
      <c r="U492" t="n">
        <v>3</v>
      </c>
      <c r="V492" t="n">
        <v>3</v>
      </c>
      <c r="W492" t="inlineStr">
        <is>
          <t>1994-09-17</t>
        </is>
      </c>
      <c r="X492" t="inlineStr">
        <is>
          <t>1994-09-17</t>
        </is>
      </c>
      <c r="Y492" t="inlineStr">
        <is>
          <t>1993-03-03</t>
        </is>
      </c>
      <c r="Z492" t="inlineStr">
        <is>
          <t>1993-03-03</t>
        </is>
      </c>
      <c r="AA492" t="n">
        <v>453</v>
      </c>
      <c r="AB492" t="n">
        <v>330</v>
      </c>
      <c r="AC492" t="n">
        <v>590</v>
      </c>
      <c r="AD492" t="n">
        <v>2</v>
      </c>
      <c r="AE492" t="n">
        <v>3</v>
      </c>
      <c r="AF492" t="n">
        <v>13</v>
      </c>
      <c r="AG492" t="n">
        <v>28</v>
      </c>
      <c r="AH492" t="n">
        <v>2</v>
      </c>
      <c r="AI492" t="n">
        <v>9</v>
      </c>
      <c r="AJ492" t="n">
        <v>5</v>
      </c>
      <c r="AK492" t="n">
        <v>9</v>
      </c>
      <c r="AL492" t="n">
        <v>9</v>
      </c>
      <c r="AM492" t="n">
        <v>14</v>
      </c>
      <c r="AN492" t="n">
        <v>1</v>
      </c>
      <c r="AO492" t="n">
        <v>2</v>
      </c>
      <c r="AP492" t="n">
        <v>0</v>
      </c>
      <c r="AQ492" t="n">
        <v>0</v>
      </c>
      <c r="AR492" t="inlineStr">
        <is>
          <t>No</t>
        </is>
      </c>
      <c r="AS492" t="inlineStr">
        <is>
          <t>Yes</t>
        </is>
      </c>
      <c r="AT492">
        <f>HYPERLINK("http://catalog.hathitrust.org/Record/000200789","HathiTrust Record")</f>
        <v/>
      </c>
      <c r="AU492">
        <f>HYPERLINK("https://creighton-primo.hosted.exlibrisgroup.com/primo-explore/search?tab=default_tab&amp;search_scope=EVERYTHING&amp;vid=01CRU&amp;lang=en_US&amp;offset=0&amp;query=any,contains,991000239539702656","Catalog Record")</f>
        <v/>
      </c>
      <c r="AV492">
        <f>HYPERLINK("http://www.worldcat.org/oclc/9682843","WorldCat Record")</f>
        <v/>
      </c>
      <c r="AW492" t="inlineStr">
        <is>
          <t>54580742:eng</t>
        </is>
      </c>
      <c r="AX492" t="inlineStr">
        <is>
          <t>9682843</t>
        </is>
      </c>
      <c r="AY492" t="inlineStr">
        <is>
          <t>991000239539702656</t>
        </is>
      </c>
      <c r="AZ492" t="inlineStr">
        <is>
          <t>991000239539702656</t>
        </is>
      </c>
      <c r="BA492" t="inlineStr">
        <is>
          <t>2264144920002656</t>
        </is>
      </c>
      <c r="BB492" t="inlineStr">
        <is>
          <t>BOOK</t>
        </is>
      </c>
      <c r="BD492" t="inlineStr">
        <is>
          <t>9780122134609</t>
        </is>
      </c>
      <c r="BE492" t="inlineStr">
        <is>
          <t>32285001562171</t>
        </is>
      </c>
      <c r="BF492" t="inlineStr">
        <is>
          <t>893784085</t>
        </is>
      </c>
    </row>
    <row r="493">
      <c r="B493" t="inlineStr">
        <is>
          <t>CURAL</t>
        </is>
      </c>
      <c r="C493" t="inlineStr">
        <is>
          <t>SHELVES</t>
        </is>
      </c>
      <c r="D493" t="inlineStr">
        <is>
          <t>QP406 .R66 1993</t>
        </is>
      </c>
      <c r="E493" t="inlineStr">
        <is>
          <t>0                      QP 0406000R  66          1993</t>
        </is>
      </c>
      <c r="F493" t="inlineStr">
        <is>
          <t>The making of memory : from molecules to mind / Steven Rose.</t>
        </is>
      </c>
      <c r="H493" t="inlineStr">
        <is>
          <t>No</t>
        </is>
      </c>
      <c r="I493" t="inlineStr">
        <is>
          <t>1</t>
        </is>
      </c>
      <c r="J493" t="inlineStr">
        <is>
          <t>No</t>
        </is>
      </c>
      <c r="K493" t="inlineStr">
        <is>
          <t>No</t>
        </is>
      </c>
      <c r="L493" t="inlineStr">
        <is>
          <t>0</t>
        </is>
      </c>
      <c r="M493" t="inlineStr">
        <is>
          <t>Rose, Steven P. R. (Steven Peter Russell), 1938-</t>
        </is>
      </c>
      <c r="N493" t="inlineStr">
        <is>
          <t>New York : Anchor Books, 1993.</t>
        </is>
      </c>
      <c r="O493" t="inlineStr">
        <is>
          <t>1993</t>
        </is>
      </c>
      <c r="P493" t="inlineStr">
        <is>
          <t>1st Anchor Books ed.</t>
        </is>
      </c>
      <c r="Q493" t="inlineStr">
        <is>
          <t>eng</t>
        </is>
      </c>
      <c r="R493" t="inlineStr">
        <is>
          <t>nyu</t>
        </is>
      </c>
      <c r="T493" t="inlineStr">
        <is>
          <t xml:space="preserve">QP </t>
        </is>
      </c>
      <c r="U493" t="n">
        <v>7</v>
      </c>
      <c r="V493" t="n">
        <v>7</v>
      </c>
      <c r="W493" t="inlineStr">
        <is>
          <t>2005-02-17</t>
        </is>
      </c>
      <c r="X493" t="inlineStr">
        <is>
          <t>2005-02-17</t>
        </is>
      </c>
      <c r="Y493" t="inlineStr">
        <is>
          <t>1994-05-09</t>
        </is>
      </c>
      <c r="Z493" t="inlineStr">
        <is>
          <t>1994-05-09</t>
        </is>
      </c>
      <c r="AA493" t="n">
        <v>497</v>
      </c>
      <c r="AB493" t="n">
        <v>454</v>
      </c>
      <c r="AC493" t="n">
        <v>498</v>
      </c>
      <c r="AD493" t="n">
        <v>4</v>
      </c>
      <c r="AE493" t="n">
        <v>4</v>
      </c>
      <c r="AF493" t="n">
        <v>26</v>
      </c>
      <c r="AG493" t="n">
        <v>26</v>
      </c>
      <c r="AH493" t="n">
        <v>7</v>
      </c>
      <c r="AI493" t="n">
        <v>7</v>
      </c>
      <c r="AJ493" t="n">
        <v>8</v>
      </c>
      <c r="AK493" t="n">
        <v>8</v>
      </c>
      <c r="AL493" t="n">
        <v>16</v>
      </c>
      <c r="AM493" t="n">
        <v>16</v>
      </c>
      <c r="AN493" t="n">
        <v>3</v>
      </c>
      <c r="AO493" t="n">
        <v>3</v>
      </c>
      <c r="AP493" t="n">
        <v>0</v>
      </c>
      <c r="AQ493" t="n">
        <v>0</v>
      </c>
      <c r="AR493" t="inlineStr">
        <is>
          <t>No</t>
        </is>
      </c>
      <c r="AS493" t="inlineStr">
        <is>
          <t>Yes</t>
        </is>
      </c>
      <c r="AT493">
        <f>HYPERLINK("http://catalog.hathitrust.org/Record/002718207","HathiTrust Record")</f>
        <v/>
      </c>
      <c r="AU493">
        <f>HYPERLINK("https://creighton-primo.hosted.exlibrisgroup.com/primo-explore/search?tab=default_tab&amp;search_scope=EVERYTHING&amp;vid=01CRU&amp;lang=en_US&amp;offset=0&amp;query=any,contains,991002177689702656","Catalog Record")</f>
        <v/>
      </c>
      <c r="AV493">
        <f>HYPERLINK("http://www.worldcat.org/oclc/28026752","WorldCat Record")</f>
        <v/>
      </c>
      <c r="AW493" t="inlineStr">
        <is>
          <t>837751351:eng</t>
        </is>
      </c>
      <c r="AX493" t="inlineStr">
        <is>
          <t>28026752</t>
        </is>
      </c>
      <c r="AY493" t="inlineStr">
        <is>
          <t>991002177689702656</t>
        </is>
      </c>
      <c r="AZ493" t="inlineStr">
        <is>
          <t>991002177689702656</t>
        </is>
      </c>
      <c r="BA493" t="inlineStr">
        <is>
          <t>2262836200002656</t>
        </is>
      </c>
      <c r="BB493" t="inlineStr">
        <is>
          <t>BOOK</t>
        </is>
      </c>
      <c r="BD493" t="inlineStr">
        <is>
          <t>9780385471213</t>
        </is>
      </c>
      <c r="BE493" t="inlineStr">
        <is>
          <t>32285001879716</t>
        </is>
      </c>
      <c r="BF493" t="inlineStr">
        <is>
          <t>893244858</t>
        </is>
      </c>
    </row>
    <row r="494">
      <c r="B494" t="inlineStr">
        <is>
          <t>CURAL</t>
        </is>
      </c>
      <c r="C494" t="inlineStr">
        <is>
          <t>SHELVES</t>
        </is>
      </c>
      <c r="D494" t="inlineStr">
        <is>
          <t>QP406 .R67 1988</t>
        </is>
      </c>
      <c r="E494" t="inlineStr">
        <is>
          <t>0                      QP 0406000R  67          1988</t>
        </is>
      </c>
      <c r="F494" t="inlineStr">
        <is>
          <t>The invention of memory : a new view of the brain / Israel Rosenfield.</t>
        </is>
      </c>
      <c r="H494" t="inlineStr">
        <is>
          <t>No</t>
        </is>
      </c>
      <c r="I494" t="inlineStr">
        <is>
          <t>1</t>
        </is>
      </c>
      <c r="J494" t="inlineStr">
        <is>
          <t>No</t>
        </is>
      </c>
      <c r="K494" t="inlineStr">
        <is>
          <t>No</t>
        </is>
      </c>
      <c r="L494" t="inlineStr">
        <is>
          <t>0</t>
        </is>
      </c>
      <c r="M494" t="inlineStr">
        <is>
          <t>Rosenfield, Israel, 1939-</t>
        </is>
      </c>
      <c r="N494" t="inlineStr">
        <is>
          <t>New York : Basic Books, c1988.</t>
        </is>
      </c>
      <c r="O494" t="inlineStr">
        <is>
          <t>1988</t>
        </is>
      </c>
      <c r="Q494" t="inlineStr">
        <is>
          <t>eng</t>
        </is>
      </c>
      <c r="R494" t="inlineStr">
        <is>
          <t>nyu</t>
        </is>
      </c>
      <c r="T494" t="inlineStr">
        <is>
          <t xml:space="preserve">QP </t>
        </is>
      </c>
      <c r="U494" t="n">
        <v>3</v>
      </c>
      <c r="V494" t="n">
        <v>3</v>
      </c>
      <c r="W494" t="inlineStr">
        <is>
          <t>1993-02-22</t>
        </is>
      </c>
      <c r="X494" t="inlineStr">
        <is>
          <t>1993-02-22</t>
        </is>
      </c>
      <c r="Y494" t="inlineStr">
        <is>
          <t>1991-03-08</t>
        </is>
      </c>
      <c r="Z494" t="inlineStr">
        <is>
          <t>1991-03-08</t>
        </is>
      </c>
      <c r="AA494" t="n">
        <v>833</v>
      </c>
      <c r="AB494" t="n">
        <v>730</v>
      </c>
      <c r="AC494" t="n">
        <v>757</v>
      </c>
      <c r="AD494" t="n">
        <v>4</v>
      </c>
      <c r="AE494" t="n">
        <v>4</v>
      </c>
      <c r="AF494" t="n">
        <v>25</v>
      </c>
      <c r="AG494" t="n">
        <v>25</v>
      </c>
      <c r="AH494" t="n">
        <v>9</v>
      </c>
      <c r="AI494" t="n">
        <v>9</v>
      </c>
      <c r="AJ494" t="n">
        <v>7</v>
      </c>
      <c r="AK494" t="n">
        <v>7</v>
      </c>
      <c r="AL494" t="n">
        <v>13</v>
      </c>
      <c r="AM494" t="n">
        <v>13</v>
      </c>
      <c r="AN494" t="n">
        <v>3</v>
      </c>
      <c r="AO494" t="n">
        <v>3</v>
      </c>
      <c r="AP494" t="n">
        <v>0</v>
      </c>
      <c r="AQ494" t="n">
        <v>0</v>
      </c>
      <c r="AR494" t="inlineStr">
        <is>
          <t>No</t>
        </is>
      </c>
      <c r="AS494" t="inlineStr">
        <is>
          <t>Yes</t>
        </is>
      </c>
      <c r="AT494">
        <f>HYPERLINK("http://catalog.hathitrust.org/Record/000903450","HathiTrust Record")</f>
        <v/>
      </c>
      <c r="AU494">
        <f>HYPERLINK("https://creighton-primo.hosted.exlibrisgroup.com/primo-explore/search?tab=default_tab&amp;search_scope=EVERYTHING&amp;vid=01CRU&amp;lang=en_US&amp;offset=0&amp;query=any,contains,991001189589702656","Catalog Record")</f>
        <v/>
      </c>
      <c r="AV494">
        <f>HYPERLINK("http://www.worldcat.org/oclc/17234329","WorldCat Record")</f>
        <v/>
      </c>
      <c r="AW494" t="inlineStr">
        <is>
          <t>15982812:eng</t>
        </is>
      </c>
      <c r="AX494" t="inlineStr">
        <is>
          <t>17234329</t>
        </is>
      </c>
      <c r="AY494" t="inlineStr">
        <is>
          <t>991001189589702656</t>
        </is>
      </c>
      <c r="AZ494" t="inlineStr">
        <is>
          <t>991001189589702656</t>
        </is>
      </c>
      <c r="BA494" t="inlineStr">
        <is>
          <t>2271867040002656</t>
        </is>
      </c>
      <c r="BB494" t="inlineStr">
        <is>
          <t>BOOK</t>
        </is>
      </c>
      <c r="BD494" t="inlineStr">
        <is>
          <t>9780465035922</t>
        </is>
      </c>
      <c r="BE494" t="inlineStr">
        <is>
          <t>32285000493790</t>
        </is>
      </c>
      <c r="BF494" t="inlineStr">
        <is>
          <t>893872360</t>
        </is>
      </c>
    </row>
    <row r="495">
      <c r="B495" t="inlineStr">
        <is>
          <t>CURAL</t>
        </is>
      </c>
      <c r="C495" t="inlineStr">
        <is>
          <t>SHELVES</t>
        </is>
      </c>
      <c r="D495" t="inlineStr">
        <is>
          <t>QP406 .S663 1999</t>
        </is>
      </c>
      <c r="E495" t="inlineStr">
        <is>
          <t>0                      QP 0406000S  663         1999</t>
        </is>
      </c>
      <c r="F495" t="inlineStr">
        <is>
          <t>Memory : from mind to molecules / Larry R. Squire, Eric R. Kandel.</t>
        </is>
      </c>
      <c r="H495" t="inlineStr">
        <is>
          <t>No</t>
        </is>
      </c>
      <c r="I495" t="inlineStr">
        <is>
          <t>1</t>
        </is>
      </c>
      <c r="J495" t="inlineStr">
        <is>
          <t>No</t>
        </is>
      </c>
      <c r="K495" t="inlineStr">
        <is>
          <t>No</t>
        </is>
      </c>
      <c r="L495" t="inlineStr">
        <is>
          <t>0</t>
        </is>
      </c>
      <c r="M495" t="inlineStr">
        <is>
          <t>Squire, Larry R.</t>
        </is>
      </c>
      <c r="N495" t="inlineStr">
        <is>
          <t>New York : Scientific American Library : Distributed by W.H. Freeman and Co., 1999.</t>
        </is>
      </c>
      <c r="O495" t="inlineStr">
        <is>
          <t>1999</t>
        </is>
      </c>
      <c r="Q495" t="inlineStr">
        <is>
          <t>eng</t>
        </is>
      </c>
      <c r="R495" t="inlineStr">
        <is>
          <t>nyu</t>
        </is>
      </c>
      <c r="S495" t="inlineStr">
        <is>
          <t>Scientific American Library series, 1040-3213 ; no. 69</t>
        </is>
      </c>
      <c r="T495" t="inlineStr">
        <is>
          <t xml:space="preserve">QP </t>
        </is>
      </c>
      <c r="U495" t="n">
        <v>9</v>
      </c>
      <c r="V495" t="n">
        <v>9</v>
      </c>
      <c r="W495" t="inlineStr">
        <is>
          <t>2008-04-01</t>
        </is>
      </c>
      <c r="X495" t="inlineStr">
        <is>
          <t>2008-04-01</t>
        </is>
      </c>
      <c r="Y495" t="inlineStr">
        <is>
          <t>2000-07-18</t>
        </is>
      </c>
      <c r="Z495" t="inlineStr">
        <is>
          <t>2000-07-18</t>
        </is>
      </c>
      <c r="AA495" t="n">
        <v>827</v>
      </c>
      <c r="AB495" t="n">
        <v>692</v>
      </c>
      <c r="AC495" t="n">
        <v>807</v>
      </c>
      <c r="AD495" t="n">
        <v>6</v>
      </c>
      <c r="AE495" t="n">
        <v>6</v>
      </c>
      <c r="AF495" t="n">
        <v>36</v>
      </c>
      <c r="AG495" t="n">
        <v>36</v>
      </c>
      <c r="AH495" t="n">
        <v>17</v>
      </c>
      <c r="AI495" t="n">
        <v>17</v>
      </c>
      <c r="AJ495" t="n">
        <v>5</v>
      </c>
      <c r="AK495" t="n">
        <v>5</v>
      </c>
      <c r="AL495" t="n">
        <v>19</v>
      </c>
      <c r="AM495" t="n">
        <v>19</v>
      </c>
      <c r="AN495" t="n">
        <v>5</v>
      </c>
      <c r="AO495" t="n">
        <v>5</v>
      </c>
      <c r="AP495" t="n">
        <v>0</v>
      </c>
      <c r="AQ495" t="n">
        <v>0</v>
      </c>
      <c r="AR495" t="inlineStr">
        <is>
          <t>No</t>
        </is>
      </c>
      <c r="AS495" t="inlineStr">
        <is>
          <t>No</t>
        </is>
      </c>
      <c r="AU495">
        <f>HYPERLINK("https://creighton-primo.hosted.exlibrisgroup.com/primo-explore/search?tab=default_tab&amp;search_scope=EVERYTHING&amp;vid=01CRU&amp;lang=en_US&amp;offset=0&amp;query=any,contains,991003205939702656","Catalog Record")</f>
        <v/>
      </c>
      <c r="AV495">
        <f>HYPERLINK("http://www.worldcat.org/oclc/39839709","WorldCat Record")</f>
        <v/>
      </c>
      <c r="AW495" t="inlineStr">
        <is>
          <t>509519432:eng</t>
        </is>
      </c>
      <c r="AX495" t="inlineStr">
        <is>
          <t>39839709</t>
        </is>
      </c>
      <c r="AY495" t="inlineStr">
        <is>
          <t>991003205939702656</t>
        </is>
      </c>
      <c r="AZ495" t="inlineStr">
        <is>
          <t>991003205939702656</t>
        </is>
      </c>
      <c r="BA495" t="inlineStr">
        <is>
          <t>2265805900002656</t>
        </is>
      </c>
      <c r="BB495" t="inlineStr">
        <is>
          <t>BOOK</t>
        </is>
      </c>
      <c r="BD495" t="inlineStr">
        <is>
          <t>9780716750710</t>
        </is>
      </c>
      <c r="BE495" t="inlineStr">
        <is>
          <t>32285003740551</t>
        </is>
      </c>
      <c r="BF495" t="inlineStr">
        <is>
          <t>893711137</t>
        </is>
      </c>
    </row>
    <row r="496">
      <c r="B496" t="inlineStr">
        <is>
          <t>CURAL</t>
        </is>
      </c>
      <c r="C496" t="inlineStr">
        <is>
          <t>SHELVES</t>
        </is>
      </c>
      <c r="D496" t="inlineStr">
        <is>
          <t>QP408 .B7</t>
        </is>
      </c>
      <c r="E496" t="inlineStr">
        <is>
          <t>0                      QP 0408000B  7</t>
        </is>
      </c>
      <c r="F496" t="inlineStr">
        <is>
          <t>Brain and learning / edited by Timothy Teyler.</t>
        </is>
      </c>
      <c r="H496" t="inlineStr">
        <is>
          <t>No</t>
        </is>
      </c>
      <c r="I496" t="inlineStr">
        <is>
          <t>1</t>
        </is>
      </c>
      <c r="J496" t="inlineStr">
        <is>
          <t>No</t>
        </is>
      </c>
      <c r="K496" t="inlineStr">
        <is>
          <t>No</t>
        </is>
      </c>
      <c r="L496" t="inlineStr">
        <is>
          <t>0</t>
        </is>
      </c>
      <c r="N496" t="inlineStr">
        <is>
          <t>Stamford, Conn. : Greylock Publishers, c1978.</t>
        </is>
      </c>
      <c r="O496" t="inlineStr">
        <is>
          <t>1978</t>
        </is>
      </c>
      <c r="Q496" t="inlineStr">
        <is>
          <t>eng</t>
        </is>
      </c>
      <c r="R496" t="inlineStr">
        <is>
          <t>ctu</t>
        </is>
      </c>
      <c r="T496" t="inlineStr">
        <is>
          <t xml:space="preserve">QP </t>
        </is>
      </c>
      <c r="U496" t="n">
        <v>4</v>
      </c>
      <c r="V496" t="n">
        <v>4</v>
      </c>
      <c r="W496" t="inlineStr">
        <is>
          <t>2000-06-15</t>
        </is>
      </c>
      <c r="X496" t="inlineStr">
        <is>
          <t>2000-06-15</t>
        </is>
      </c>
      <c r="Y496" t="inlineStr">
        <is>
          <t>1993-03-03</t>
        </is>
      </c>
      <c r="Z496" t="inlineStr">
        <is>
          <t>1993-03-03</t>
        </is>
      </c>
      <c r="AA496" t="n">
        <v>255</v>
      </c>
      <c r="AB496" t="n">
        <v>211</v>
      </c>
      <c r="AC496" t="n">
        <v>222</v>
      </c>
      <c r="AD496" t="n">
        <v>3</v>
      </c>
      <c r="AE496" t="n">
        <v>3</v>
      </c>
      <c r="AF496" t="n">
        <v>9</v>
      </c>
      <c r="AG496" t="n">
        <v>9</v>
      </c>
      <c r="AH496" t="n">
        <v>1</v>
      </c>
      <c r="AI496" t="n">
        <v>1</v>
      </c>
      <c r="AJ496" t="n">
        <v>2</v>
      </c>
      <c r="AK496" t="n">
        <v>2</v>
      </c>
      <c r="AL496" t="n">
        <v>6</v>
      </c>
      <c r="AM496" t="n">
        <v>6</v>
      </c>
      <c r="AN496" t="n">
        <v>2</v>
      </c>
      <c r="AO496" t="n">
        <v>2</v>
      </c>
      <c r="AP496" t="n">
        <v>0</v>
      </c>
      <c r="AQ496" t="n">
        <v>0</v>
      </c>
      <c r="AR496" t="inlineStr">
        <is>
          <t>No</t>
        </is>
      </c>
      <c r="AS496" t="inlineStr">
        <is>
          <t>Yes</t>
        </is>
      </c>
      <c r="AT496">
        <f>HYPERLINK("http://catalog.hathitrust.org/Record/000177139","HathiTrust Record")</f>
        <v/>
      </c>
      <c r="AU496">
        <f>HYPERLINK("https://creighton-primo.hosted.exlibrisgroup.com/primo-explore/search?tab=default_tab&amp;search_scope=EVERYTHING&amp;vid=01CRU&amp;lang=en_US&amp;offset=0&amp;query=any,contains,991004569599702656","Catalog Record")</f>
        <v/>
      </c>
      <c r="AV496">
        <f>HYPERLINK("http://www.worldcat.org/oclc/4014883","WorldCat Record")</f>
        <v/>
      </c>
      <c r="AW496" t="inlineStr">
        <is>
          <t>355971238:eng</t>
        </is>
      </c>
      <c r="AX496" t="inlineStr">
        <is>
          <t>4014883</t>
        </is>
      </c>
      <c r="AY496" t="inlineStr">
        <is>
          <t>991004569599702656</t>
        </is>
      </c>
      <c r="AZ496" t="inlineStr">
        <is>
          <t>991004569599702656</t>
        </is>
      </c>
      <c r="BA496" t="inlineStr">
        <is>
          <t>2268171400002656</t>
        </is>
      </c>
      <c r="BB496" t="inlineStr">
        <is>
          <t>BOOK</t>
        </is>
      </c>
      <c r="BD496" t="inlineStr">
        <is>
          <t>9780892230082</t>
        </is>
      </c>
      <c r="BE496" t="inlineStr">
        <is>
          <t>32285001562189</t>
        </is>
      </c>
      <c r="BF496" t="inlineStr">
        <is>
          <t>893417780</t>
        </is>
      </c>
    </row>
    <row r="497">
      <c r="B497" t="inlineStr">
        <is>
          <t>CURAL</t>
        </is>
      </c>
      <c r="C497" t="inlineStr">
        <is>
          <t>SHELVES</t>
        </is>
      </c>
      <c r="D497" t="inlineStr">
        <is>
          <t>QP408 .H37 1983</t>
        </is>
      </c>
      <c r="E497" t="inlineStr">
        <is>
          <t>0                      QP 0408000H  37          1983</t>
        </is>
      </c>
      <c r="F497" t="inlineStr">
        <is>
          <t>Human brain and human learning / Leslie A. Hart ; illustrated by Jacques Ducas.</t>
        </is>
      </c>
      <c r="H497" t="inlineStr">
        <is>
          <t>No</t>
        </is>
      </c>
      <c r="I497" t="inlineStr">
        <is>
          <t>1</t>
        </is>
      </c>
      <c r="J497" t="inlineStr">
        <is>
          <t>No</t>
        </is>
      </c>
      <c r="K497" t="inlineStr">
        <is>
          <t>No</t>
        </is>
      </c>
      <c r="L497" t="inlineStr">
        <is>
          <t>0</t>
        </is>
      </c>
      <c r="M497" t="inlineStr">
        <is>
          <t>Hart, Leslie A.</t>
        </is>
      </c>
      <c r="N497" t="inlineStr">
        <is>
          <t>New York : Longman, c1983.</t>
        </is>
      </c>
      <c r="O497" t="inlineStr">
        <is>
          <t>1983</t>
        </is>
      </c>
      <c r="Q497" t="inlineStr">
        <is>
          <t>eng</t>
        </is>
      </c>
      <c r="R497" t="inlineStr">
        <is>
          <t>nyu</t>
        </is>
      </c>
      <c r="T497" t="inlineStr">
        <is>
          <t xml:space="preserve">QP </t>
        </is>
      </c>
      <c r="U497" t="n">
        <v>10</v>
      </c>
      <c r="V497" t="n">
        <v>10</v>
      </c>
      <c r="W497" t="inlineStr">
        <is>
          <t>2009-09-26</t>
        </is>
      </c>
      <c r="X497" t="inlineStr">
        <is>
          <t>2009-09-26</t>
        </is>
      </c>
      <c r="Y497" t="inlineStr">
        <is>
          <t>1992-01-27</t>
        </is>
      </c>
      <c r="Z497" t="inlineStr">
        <is>
          <t>1992-01-27</t>
        </is>
      </c>
      <c r="AA497" t="n">
        <v>578</v>
      </c>
      <c r="AB497" t="n">
        <v>496</v>
      </c>
      <c r="AC497" t="n">
        <v>621</v>
      </c>
      <c r="AD497" t="n">
        <v>5</v>
      </c>
      <c r="AE497" t="n">
        <v>5</v>
      </c>
      <c r="AF497" t="n">
        <v>23</v>
      </c>
      <c r="AG497" t="n">
        <v>25</v>
      </c>
      <c r="AH497" t="n">
        <v>10</v>
      </c>
      <c r="AI497" t="n">
        <v>11</v>
      </c>
      <c r="AJ497" t="n">
        <v>2</v>
      </c>
      <c r="AK497" t="n">
        <v>2</v>
      </c>
      <c r="AL497" t="n">
        <v>9</v>
      </c>
      <c r="AM497" t="n">
        <v>10</v>
      </c>
      <c r="AN497" t="n">
        <v>4</v>
      </c>
      <c r="AO497" t="n">
        <v>4</v>
      </c>
      <c r="AP497" t="n">
        <v>0</v>
      </c>
      <c r="AQ497" t="n">
        <v>0</v>
      </c>
      <c r="AR497" t="inlineStr">
        <is>
          <t>No</t>
        </is>
      </c>
      <c r="AS497" t="inlineStr">
        <is>
          <t>Yes</t>
        </is>
      </c>
      <c r="AT497">
        <f>HYPERLINK("http://catalog.hathitrust.org/Record/000197786","HathiTrust Record")</f>
        <v/>
      </c>
      <c r="AU497">
        <f>HYPERLINK("https://creighton-primo.hosted.exlibrisgroup.com/primo-explore/search?tab=default_tab&amp;search_scope=EVERYTHING&amp;vid=01CRU&amp;lang=en_US&amp;offset=0&amp;query=any,contains,991000026649702656","Catalog Record")</f>
        <v/>
      </c>
      <c r="AV497">
        <f>HYPERLINK("http://www.worldcat.org/oclc/8589391","WorldCat Record")</f>
        <v/>
      </c>
      <c r="AW497" t="inlineStr">
        <is>
          <t>17567410:eng</t>
        </is>
      </c>
      <c r="AX497" t="inlineStr">
        <is>
          <t>8589391</t>
        </is>
      </c>
      <c r="AY497" t="inlineStr">
        <is>
          <t>991000026649702656</t>
        </is>
      </c>
      <c r="AZ497" t="inlineStr">
        <is>
          <t>991000026649702656</t>
        </is>
      </c>
      <c r="BA497" t="inlineStr">
        <is>
          <t>2255096430002656</t>
        </is>
      </c>
      <c r="BB497" t="inlineStr">
        <is>
          <t>BOOK</t>
        </is>
      </c>
      <c r="BD497" t="inlineStr">
        <is>
          <t>9780582283794</t>
        </is>
      </c>
      <c r="BE497" t="inlineStr">
        <is>
          <t>32285000919778</t>
        </is>
      </c>
      <c r="BF497" t="inlineStr">
        <is>
          <t>893237004</t>
        </is>
      </c>
    </row>
    <row r="498">
      <c r="B498" t="inlineStr">
        <is>
          <t>CURAL</t>
        </is>
      </c>
      <c r="C498" t="inlineStr">
        <is>
          <t>SHELVES</t>
        </is>
      </c>
      <c r="D498" t="inlineStr">
        <is>
          <t>QP408 .L427 1990</t>
        </is>
      </c>
      <c r="E498" t="inlineStr">
        <is>
          <t>0                      QP 0408000L  427         1990</t>
        </is>
      </c>
      <c r="F498" t="inlineStr">
        <is>
          <t>Learning and computational neuroscience : foundations of adaptive networks / edited by Michael Gabriel and John Moore.</t>
        </is>
      </c>
      <c r="H498" t="inlineStr">
        <is>
          <t>No</t>
        </is>
      </c>
      <c r="I498" t="inlineStr">
        <is>
          <t>1</t>
        </is>
      </c>
      <c r="J498" t="inlineStr">
        <is>
          <t>No</t>
        </is>
      </c>
      <c r="K498" t="inlineStr">
        <is>
          <t>No</t>
        </is>
      </c>
      <c r="L498" t="inlineStr">
        <is>
          <t>0</t>
        </is>
      </c>
      <c r="N498" t="inlineStr">
        <is>
          <t>Cambridge, Mass. ; London, England : MIT Press, c1990.</t>
        </is>
      </c>
      <c r="O498" t="inlineStr">
        <is>
          <t>1990</t>
        </is>
      </c>
      <c r="Q498" t="inlineStr">
        <is>
          <t>eng</t>
        </is>
      </c>
      <c r="R498" t="inlineStr">
        <is>
          <t>mau</t>
        </is>
      </c>
      <c r="T498" t="inlineStr">
        <is>
          <t xml:space="preserve">QP </t>
        </is>
      </c>
      <c r="U498" t="n">
        <v>3</v>
      </c>
      <c r="V498" t="n">
        <v>3</v>
      </c>
      <c r="W498" t="inlineStr">
        <is>
          <t>1994-03-10</t>
        </is>
      </c>
      <c r="X498" t="inlineStr">
        <is>
          <t>1994-03-10</t>
        </is>
      </c>
      <c r="Y498" t="inlineStr">
        <is>
          <t>1991-04-09</t>
        </is>
      </c>
      <c r="Z498" t="inlineStr">
        <is>
          <t>1991-04-09</t>
        </is>
      </c>
      <c r="AA498" t="n">
        <v>293</v>
      </c>
      <c r="AB498" t="n">
        <v>205</v>
      </c>
      <c r="AC498" t="n">
        <v>210</v>
      </c>
      <c r="AD498" t="n">
        <v>3</v>
      </c>
      <c r="AE498" t="n">
        <v>3</v>
      </c>
      <c r="AF498" t="n">
        <v>12</v>
      </c>
      <c r="AG498" t="n">
        <v>12</v>
      </c>
      <c r="AH498" t="n">
        <v>2</v>
      </c>
      <c r="AI498" t="n">
        <v>2</v>
      </c>
      <c r="AJ498" t="n">
        <v>4</v>
      </c>
      <c r="AK498" t="n">
        <v>4</v>
      </c>
      <c r="AL498" t="n">
        <v>8</v>
      </c>
      <c r="AM498" t="n">
        <v>8</v>
      </c>
      <c r="AN498" t="n">
        <v>2</v>
      </c>
      <c r="AO498" t="n">
        <v>2</v>
      </c>
      <c r="AP498" t="n">
        <v>0</v>
      </c>
      <c r="AQ498" t="n">
        <v>0</v>
      </c>
      <c r="AR498" t="inlineStr">
        <is>
          <t>No</t>
        </is>
      </c>
      <c r="AS498" t="inlineStr">
        <is>
          <t>No</t>
        </is>
      </c>
      <c r="AU498">
        <f>HYPERLINK("https://creighton-primo.hosted.exlibrisgroup.com/primo-explore/search?tab=default_tab&amp;search_scope=EVERYTHING&amp;vid=01CRU&amp;lang=en_US&amp;offset=0&amp;query=any,contains,991001699129702656","Catalog Record")</f>
        <v/>
      </c>
      <c r="AV498">
        <f>HYPERLINK("http://www.worldcat.org/oclc/21520873","WorldCat Record")</f>
        <v/>
      </c>
      <c r="AW498" t="inlineStr">
        <is>
          <t>836903180:eng</t>
        </is>
      </c>
      <c r="AX498" t="inlineStr">
        <is>
          <t>21520873</t>
        </is>
      </c>
      <c r="AY498" t="inlineStr">
        <is>
          <t>991001699129702656</t>
        </is>
      </c>
      <c r="AZ498" t="inlineStr">
        <is>
          <t>991001699129702656</t>
        </is>
      </c>
      <c r="BA498" t="inlineStr">
        <is>
          <t>2257367960002656</t>
        </is>
      </c>
      <c r="BB498" t="inlineStr">
        <is>
          <t>BOOK</t>
        </is>
      </c>
      <c r="BD498" t="inlineStr">
        <is>
          <t>9780262071024</t>
        </is>
      </c>
      <c r="BE498" t="inlineStr">
        <is>
          <t>32285000566314</t>
        </is>
      </c>
      <c r="BF498" t="inlineStr">
        <is>
          <t>893250410</t>
        </is>
      </c>
    </row>
    <row r="499">
      <c r="B499" t="inlineStr">
        <is>
          <t>CURAL</t>
        </is>
      </c>
      <c r="C499" t="inlineStr">
        <is>
          <t>SHELVES</t>
        </is>
      </c>
      <c r="D499" t="inlineStr">
        <is>
          <t>QP408 .L435 1992</t>
        </is>
      </c>
      <c r="E499" t="inlineStr">
        <is>
          <t>0                      QP 0408000L  435         1992</t>
        </is>
      </c>
      <c r="F499" t="inlineStr">
        <is>
          <t>Learning and memory : the behavioral and biological substrates / edited by Isidore Gormezano, Edward A. Wasserman.</t>
        </is>
      </c>
      <c r="H499" t="inlineStr">
        <is>
          <t>No</t>
        </is>
      </c>
      <c r="I499" t="inlineStr">
        <is>
          <t>1</t>
        </is>
      </c>
      <c r="J499" t="inlineStr">
        <is>
          <t>No</t>
        </is>
      </c>
      <c r="K499" t="inlineStr">
        <is>
          <t>No</t>
        </is>
      </c>
      <c r="L499" t="inlineStr">
        <is>
          <t>0</t>
        </is>
      </c>
      <c r="N499" t="inlineStr">
        <is>
          <t>Hillsdale, N.J. : L. Erlbaum Associates, 1992.</t>
        </is>
      </c>
      <c r="O499" t="inlineStr">
        <is>
          <t>1992</t>
        </is>
      </c>
      <c r="Q499" t="inlineStr">
        <is>
          <t>eng</t>
        </is>
      </c>
      <c r="R499" t="inlineStr">
        <is>
          <t>nju</t>
        </is>
      </c>
      <c r="T499" t="inlineStr">
        <is>
          <t xml:space="preserve">QP </t>
        </is>
      </c>
      <c r="U499" t="n">
        <v>4</v>
      </c>
      <c r="V499" t="n">
        <v>4</v>
      </c>
      <c r="W499" t="inlineStr">
        <is>
          <t>1997-11-20</t>
        </is>
      </c>
      <c r="X499" t="inlineStr">
        <is>
          <t>1997-11-20</t>
        </is>
      </c>
      <c r="Y499" t="inlineStr">
        <is>
          <t>1992-10-07</t>
        </is>
      </c>
      <c r="Z499" t="inlineStr">
        <is>
          <t>1992-10-07</t>
        </is>
      </c>
      <c r="AA499" t="n">
        <v>264</v>
      </c>
      <c r="AB499" t="n">
        <v>217</v>
      </c>
      <c r="AC499" t="n">
        <v>250</v>
      </c>
      <c r="AD499" t="n">
        <v>2</v>
      </c>
      <c r="AE499" t="n">
        <v>2</v>
      </c>
      <c r="AF499" t="n">
        <v>12</v>
      </c>
      <c r="AG499" t="n">
        <v>12</v>
      </c>
      <c r="AH499" t="n">
        <v>4</v>
      </c>
      <c r="AI499" t="n">
        <v>4</v>
      </c>
      <c r="AJ499" t="n">
        <v>4</v>
      </c>
      <c r="AK499" t="n">
        <v>4</v>
      </c>
      <c r="AL499" t="n">
        <v>10</v>
      </c>
      <c r="AM499" t="n">
        <v>10</v>
      </c>
      <c r="AN499" t="n">
        <v>1</v>
      </c>
      <c r="AO499" t="n">
        <v>1</v>
      </c>
      <c r="AP499" t="n">
        <v>0</v>
      </c>
      <c r="AQ499" t="n">
        <v>0</v>
      </c>
      <c r="AR499" t="inlineStr">
        <is>
          <t>No</t>
        </is>
      </c>
      <c r="AS499" t="inlineStr">
        <is>
          <t>No</t>
        </is>
      </c>
      <c r="AU499">
        <f>HYPERLINK("https://creighton-primo.hosted.exlibrisgroup.com/primo-explore/search?tab=default_tab&amp;search_scope=EVERYTHING&amp;vid=01CRU&amp;lang=en_US&amp;offset=0&amp;query=any,contains,991001975619702656","Catalog Record")</f>
        <v/>
      </c>
      <c r="AV499">
        <f>HYPERLINK("http://www.worldcat.org/oclc/25049422","WorldCat Record")</f>
        <v/>
      </c>
      <c r="AW499" t="inlineStr">
        <is>
          <t>865278830:eng</t>
        </is>
      </c>
      <c r="AX499" t="inlineStr">
        <is>
          <t>25049422</t>
        </is>
      </c>
      <c r="AY499" t="inlineStr">
        <is>
          <t>991001975619702656</t>
        </is>
      </c>
      <c r="AZ499" t="inlineStr">
        <is>
          <t>991001975619702656</t>
        </is>
      </c>
      <c r="BA499" t="inlineStr">
        <is>
          <t>2264229860002656</t>
        </is>
      </c>
      <c r="BB499" t="inlineStr">
        <is>
          <t>BOOK</t>
        </is>
      </c>
      <c r="BD499" t="inlineStr">
        <is>
          <t>9780805808889</t>
        </is>
      </c>
      <c r="BE499" t="inlineStr">
        <is>
          <t>32285001315596</t>
        </is>
      </c>
      <c r="BF499" t="inlineStr">
        <is>
          <t>893408541</t>
        </is>
      </c>
    </row>
    <row r="500">
      <c r="B500" t="inlineStr">
        <is>
          <t>CURAL</t>
        </is>
      </c>
      <c r="C500" t="inlineStr">
        <is>
          <t>SHELVES</t>
        </is>
      </c>
      <c r="D500" t="inlineStr">
        <is>
          <t>QP408 .N49 1984</t>
        </is>
      </c>
      <c r="E500" t="inlineStr">
        <is>
          <t>0                      QP 0408000N  49          1984</t>
        </is>
      </c>
      <c r="F500" t="inlineStr">
        <is>
          <t>Neurobiology of learning and memory / edited by Gary Lynch, James L. McGaugh, Norman M. Weinberger.</t>
        </is>
      </c>
      <c r="H500" t="inlineStr">
        <is>
          <t>No</t>
        </is>
      </c>
      <c r="I500" t="inlineStr">
        <is>
          <t>1</t>
        </is>
      </c>
      <c r="J500" t="inlineStr">
        <is>
          <t>No</t>
        </is>
      </c>
      <c r="K500" t="inlineStr">
        <is>
          <t>No</t>
        </is>
      </c>
      <c r="L500" t="inlineStr">
        <is>
          <t>0</t>
        </is>
      </c>
      <c r="N500" t="inlineStr">
        <is>
          <t>New York : Guilford Press, c1984.</t>
        </is>
      </c>
      <c r="O500" t="inlineStr">
        <is>
          <t>1984</t>
        </is>
      </c>
      <c r="Q500" t="inlineStr">
        <is>
          <t>eng</t>
        </is>
      </c>
      <c r="R500" t="inlineStr">
        <is>
          <t>nyu</t>
        </is>
      </c>
      <c r="T500" t="inlineStr">
        <is>
          <t xml:space="preserve">QP </t>
        </is>
      </c>
      <c r="U500" t="n">
        <v>1</v>
      </c>
      <c r="V500" t="n">
        <v>1</v>
      </c>
      <c r="W500" t="inlineStr">
        <is>
          <t>2009-06-03</t>
        </is>
      </c>
      <c r="X500" t="inlineStr">
        <is>
          <t>2009-06-03</t>
        </is>
      </c>
      <c r="Y500" t="inlineStr">
        <is>
          <t>1993-03-03</t>
        </is>
      </c>
      <c r="Z500" t="inlineStr">
        <is>
          <t>1993-03-03</t>
        </is>
      </c>
      <c r="AA500" t="n">
        <v>395</v>
      </c>
      <c r="AB500" t="n">
        <v>317</v>
      </c>
      <c r="AC500" t="n">
        <v>335</v>
      </c>
      <c r="AD500" t="n">
        <v>1</v>
      </c>
      <c r="AE500" t="n">
        <v>1</v>
      </c>
      <c r="AF500" t="n">
        <v>8</v>
      </c>
      <c r="AG500" t="n">
        <v>8</v>
      </c>
      <c r="AH500" t="n">
        <v>0</v>
      </c>
      <c r="AI500" t="n">
        <v>0</v>
      </c>
      <c r="AJ500" t="n">
        <v>2</v>
      </c>
      <c r="AK500" t="n">
        <v>2</v>
      </c>
      <c r="AL500" t="n">
        <v>8</v>
      </c>
      <c r="AM500" t="n">
        <v>8</v>
      </c>
      <c r="AN500" t="n">
        <v>0</v>
      </c>
      <c r="AO500" t="n">
        <v>0</v>
      </c>
      <c r="AP500" t="n">
        <v>0</v>
      </c>
      <c r="AQ500" t="n">
        <v>0</v>
      </c>
      <c r="AR500" t="inlineStr">
        <is>
          <t>No</t>
        </is>
      </c>
      <c r="AS500" t="inlineStr">
        <is>
          <t>Yes</t>
        </is>
      </c>
      <c r="AT500">
        <f>HYPERLINK("http://catalog.hathitrust.org/Record/000328797","HathiTrust Record")</f>
        <v/>
      </c>
      <c r="AU500">
        <f>HYPERLINK("https://creighton-primo.hosted.exlibrisgroup.com/primo-explore/search?tab=default_tab&amp;search_scope=EVERYTHING&amp;vid=01CRU&amp;lang=en_US&amp;offset=0&amp;query=any,contains,991000497899702656","Catalog Record")</f>
        <v/>
      </c>
      <c r="AV500">
        <f>HYPERLINK("http://www.worldcat.org/oclc/11158704","WorldCat Record")</f>
        <v/>
      </c>
      <c r="AW500" t="inlineStr">
        <is>
          <t>350163909:eng</t>
        </is>
      </c>
      <c r="AX500" t="inlineStr">
        <is>
          <t>11158704</t>
        </is>
      </c>
      <c r="AY500" t="inlineStr">
        <is>
          <t>991000497899702656</t>
        </is>
      </c>
      <c r="AZ500" t="inlineStr">
        <is>
          <t>991000497899702656</t>
        </is>
      </c>
      <c r="BA500" t="inlineStr">
        <is>
          <t>2255309140002656</t>
        </is>
      </c>
      <c r="BB500" t="inlineStr">
        <is>
          <t>BOOK</t>
        </is>
      </c>
      <c r="BD500" t="inlineStr">
        <is>
          <t>9780898626452</t>
        </is>
      </c>
      <c r="BE500" t="inlineStr">
        <is>
          <t>32285001562205</t>
        </is>
      </c>
      <c r="BF500" t="inlineStr">
        <is>
          <t>893237369</t>
        </is>
      </c>
    </row>
    <row r="501">
      <c r="B501" t="inlineStr">
        <is>
          <t>CURAL</t>
        </is>
      </c>
      <c r="C501" t="inlineStr">
        <is>
          <t>SHELVES</t>
        </is>
      </c>
      <c r="D501" t="inlineStr">
        <is>
          <t>QP408 .P53 1995</t>
        </is>
      </c>
      <c r="E501" t="inlineStr">
        <is>
          <t>0                      QP 0408000P  53          1995</t>
        </is>
      </c>
      <c r="F501" t="inlineStr">
        <is>
          <t>Plasticity in the central nervous system : learning and memory / edited by James L. McGaugh, Federico Bermúdez-Rattoni, Roberto A. Prado-Alcalá.</t>
        </is>
      </c>
      <c r="H501" t="inlineStr">
        <is>
          <t>No</t>
        </is>
      </c>
      <c r="I501" t="inlineStr">
        <is>
          <t>1</t>
        </is>
      </c>
      <c r="J501" t="inlineStr">
        <is>
          <t>No</t>
        </is>
      </c>
      <c r="K501" t="inlineStr">
        <is>
          <t>No</t>
        </is>
      </c>
      <c r="L501" t="inlineStr">
        <is>
          <t>0</t>
        </is>
      </c>
      <c r="N501" t="inlineStr">
        <is>
          <t>Mahwah, N.J. : L. Erlbaum Associates, 1995.</t>
        </is>
      </c>
      <c r="O501" t="inlineStr">
        <is>
          <t>1995</t>
        </is>
      </c>
      <c r="Q501" t="inlineStr">
        <is>
          <t>eng</t>
        </is>
      </c>
      <c r="R501" t="inlineStr">
        <is>
          <t>nju</t>
        </is>
      </c>
      <c r="T501" t="inlineStr">
        <is>
          <t xml:space="preserve">QP </t>
        </is>
      </c>
      <c r="U501" t="n">
        <v>11</v>
      </c>
      <c r="V501" t="n">
        <v>11</v>
      </c>
      <c r="W501" t="inlineStr">
        <is>
          <t>2009-06-03</t>
        </is>
      </c>
      <c r="X501" t="inlineStr">
        <is>
          <t>2009-06-03</t>
        </is>
      </c>
      <c r="Y501" t="inlineStr">
        <is>
          <t>1996-12-12</t>
        </is>
      </c>
      <c r="Z501" t="inlineStr">
        <is>
          <t>1996-12-12</t>
        </is>
      </c>
      <c r="AA501" t="n">
        <v>242</v>
      </c>
      <c r="AB501" t="n">
        <v>186</v>
      </c>
      <c r="AC501" t="n">
        <v>212</v>
      </c>
      <c r="AD501" t="n">
        <v>2</v>
      </c>
      <c r="AE501" t="n">
        <v>2</v>
      </c>
      <c r="AF501" t="n">
        <v>11</v>
      </c>
      <c r="AG501" t="n">
        <v>11</v>
      </c>
      <c r="AH501" t="n">
        <v>3</v>
      </c>
      <c r="AI501" t="n">
        <v>3</v>
      </c>
      <c r="AJ501" t="n">
        <v>5</v>
      </c>
      <c r="AK501" t="n">
        <v>5</v>
      </c>
      <c r="AL501" t="n">
        <v>6</v>
      </c>
      <c r="AM501" t="n">
        <v>6</v>
      </c>
      <c r="AN501" t="n">
        <v>1</v>
      </c>
      <c r="AO501" t="n">
        <v>1</v>
      </c>
      <c r="AP501" t="n">
        <v>0</v>
      </c>
      <c r="AQ501" t="n">
        <v>0</v>
      </c>
      <c r="AR501" t="inlineStr">
        <is>
          <t>No</t>
        </is>
      </c>
      <c r="AS501" t="inlineStr">
        <is>
          <t>No</t>
        </is>
      </c>
      <c r="AU501">
        <f>HYPERLINK("https://creighton-primo.hosted.exlibrisgroup.com/primo-explore/search?tab=default_tab&amp;search_scope=EVERYTHING&amp;vid=01CRU&amp;lang=en_US&amp;offset=0&amp;query=any,contains,991002536559702656","Catalog Record")</f>
        <v/>
      </c>
      <c r="AV501">
        <f>HYPERLINK("http://www.worldcat.org/oclc/32969385","WorldCat Record")</f>
        <v/>
      </c>
      <c r="AW501" t="inlineStr">
        <is>
          <t>37526677:eng</t>
        </is>
      </c>
      <c r="AX501" t="inlineStr">
        <is>
          <t>32969385</t>
        </is>
      </c>
      <c r="AY501" t="inlineStr">
        <is>
          <t>991002536559702656</t>
        </is>
      </c>
      <c r="AZ501" t="inlineStr">
        <is>
          <t>991002536559702656</t>
        </is>
      </c>
      <c r="BA501" t="inlineStr">
        <is>
          <t>2265842750002656</t>
        </is>
      </c>
      <c r="BB501" t="inlineStr">
        <is>
          <t>BOOK</t>
        </is>
      </c>
      <c r="BD501" t="inlineStr">
        <is>
          <t>9780805815733</t>
        </is>
      </c>
      <c r="BE501" t="inlineStr">
        <is>
          <t>32285002393071</t>
        </is>
      </c>
      <c r="BF501" t="inlineStr">
        <is>
          <t>893341559</t>
        </is>
      </c>
    </row>
    <row r="502">
      <c r="B502" t="inlineStr">
        <is>
          <t>CURAL</t>
        </is>
      </c>
      <c r="C502" t="inlineStr">
        <is>
          <t>SHELVES</t>
        </is>
      </c>
      <c r="D502" t="inlineStr">
        <is>
          <t>QP408 .W64 2007</t>
        </is>
      </c>
      <c r="E502" t="inlineStr">
        <is>
          <t>0                      QP 0408000W  64          2007</t>
        </is>
      </c>
      <c r="F502" t="inlineStr">
        <is>
          <t>Proust and the squid : the story and science of the reading brain / Maryanne Wolf ; illustrations by Catherine Stoodley.</t>
        </is>
      </c>
      <c r="H502" t="inlineStr">
        <is>
          <t>No</t>
        </is>
      </c>
      <c r="I502" t="inlineStr">
        <is>
          <t>1</t>
        </is>
      </c>
      <c r="J502" t="inlineStr">
        <is>
          <t>No</t>
        </is>
      </c>
      <c r="K502" t="inlineStr">
        <is>
          <t>No</t>
        </is>
      </c>
      <c r="L502" t="inlineStr">
        <is>
          <t>0</t>
        </is>
      </c>
      <c r="M502" t="inlineStr">
        <is>
          <t>Wolf, Maryanne.</t>
        </is>
      </c>
      <c r="N502" t="inlineStr">
        <is>
          <t>New York, NY : Harper, c2007.</t>
        </is>
      </c>
      <c r="O502" t="inlineStr">
        <is>
          <t>2007</t>
        </is>
      </c>
      <c r="P502" t="inlineStr">
        <is>
          <t>1st ed.</t>
        </is>
      </c>
      <c r="Q502" t="inlineStr">
        <is>
          <t>eng</t>
        </is>
      </c>
      <c r="R502" t="inlineStr">
        <is>
          <t>nyu</t>
        </is>
      </c>
      <c r="T502" t="inlineStr">
        <is>
          <t xml:space="preserve">QP </t>
        </is>
      </c>
      <c r="U502" t="n">
        <v>3</v>
      </c>
      <c r="V502" t="n">
        <v>3</v>
      </c>
      <c r="W502" t="inlineStr">
        <is>
          <t>2010-07-08</t>
        </is>
      </c>
      <c r="X502" t="inlineStr">
        <is>
          <t>2010-07-08</t>
        </is>
      </c>
      <c r="Y502" t="inlineStr">
        <is>
          <t>2007-11-13</t>
        </is>
      </c>
      <c r="Z502" t="inlineStr">
        <is>
          <t>2007-11-13</t>
        </is>
      </c>
      <c r="AA502" t="n">
        <v>1332</v>
      </c>
      <c r="AB502" t="n">
        <v>1214</v>
      </c>
      <c r="AC502" t="n">
        <v>1518</v>
      </c>
      <c r="AD502" t="n">
        <v>6</v>
      </c>
      <c r="AE502" t="n">
        <v>12</v>
      </c>
      <c r="AF502" t="n">
        <v>34</v>
      </c>
      <c r="AG502" t="n">
        <v>43</v>
      </c>
      <c r="AH502" t="n">
        <v>11</v>
      </c>
      <c r="AI502" t="n">
        <v>14</v>
      </c>
      <c r="AJ502" t="n">
        <v>7</v>
      </c>
      <c r="AK502" t="n">
        <v>7</v>
      </c>
      <c r="AL502" t="n">
        <v>16</v>
      </c>
      <c r="AM502" t="n">
        <v>18</v>
      </c>
      <c r="AN502" t="n">
        <v>3</v>
      </c>
      <c r="AO502" t="n">
        <v>7</v>
      </c>
      <c r="AP502" t="n">
        <v>2</v>
      </c>
      <c r="AQ502" t="n">
        <v>2</v>
      </c>
      <c r="AR502" t="inlineStr">
        <is>
          <t>No</t>
        </is>
      </c>
      <c r="AS502" t="inlineStr">
        <is>
          <t>No</t>
        </is>
      </c>
      <c r="AU502">
        <f>HYPERLINK("https://creighton-primo.hosted.exlibrisgroup.com/primo-explore/search?tab=default_tab&amp;search_scope=EVERYTHING&amp;vid=01CRU&amp;lang=en_US&amp;offset=0&amp;query=any,contains,991005143489702656","Catalog Record")</f>
        <v/>
      </c>
      <c r="AV502">
        <f>HYPERLINK("http://www.worldcat.org/oclc/148887403","WorldCat Record")</f>
        <v/>
      </c>
      <c r="AW502" t="inlineStr">
        <is>
          <t>407674483:eng</t>
        </is>
      </c>
      <c r="AX502" t="inlineStr">
        <is>
          <t>148887403</t>
        </is>
      </c>
      <c r="AY502" t="inlineStr">
        <is>
          <t>991005143489702656</t>
        </is>
      </c>
      <c r="AZ502" t="inlineStr">
        <is>
          <t>991005143489702656</t>
        </is>
      </c>
      <c r="BA502" t="inlineStr">
        <is>
          <t>2264275510002656</t>
        </is>
      </c>
      <c r="BB502" t="inlineStr">
        <is>
          <t>BOOK</t>
        </is>
      </c>
      <c r="BD502" t="inlineStr">
        <is>
          <t>9780060186395</t>
        </is>
      </c>
      <c r="BE502" t="inlineStr">
        <is>
          <t>32285005366785</t>
        </is>
      </c>
      <c r="BF502" t="inlineStr">
        <is>
          <t>893514117</t>
        </is>
      </c>
    </row>
    <row r="503">
      <c r="B503" t="inlineStr">
        <is>
          <t>CURAL</t>
        </is>
      </c>
      <c r="C503" t="inlineStr">
        <is>
          <t>SHELVES</t>
        </is>
      </c>
      <c r="D503" t="inlineStr">
        <is>
          <t>QP411 .E34 1989</t>
        </is>
      </c>
      <c r="E503" t="inlineStr">
        <is>
          <t>0                      QP 0411000E  34          1989</t>
        </is>
      </c>
      <c r="F503" t="inlineStr">
        <is>
          <t>The remembered present : a biological theory of consciousness / Gerald M. Edelman.</t>
        </is>
      </c>
      <c r="H503" t="inlineStr">
        <is>
          <t>No</t>
        </is>
      </c>
      <c r="I503" t="inlineStr">
        <is>
          <t>1</t>
        </is>
      </c>
      <c r="J503" t="inlineStr">
        <is>
          <t>No</t>
        </is>
      </c>
      <c r="K503" t="inlineStr">
        <is>
          <t>No</t>
        </is>
      </c>
      <c r="L503" t="inlineStr">
        <is>
          <t>0</t>
        </is>
      </c>
      <c r="M503" t="inlineStr">
        <is>
          <t>Edelman, Gerald M.</t>
        </is>
      </c>
      <c r="N503" t="inlineStr">
        <is>
          <t>New York : Basic Books, c1989.</t>
        </is>
      </c>
      <c r="O503" t="inlineStr">
        <is>
          <t>1989</t>
        </is>
      </c>
      <c r="Q503" t="inlineStr">
        <is>
          <t>eng</t>
        </is>
      </c>
      <c r="R503" t="inlineStr">
        <is>
          <t>nyu</t>
        </is>
      </c>
      <c r="T503" t="inlineStr">
        <is>
          <t xml:space="preserve">QP </t>
        </is>
      </c>
      <c r="U503" t="n">
        <v>14</v>
      </c>
      <c r="V503" t="n">
        <v>14</v>
      </c>
      <c r="W503" t="inlineStr">
        <is>
          <t>2006-06-22</t>
        </is>
      </c>
      <c r="X503" t="inlineStr">
        <is>
          <t>2006-06-22</t>
        </is>
      </c>
      <c r="Y503" t="inlineStr">
        <is>
          <t>1996-04-24</t>
        </is>
      </c>
      <c r="Z503" t="inlineStr">
        <is>
          <t>1996-04-24</t>
        </is>
      </c>
      <c r="AA503" t="n">
        <v>554</v>
      </c>
      <c r="AB503" t="n">
        <v>444</v>
      </c>
      <c r="AC503" t="n">
        <v>451</v>
      </c>
      <c r="AD503" t="n">
        <v>3</v>
      </c>
      <c r="AE503" t="n">
        <v>3</v>
      </c>
      <c r="AF503" t="n">
        <v>23</v>
      </c>
      <c r="AG503" t="n">
        <v>23</v>
      </c>
      <c r="AH503" t="n">
        <v>7</v>
      </c>
      <c r="AI503" t="n">
        <v>7</v>
      </c>
      <c r="AJ503" t="n">
        <v>6</v>
      </c>
      <c r="AK503" t="n">
        <v>6</v>
      </c>
      <c r="AL503" t="n">
        <v>15</v>
      </c>
      <c r="AM503" t="n">
        <v>15</v>
      </c>
      <c r="AN503" t="n">
        <v>2</v>
      </c>
      <c r="AO503" t="n">
        <v>2</v>
      </c>
      <c r="AP503" t="n">
        <v>0</v>
      </c>
      <c r="AQ503" t="n">
        <v>0</v>
      </c>
      <c r="AR503" t="inlineStr">
        <is>
          <t>No</t>
        </is>
      </c>
      <c r="AS503" t="inlineStr">
        <is>
          <t>Yes</t>
        </is>
      </c>
      <c r="AT503">
        <f>HYPERLINK("http://catalog.hathitrust.org/Record/001841855","HathiTrust Record")</f>
        <v/>
      </c>
      <c r="AU503">
        <f>HYPERLINK("https://creighton-primo.hosted.exlibrisgroup.com/primo-explore/search?tab=default_tab&amp;search_scope=EVERYTHING&amp;vid=01CRU&amp;lang=en_US&amp;offset=0&amp;query=any,contains,991001540649702656","Catalog Record")</f>
        <v/>
      </c>
      <c r="AV503">
        <f>HYPERLINK("http://www.worldcat.org/oclc/20130117","WorldCat Record")</f>
        <v/>
      </c>
      <c r="AW503" t="inlineStr">
        <is>
          <t>866244331:eng</t>
        </is>
      </c>
      <c r="AX503" t="inlineStr">
        <is>
          <t>20130117</t>
        </is>
      </c>
      <c r="AY503" t="inlineStr">
        <is>
          <t>991001540649702656</t>
        </is>
      </c>
      <c r="AZ503" t="inlineStr">
        <is>
          <t>991001540649702656</t>
        </is>
      </c>
      <c r="BA503" t="inlineStr">
        <is>
          <t>2263658020002656</t>
        </is>
      </c>
      <c r="BB503" t="inlineStr">
        <is>
          <t>BOOK</t>
        </is>
      </c>
      <c r="BD503" t="inlineStr">
        <is>
          <t>9780465069101</t>
        </is>
      </c>
      <c r="BE503" t="inlineStr">
        <is>
          <t>32285002156932</t>
        </is>
      </c>
      <c r="BF503" t="inlineStr">
        <is>
          <t>893897848</t>
        </is>
      </c>
    </row>
    <row r="504">
      <c r="B504" t="inlineStr">
        <is>
          <t>CURAL</t>
        </is>
      </c>
      <c r="C504" t="inlineStr">
        <is>
          <t>SHELVES</t>
        </is>
      </c>
      <c r="D504" t="inlineStr">
        <is>
          <t>QP411 .F76 1998</t>
        </is>
      </c>
      <c r="E504" t="inlineStr">
        <is>
          <t>0                      QP 0411000F  76          1998</t>
        </is>
      </c>
      <c r="F504" t="inlineStr">
        <is>
          <t>From brains to consciousness? : essays on the new sciences of the mind / edited by Steven Rose.</t>
        </is>
      </c>
      <c r="H504" t="inlineStr">
        <is>
          <t>No</t>
        </is>
      </c>
      <c r="I504" t="inlineStr">
        <is>
          <t>1</t>
        </is>
      </c>
      <c r="J504" t="inlineStr">
        <is>
          <t>No</t>
        </is>
      </c>
      <c r="K504" t="inlineStr">
        <is>
          <t>No</t>
        </is>
      </c>
      <c r="L504" t="inlineStr">
        <is>
          <t>0</t>
        </is>
      </c>
      <c r="N504" t="inlineStr">
        <is>
          <t>Princeton, N.J. : Princeton University Press, 1998.</t>
        </is>
      </c>
      <c r="O504" t="inlineStr">
        <is>
          <t>1998</t>
        </is>
      </c>
      <c r="Q504" t="inlineStr">
        <is>
          <t>eng</t>
        </is>
      </c>
      <c r="R504" t="inlineStr">
        <is>
          <t>nju</t>
        </is>
      </c>
      <c r="T504" t="inlineStr">
        <is>
          <t xml:space="preserve">QP </t>
        </is>
      </c>
      <c r="U504" t="n">
        <v>2</v>
      </c>
      <c r="V504" t="n">
        <v>2</v>
      </c>
      <c r="W504" t="inlineStr">
        <is>
          <t>2007-11-13</t>
        </is>
      </c>
      <c r="X504" t="inlineStr">
        <is>
          <t>2007-11-13</t>
        </is>
      </c>
      <c r="Y504" t="inlineStr">
        <is>
          <t>1999-08-12</t>
        </is>
      </c>
      <c r="Z504" t="inlineStr">
        <is>
          <t>1999-08-12</t>
        </is>
      </c>
      <c r="AA504" t="n">
        <v>479</v>
      </c>
      <c r="AB504" t="n">
        <v>429</v>
      </c>
      <c r="AC504" t="n">
        <v>441</v>
      </c>
      <c r="AD504" t="n">
        <v>3</v>
      </c>
      <c r="AE504" t="n">
        <v>3</v>
      </c>
      <c r="AF504" t="n">
        <v>17</v>
      </c>
      <c r="AG504" t="n">
        <v>17</v>
      </c>
      <c r="AH504" t="n">
        <v>7</v>
      </c>
      <c r="AI504" t="n">
        <v>7</v>
      </c>
      <c r="AJ504" t="n">
        <v>3</v>
      </c>
      <c r="AK504" t="n">
        <v>3</v>
      </c>
      <c r="AL504" t="n">
        <v>9</v>
      </c>
      <c r="AM504" t="n">
        <v>9</v>
      </c>
      <c r="AN504" t="n">
        <v>2</v>
      </c>
      <c r="AO504" t="n">
        <v>2</v>
      </c>
      <c r="AP504" t="n">
        <v>0</v>
      </c>
      <c r="AQ504" t="n">
        <v>0</v>
      </c>
      <c r="AR504" t="inlineStr">
        <is>
          <t>No</t>
        </is>
      </c>
      <c r="AS504" t="inlineStr">
        <is>
          <t>No</t>
        </is>
      </c>
      <c r="AU504">
        <f>HYPERLINK("https://creighton-primo.hosted.exlibrisgroup.com/primo-explore/search?tab=default_tab&amp;search_scope=EVERYTHING&amp;vid=01CRU&amp;lang=en_US&amp;offset=0&amp;query=any,contains,991002940669702656","Catalog Record")</f>
        <v/>
      </c>
      <c r="AV504">
        <f>HYPERLINK("http://www.worldcat.org/oclc/39130442","WorldCat Record")</f>
        <v/>
      </c>
      <c r="AW504" t="inlineStr">
        <is>
          <t>836919651:eng</t>
        </is>
      </c>
      <c r="AX504" t="inlineStr">
        <is>
          <t>39130442</t>
        </is>
      </c>
      <c r="AY504" t="inlineStr">
        <is>
          <t>991002940669702656</t>
        </is>
      </c>
      <c r="AZ504" t="inlineStr">
        <is>
          <t>991002940669702656</t>
        </is>
      </c>
      <c r="BA504" t="inlineStr">
        <is>
          <t>2265121310002656</t>
        </is>
      </c>
      <c r="BB504" t="inlineStr">
        <is>
          <t>BOOK</t>
        </is>
      </c>
      <c r="BD504" t="inlineStr">
        <is>
          <t>9780691004693</t>
        </is>
      </c>
      <c r="BE504" t="inlineStr">
        <is>
          <t>32285003581641</t>
        </is>
      </c>
      <c r="BF504" t="inlineStr">
        <is>
          <t>893440715</t>
        </is>
      </c>
    </row>
    <row r="505">
      <c r="B505" t="inlineStr">
        <is>
          <t>CURAL</t>
        </is>
      </c>
      <c r="C505" t="inlineStr">
        <is>
          <t>SHELVES</t>
        </is>
      </c>
      <c r="D505" t="inlineStr">
        <is>
          <t>QP411 .R32 2004</t>
        </is>
      </c>
      <c r="E505" t="inlineStr">
        <is>
          <t>0                      QP 0411000R  32          2004</t>
        </is>
      </c>
      <c r="F505" t="inlineStr">
        <is>
          <t>A brief tour of human consciousness : from impostor poodles to purple numbers / V. S. Ramachandran.</t>
        </is>
      </c>
      <c r="H505" t="inlineStr">
        <is>
          <t>No</t>
        </is>
      </c>
      <c r="I505" t="inlineStr">
        <is>
          <t>1</t>
        </is>
      </c>
      <c r="J505" t="inlineStr">
        <is>
          <t>No</t>
        </is>
      </c>
      <c r="K505" t="inlineStr">
        <is>
          <t>No</t>
        </is>
      </c>
      <c r="L505" t="inlineStr">
        <is>
          <t>0</t>
        </is>
      </c>
      <c r="M505" t="inlineStr">
        <is>
          <t>Ramachandran, V. S.</t>
        </is>
      </c>
      <c r="N505" t="inlineStr">
        <is>
          <t>New York : Pi Press, c2004.</t>
        </is>
      </c>
      <c r="O505" t="inlineStr">
        <is>
          <t>2004</t>
        </is>
      </c>
      <c r="Q505" t="inlineStr">
        <is>
          <t>eng</t>
        </is>
      </c>
      <c r="R505" t="inlineStr">
        <is>
          <t>nyu</t>
        </is>
      </c>
      <c r="T505" t="inlineStr">
        <is>
          <t xml:space="preserve">QP </t>
        </is>
      </c>
      <c r="U505" t="n">
        <v>3</v>
      </c>
      <c r="V505" t="n">
        <v>3</v>
      </c>
      <c r="W505" t="inlineStr">
        <is>
          <t>2007-11-13</t>
        </is>
      </c>
      <c r="X505" t="inlineStr">
        <is>
          <t>2007-11-13</t>
        </is>
      </c>
      <c r="Y505" t="inlineStr">
        <is>
          <t>2006-07-13</t>
        </is>
      </c>
      <c r="Z505" t="inlineStr">
        <is>
          <t>2006-07-13</t>
        </is>
      </c>
      <c r="AA505" t="n">
        <v>252</v>
      </c>
      <c r="AB505" t="n">
        <v>187</v>
      </c>
      <c r="AC505" t="n">
        <v>867</v>
      </c>
      <c r="AD505" t="n">
        <v>2</v>
      </c>
      <c r="AE505" t="n">
        <v>9</v>
      </c>
      <c r="AF505" t="n">
        <v>5</v>
      </c>
      <c r="AG505" t="n">
        <v>36</v>
      </c>
      <c r="AH505" t="n">
        <v>2</v>
      </c>
      <c r="AI505" t="n">
        <v>15</v>
      </c>
      <c r="AJ505" t="n">
        <v>1</v>
      </c>
      <c r="AK505" t="n">
        <v>8</v>
      </c>
      <c r="AL505" t="n">
        <v>1</v>
      </c>
      <c r="AM505" t="n">
        <v>15</v>
      </c>
      <c r="AN505" t="n">
        <v>1</v>
      </c>
      <c r="AO505" t="n">
        <v>6</v>
      </c>
      <c r="AP505" t="n">
        <v>0</v>
      </c>
      <c r="AQ505" t="n">
        <v>0</v>
      </c>
      <c r="AR505" t="inlineStr">
        <is>
          <t>No</t>
        </is>
      </c>
      <c r="AS505" t="inlineStr">
        <is>
          <t>No</t>
        </is>
      </c>
      <c r="AU505">
        <f>HYPERLINK("https://creighton-primo.hosted.exlibrisgroup.com/primo-explore/search?tab=default_tab&amp;search_scope=EVERYTHING&amp;vid=01CRU&amp;lang=en_US&amp;offset=0&amp;query=any,contains,991004845309702656","Catalog Record")</f>
        <v/>
      </c>
      <c r="AV505">
        <f>HYPERLINK("http://www.worldcat.org/oclc/60500318","WorldCat Record")</f>
        <v/>
      </c>
      <c r="AW505" t="inlineStr">
        <is>
          <t>1952931:eng</t>
        </is>
      </c>
      <c r="AX505" t="inlineStr">
        <is>
          <t>60500318</t>
        </is>
      </c>
      <c r="AY505" t="inlineStr">
        <is>
          <t>991004845309702656</t>
        </is>
      </c>
      <c r="AZ505" t="inlineStr">
        <is>
          <t>991004845309702656</t>
        </is>
      </c>
      <c r="BA505" t="inlineStr">
        <is>
          <t>2267718900002656</t>
        </is>
      </c>
      <c r="BB505" t="inlineStr">
        <is>
          <t>BOOK</t>
        </is>
      </c>
      <c r="BD505" t="inlineStr">
        <is>
          <t>9780131872783</t>
        </is>
      </c>
      <c r="BE505" t="inlineStr">
        <is>
          <t>32285005194641</t>
        </is>
      </c>
      <c r="BF505" t="inlineStr">
        <is>
          <t>893241903</t>
        </is>
      </c>
    </row>
    <row r="506">
      <c r="B506" t="inlineStr">
        <is>
          <t>CURAL</t>
        </is>
      </c>
      <c r="C506" t="inlineStr">
        <is>
          <t>SHELVES</t>
        </is>
      </c>
      <c r="D506" t="inlineStr">
        <is>
          <t>QP411 .S46 1995</t>
        </is>
      </c>
      <c r="E506" t="inlineStr">
        <is>
          <t>0                      QP 0411000S  46          1995</t>
        </is>
      </c>
      <c r="F506" t="inlineStr">
        <is>
          <t>Stairway to the mind : the controversial new science of consciousness / Alwyn Scott.</t>
        </is>
      </c>
      <c r="H506" t="inlineStr">
        <is>
          <t>No</t>
        </is>
      </c>
      <c r="I506" t="inlineStr">
        <is>
          <t>1</t>
        </is>
      </c>
      <c r="J506" t="inlineStr">
        <is>
          <t>Yes</t>
        </is>
      </c>
      <c r="K506" t="inlineStr">
        <is>
          <t>No</t>
        </is>
      </c>
      <c r="L506" t="inlineStr">
        <is>
          <t>0</t>
        </is>
      </c>
      <c r="M506" t="inlineStr">
        <is>
          <t>Scott, Alwyn, 1931-</t>
        </is>
      </c>
      <c r="N506" t="inlineStr">
        <is>
          <t>New York : Copernicus, c1995.</t>
        </is>
      </c>
      <c r="O506" t="inlineStr">
        <is>
          <t>1995</t>
        </is>
      </c>
      <c r="Q506" t="inlineStr">
        <is>
          <t>eng</t>
        </is>
      </c>
      <c r="R506" t="inlineStr">
        <is>
          <t>nyu</t>
        </is>
      </c>
      <c r="T506" t="inlineStr">
        <is>
          <t xml:space="preserve">QP </t>
        </is>
      </c>
      <c r="U506" t="n">
        <v>0</v>
      </c>
      <c r="V506" t="n">
        <v>4</v>
      </c>
      <c r="X506" t="inlineStr">
        <is>
          <t>2003-04-03</t>
        </is>
      </c>
      <c r="Y506" t="inlineStr">
        <is>
          <t>1996-11-20</t>
        </is>
      </c>
      <c r="Z506" t="inlineStr">
        <is>
          <t>1997-12-19</t>
        </is>
      </c>
      <c r="AA506" t="n">
        <v>677</v>
      </c>
      <c r="AB506" t="n">
        <v>570</v>
      </c>
      <c r="AC506" t="n">
        <v>586</v>
      </c>
      <c r="AD506" t="n">
        <v>7</v>
      </c>
      <c r="AE506" t="n">
        <v>7</v>
      </c>
      <c r="AF506" t="n">
        <v>29</v>
      </c>
      <c r="AG506" t="n">
        <v>29</v>
      </c>
      <c r="AH506" t="n">
        <v>12</v>
      </c>
      <c r="AI506" t="n">
        <v>12</v>
      </c>
      <c r="AJ506" t="n">
        <v>7</v>
      </c>
      <c r="AK506" t="n">
        <v>7</v>
      </c>
      <c r="AL506" t="n">
        <v>15</v>
      </c>
      <c r="AM506" t="n">
        <v>15</v>
      </c>
      <c r="AN506" t="n">
        <v>4</v>
      </c>
      <c r="AO506" t="n">
        <v>4</v>
      </c>
      <c r="AP506" t="n">
        <v>0</v>
      </c>
      <c r="AQ506" t="n">
        <v>0</v>
      </c>
      <c r="AR506" t="inlineStr">
        <is>
          <t>No</t>
        </is>
      </c>
      <c r="AS506" t="inlineStr">
        <is>
          <t>No</t>
        </is>
      </c>
      <c r="AU506">
        <f>HYPERLINK("https://creighton-primo.hosted.exlibrisgroup.com/primo-explore/search?tab=default_tab&amp;search_scope=EVERYTHING&amp;vid=01CRU&amp;lang=en_US&amp;offset=0&amp;query=any,contains,991001790859702656","Catalog Record")</f>
        <v/>
      </c>
      <c r="AV506">
        <f>HYPERLINK("http://www.worldcat.org/oclc/32087411","WorldCat Record")</f>
        <v/>
      </c>
      <c r="AW506" t="inlineStr">
        <is>
          <t>34457091:eng</t>
        </is>
      </c>
      <c r="AX506" t="inlineStr">
        <is>
          <t>32087411</t>
        </is>
      </c>
      <c r="AY506" t="inlineStr">
        <is>
          <t>991001790859702656</t>
        </is>
      </c>
      <c r="AZ506" t="inlineStr">
        <is>
          <t>991001790859702656</t>
        </is>
      </c>
      <c r="BA506" t="inlineStr">
        <is>
          <t>2271123950002656</t>
        </is>
      </c>
      <c r="BB506" t="inlineStr">
        <is>
          <t>BOOK</t>
        </is>
      </c>
      <c r="BD506" t="inlineStr">
        <is>
          <t>9780387943817</t>
        </is>
      </c>
      <c r="BE506" t="inlineStr">
        <is>
          <t>32285002374733</t>
        </is>
      </c>
      <c r="BF506" t="inlineStr">
        <is>
          <t>893414516</t>
        </is>
      </c>
    </row>
    <row r="507">
      <c r="B507" t="inlineStr">
        <is>
          <t>CURAL</t>
        </is>
      </c>
      <c r="C507" t="inlineStr">
        <is>
          <t>SHELVES</t>
        </is>
      </c>
      <c r="D507" t="inlineStr">
        <is>
          <t>QP411 .W45 1997</t>
        </is>
      </c>
      <c r="E507" t="inlineStr">
        <is>
          <t>0                      QP 0411000W  45          1997</t>
        </is>
      </c>
      <c r="F507" t="inlineStr">
        <is>
          <t>Consciousness lost and found : a neuropsychological exploration / Lawrence Weiskrantz.</t>
        </is>
      </c>
      <c r="H507" t="inlineStr">
        <is>
          <t>No</t>
        </is>
      </c>
      <c r="I507" t="inlineStr">
        <is>
          <t>1</t>
        </is>
      </c>
      <c r="J507" t="inlineStr">
        <is>
          <t>No</t>
        </is>
      </c>
      <c r="K507" t="inlineStr">
        <is>
          <t>No</t>
        </is>
      </c>
      <c r="L507" t="inlineStr">
        <is>
          <t>0</t>
        </is>
      </c>
      <c r="M507" t="inlineStr">
        <is>
          <t>Weiskrantz, Lawrence.</t>
        </is>
      </c>
      <c r="N507" t="inlineStr">
        <is>
          <t>Oxford ; New York : Oxford University Press, 1997.</t>
        </is>
      </c>
      <c r="O507" t="inlineStr">
        <is>
          <t>1997</t>
        </is>
      </c>
      <c r="Q507" t="inlineStr">
        <is>
          <t>eng</t>
        </is>
      </c>
      <c r="R507" t="inlineStr">
        <is>
          <t>enk</t>
        </is>
      </c>
      <c r="T507" t="inlineStr">
        <is>
          <t xml:space="preserve">QP </t>
        </is>
      </c>
      <c r="U507" t="n">
        <v>10</v>
      </c>
      <c r="V507" t="n">
        <v>10</v>
      </c>
      <c r="W507" t="inlineStr">
        <is>
          <t>2007-11-13</t>
        </is>
      </c>
      <c r="X507" t="inlineStr">
        <is>
          <t>2007-11-13</t>
        </is>
      </c>
      <c r="Y507" t="inlineStr">
        <is>
          <t>1998-03-24</t>
        </is>
      </c>
      <c r="Z507" t="inlineStr">
        <is>
          <t>1998-03-24</t>
        </is>
      </c>
      <c r="AA507" t="n">
        <v>490</v>
      </c>
      <c r="AB507" t="n">
        <v>341</v>
      </c>
      <c r="AC507" t="n">
        <v>1120</v>
      </c>
      <c r="AD507" t="n">
        <v>4</v>
      </c>
      <c r="AE507" t="n">
        <v>6</v>
      </c>
      <c r="AF507" t="n">
        <v>20</v>
      </c>
      <c r="AG507" t="n">
        <v>29</v>
      </c>
      <c r="AH507" t="n">
        <v>5</v>
      </c>
      <c r="AI507" t="n">
        <v>12</v>
      </c>
      <c r="AJ507" t="n">
        <v>3</v>
      </c>
      <c r="AK507" t="n">
        <v>4</v>
      </c>
      <c r="AL507" t="n">
        <v>12</v>
      </c>
      <c r="AM507" t="n">
        <v>13</v>
      </c>
      <c r="AN507" t="n">
        <v>3</v>
      </c>
      <c r="AO507" t="n">
        <v>4</v>
      </c>
      <c r="AP507" t="n">
        <v>0</v>
      </c>
      <c r="AQ507" t="n">
        <v>0</v>
      </c>
      <c r="AR507" t="inlineStr">
        <is>
          <t>No</t>
        </is>
      </c>
      <c r="AS507" t="inlineStr">
        <is>
          <t>Yes</t>
        </is>
      </c>
      <c r="AT507">
        <f>HYPERLINK("http://catalog.hathitrust.org/Record/003163726","HathiTrust Record")</f>
        <v/>
      </c>
      <c r="AU507">
        <f>HYPERLINK("https://creighton-primo.hosted.exlibrisgroup.com/primo-explore/search?tab=default_tab&amp;search_scope=EVERYTHING&amp;vid=01CRU&amp;lang=en_US&amp;offset=0&amp;query=any,contains,991002746009702656","Catalog Record")</f>
        <v/>
      </c>
      <c r="AV507">
        <f>HYPERLINK("http://www.worldcat.org/oclc/36038012","WorldCat Record")</f>
        <v/>
      </c>
      <c r="AW507" t="inlineStr">
        <is>
          <t>9282977870:eng</t>
        </is>
      </c>
      <c r="AX507" t="inlineStr">
        <is>
          <t>36038012</t>
        </is>
      </c>
      <c r="AY507" t="inlineStr">
        <is>
          <t>991002746009702656</t>
        </is>
      </c>
      <c r="AZ507" t="inlineStr">
        <is>
          <t>991002746009702656</t>
        </is>
      </c>
      <c r="BA507" t="inlineStr">
        <is>
          <t>2258854720002656</t>
        </is>
      </c>
      <c r="BB507" t="inlineStr">
        <is>
          <t>BOOK</t>
        </is>
      </c>
      <c r="BD507" t="inlineStr">
        <is>
          <t>9780198523017</t>
        </is>
      </c>
      <c r="BE507" t="inlineStr">
        <is>
          <t>32285003360004</t>
        </is>
      </c>
      <c r="BF507" t="inlineStr">
        <is>
          <t>893873927</t>
        </is>
      </c>
    </row>
    <row r="508">
      <c r="B508" t="inlineStr">
        <is>
          <t>CURAL</t>
        </is>
      </c>
      <c r="C508" t="inlineStr">
        <is>
          <t>SHELVES</t>
        </is>
      </c>
      <c r="D508" t="inlineStr">
        <is>
          <t>QP425 .A3 v...</t>
        </is>
      </c>
      <c r="E508" t="inlineStr">
        <is>
          <t>0                      QP 0425000A  3                                                       v...</t>
        </is>
      </c>
      <c r="F508" t="inlineStr">
        <is>
          <t>Advances in sleep research / edited by Elliot D. Weitzman.</t>
        </is>
      </c>
      <c r="G508" t="inlineStr">
        <is>
          <t>V.2</t>
        </is>
      </c>
      <c r="H508" t="inlineStr">
        <is>
          <t>Yes</t>
        </is>
      </c>
      <c r="I508" t="inlineStr">
        <is>
          <t>1</t>
        </is>
      </c>
      <c r="J508" t="inlineStr">
        <is>
          <t>No</t>
        </is>
      </c>
      <c r="K508" t="inlineStr">
        <is>
          <t>No</t>
        </is>
      </c>
      <c r="L508" t="inlineStr">
        <is>
          <t>0</t>
        </is>
      </c>
      <c r="N508" t="inlineStr">
        <is>
          <t>Flushing, N.Y. : Spectrum Publications; distributed by Halsted Press, New York, [1974-</t>
        </is>
      </c>
      <c r="O508" t="inlineStr">
        <is>
          <t>1974</t>
        </is>
      </c>
      <c r="Q508" t="inlineStr">
        <is>
          <t>eng</t>
        </is>
      </c>
      <c r="R508" t="inlineStr">
        <is>
          <t>nyu</t>
        </is>
      </c>
      <c r="T508" t="inlineStr">
        <is>
          <t xml:space="preserve">QP </t>
        </is>
      </c>
      <c r="U508" t="n">
        <v>19</v>
      </c>
      <c r="V508" t="n">
        <v>50</v>
      </c>
      <c r="W508" t="inlineStr">
        <is>
          <t>1998-10-08</t>
        </is>
      </c>
      <c r="X508" t="inlineStr">
        <is>
          <t>2000-04-13</t>
        </is>
      </c>
      <c r="Y508" t="inlineStr">
        <is>
          <t>1993-03-24</t>
        </is>
      </c>
      <c r="Z508" t="inlineStr">
        <is>
          <t>1993-03-24</t>
        </is>
      </c>
      <c r="AA508" t="n">
        <v>266</v>
      </c>
      <c r="AB508" t="n">
        <v>226</v>
      </c>
      <c r="AC508" t="n">
        <v>228</v>
      </c>
      <c r="AD508" t="n">
        <v>4</v>
      </c>
      <c r="AE508" t="n">
        <v>4</v>
      </c>
      <c r="AF508" t="n">
        <v>8</v>
      </c>
      <c r="AG508" t="n">
        <v>8</v>
      </c>
      <c r="AH508" t="n">
        <v>3</v>
      </c>
      <c r="AI508" t="n">
        <v>3</v>
      </c>
      <c r="AJ508" t="n">
        <v>0</v>
      </c>
      <c r="AK508" t="n">
        <v>0</v>
      </c>
      <c r="AL508" t="n">
        <v>3</v>
      </c>
      <c r="AM508" t="n">
        <v>3</v>
      </c>
      <c r="AN508" t="n">
        <v>3</v>
      </c>
      <c r="AO508" t="n">
        <v>3</v>
      </c>
      <c r="AP508" t="n">
        <v>0</v>
      </c>
      <c r="AQ508" t="n">
        <v>0</v>
      </c>
      <c r="AR508" t="inlineStr">
        <is>
          <t>No</t>
        </is>
      </c>
      <c r="AS508" t="inlineStr">
        <is>
          <t>Yes</t>
        </is>
      </c>
      <c r="AT508">
        <f>HYPERLINK("http://catalog.hathitrust.org/Record/010657211","HathiTrust Record")</f>
        <v/>
      </c>
      <c r="AU508">
        <f>HYPERLINK("https://creighton-primo.hosted.exlibrisgroup.com/primo-explore/search?tab=default_tab&amp;search_scope=EVERYTHING&amp;vid=01CRU&amp;lang=en_US&amp;offset=0&amp;query=any,contains,991004215839702656","Catalog Record")</f>
        <v/>
      </c>
      <c r="AV508">
        <f>HYPERLINK("http://www.worldcat.org/oclc/2695985","WorldCat Record")</f>
        <v/>
      </c>
      <c r="AW508" t="inlineStr">
        <is>
          <t>2829746810:eng</t>
        </is>
      </c>
      <c r="AX508" t="inlineStr">
        <is>
          <t>2695985</t>
        </is>
      </c>
      <c r="AY508" t="inlineStr">
        <is>
          <t>991004215839702656</t>
        </is>
      </c>
      <c r="AZ508" t="inlineStr">
        <is>
          <t>991004215839702656</t>
        </is>
      </c>
      <c r="BA508" t="inlineStr">
        <is>
          <t>2264690400002656</t>
        </is>
      </c>
      <c r="BB508" t="inlineStr">
        <is>
          <t>BOOK</t>
        </is>
      </c>
      <c r="BD508" t="inlineStr">
        <is>
          <t>9780470933008</t>
        </is>
      </c>
      <c r="BE508" t="inlineStr">
        <is>
          <t>32285001579795</t>
        </is>
      </c>
      <c r="BF508" t="inlineStr">
        <is>
          <t>893888432</t>
        </is>
      </c>
    </row>
    <row r="509">
      <c r="B509" t="inlineStr">
        <is>
          <t>CURAL</t>
        </is>
      </c>
      <c r="C509" t="inlineStr">
        <is>
          <t>SHELVES</t>
        </is>
      </c>
      <c r="D509" t="inlineStr">
        <is>
          <t>QP425 .A3 v...</t>
        </is>
      </c>
      <c r="E509" t="inlineStr">
        <is>
          <t>0                      QP 0425000A  3                                                       v...</t>
        </is>
      </c>
      <c r="F509" t="inlineStr">
        <is>
          <t>Advances in sleep research / edited by Elliot D. Weitzman.</t>
        </is>
      </c>
      <c r="G509" t="inlineStr">
        <is>
          <t>V.3</t>
        </is>
      </c>
      <c r="H509" t="inlineStr">
        <is>
          <t>Yes</t>
        </is>
      </c>
      <c r="I509" t="inlineStr">
        <is>
          <t>1</t>
        </is>
      </c>
      <c r="J509" t="inlineStr">
        <is>
          <t>No</t>
        </is>
      </c>
      <c r="K509" t="inlineStr">
        <is>
          <t>No</t>
        </is>
      </c>
      <c r="L509" t="inlineStr">
        <is>
          <t>0</t>
        </is>
      </c>
      <c r="N509" t="inlineStr">
        <is>
          <t>Flushing, N.Y. : Spectrum Publications; distributed by Halsted Press, New York, [1974-</t>
        </is>
      </c>
      <c r="O509" t="inlineStr">
        <is>
          <t>1974</t>
        </is>
      </c>
      <c r="Q509" t="inlineStr">
        <is>
          <t>eng</t>
        </is>
      </c>
      <c r="R509" t="inlineStr">
        <is>
          <t>nyu</t>
        </is>
      </c>
      <c r="T509" t="inlineStr">
        <is>
          <t xml:space="preserve">QP </t>
        </is>
      </c>
      <c r="U509" t="n">
        <v>15</v>
      </c>
      <c r="V509" t="n">
        <v>50</v>
      </c>
      <c r="W509" t="inlineStr">
        <is>
          <t>2000-04-13</t>
        </is>
      </c>
      <c r="X509" t="inlineStr">
        <is>
          <t>2000-04-13</t>
        </is>
      </c>
      <c r="Y509" t="inlineStr">
        <is>
          <t>1993-03-03</t>
        </is>
      </c>
      <c r="Z509" t="inlineStr">
        <is>
          <t>1993-03-24</t>
        </is>
      </c>
      <c r="AA509" t="n">
        <v>266</v>
      </c>
      <c r="AB509" t="n">
        <v>226</v>
      </c>
      <c r="AC509" t="n">
        <v>228</v>
      </c>
      <c r="AD509" t="n">
        <v>4</v>
      </c>
      <c r="AE509" t="n">
        <v>4</v>
      </c>
      <c r="AF509" t="n">
        <v>8</v>
      </c>
      <c r="AG509" t="n">
        <v>8</v>
      </c>
      <c r="AH509" t="n">
        <v>3</v>
      </c>
      <c r="AI509" t="n">
        <v>3</v>
      </c>
      <c r="AJ509" t="n">
        <v>0</v>
      </c>
      <c r="AK509" t="n">
        <v>0</v>
      </c>
      <c r="AL509" t="n">
        <v>3</v>
      </c>
      <c r="AM509" t="n">
        <v>3</v>
      </c>
      <c r="AN509" t="n">
        <v>3</v>
      </c>
      <c r="AO509" t="n">
        <v>3</v>
      </c>
      <c r="AP509" t="n">
        <v>0</v>
      </c>
      <c r="AQ509" t="n">
        <v>0</v>
      </c>
      <c r="AR509" t="inlineStr">
        <is>
          <t>No</t>
        </is>
      </c>
      <c r="AS509" t="inlineStr">
        <is>
          <t>Yes</t>
        </is>
      </c>
      <c r="AT509">
        <f>HYPERLINK("http://catalog.hathitrust.org/Record/010657211","HathiTrust Record")</f>
        <v/>
      </c>
      <c r="AU509">
        <f>HYPERLINK("https://creighton-primo.hosted.exlibrisgroup.com/primo-explore/search?tab=default_tab&amp;search_scope=EVERYTHING&amp;vid=01CRU&amp;lang=en_US&amp;offset=0&amp;query=any,contains,991004215839702656","Catalog Record")</f>
        <v/>
      </c>
      <c r="AV509">
        <f>HYPERLINK("http://www.worldcat.org/oclc/2695985","WorldCat Record")</f>
        <v/>
      </c>
      <c r="AW509" t="inlineStr">
        <is>
          <t>2829746810:eng</t>
        </is>
      </c>
      <c r="AX509" t="inlineStr">
        <is>
          <t>2695985</t>
        </is>
      </c>
      <c r="AY509" t="inlineStr">
        <is>
          <t>991004215839702656</t>
        </is>
      </c>
      <c r="AZ509" t="inlineStr">
        <is>
          <t>991004215839702656</t>
        </is>
      </c>
      <c r="BA509" t="inlineStr">
        <is>
          <t>2264690400002656</t>
        </is>
      </c>
      <c r="BB509" t="inlineStr">
        <is>
          <t>BOOK</t>
        </is>
      </c>
      <c r="BD509" t="inlineStr">
        <is>
          <t>9780470933008</t>
        </is>
      </c>
      <c r="BE509" t="inlineStr">
        <is>
          <t>32285001562221</t>
        </is>
      </c>
      <c r="BF509" t="inlineStr">
        <is>
          <t>893875827</t>
        </is>
      </c>
    </row>
    <row r="510">
      <c r="B510" t="inlineStr">
        <is>
          <t>CURAL</t>
        </is>
      </c>
      <c r="C510" t="inlineStr">
        <is>
          <t>SHELVES</t>
        </is>
      </c>
      <c r="D510" t="inlineStr">
        <is>
          <t>QP425 .A3 v...</t>
        </is>
      </c>
      <c r="E510" t="inlineStr">
        <is>
          <t>0                      QP 0425000A  3                                                       v...</t>
        </is>
      </c>
      <c r="F510" t="inlineStr">
        <is>
          <t>Advances in sleep research / edited by Elliot D. Weitzman.</t>
        </is>
      </c>
      <c r="G510" t="inlineStr">
        <is>
          <t>V.1</t>
        </is>
      </c>
      <c r="H510" t="inlineStr">
        <is>
          <t>Yes</t>
        </is>
      </c>
      <c r="I510" t="inlineStr">
        <is>
          <t>1</t>
        </is>
      </c>
      <c r="J510" t="inlineStr">
        <is>
          <t>No</t>
        </is>
      </c>
      <c r="K510" t="inlineStr">
        <is>
          <t>No</t>
        </is>
      </c>
      <c r="L510" t="inlineStr">
        <is>
          <t>0</t>
        </is>
      </c>
      <c r="N510" t="inlineStr">
        <is>
          <t>Flushing, N.Y. : Spectrum Publications; distributed by Halsted Press, New York, [1974-</t>
        </is>
      </c>
      <c r="O510" t="inlineStr">
        <is>
          <t>1974</t>
        </is>
      </c>
      <c r="Q510" t="inlineStr">
        <is>
          <t>eng</t>
        </is>
      </c>
      <c r="R510" t="inlineStr">
        <is>
          <t>nyu</t>
        </is>
      </c>
      <c r="T510" t="inlineStr">
        <is>
          <t xml:space="preserve">QP </t>
        </is>
      </c>
      <c r="U510" t="n">
        <v>16</v>
      </c>
      <c r="V510" t="n">
        <v>50</v>
      </c>
      <c r="W510" t="inlineStr">
        <is>
          <t>1998-10-08</t>
        </is>
      </c>
      <c r="X510" t="inlineStr">
        <is>
          <t>2000-04-13</t>
        </is>
      </c>
      <c r="Y510" t="inlineStr">
        <is>
          <t>1993-03-19</t>
        </is>
      </c>
      <c r="Z510" t="inlineStr">
        <is>
          <t>1993-03-24</t>
        </is>
      </c>
      <c r="AA510" t="n">
        <v>266</v>
      </c>
      <c r="AB510" t="n">
        <v>226</v>
      </c>
      <c r="AC510" t="n">
        <v>228</v>
      </c>
      <c r="AD510" t="n">
        <v>4</v>
      </c>
      <c r="AE510" t="n">
        <v>4</v>
      </c>
      <c r="AF510" t="n">
        <v>8</v>
      </c>
      <c r="AG510" t="n">
        <v>8</v>
      </c>
      <c r="AH510" t="n">
        <v>3</v>
      </c>
      <c r="AI510" t="n">
        <v>3</v>
      </c>
      <c r="AJ510" t="n">
        <v>0</v>
      </c>
      <c r="AK510" t="n">
        <v>0</v>
      </c>
      <c r="AL510" t="n">
        <v>3</v>
      </c>
      <c r="AM510" t="n">
        <v>3</v>
      </c>
      <c r="AN510" t="n">
        <v>3</v>
      </c>
      <c r="AO510" t="n">
        <v>3</v>
      </c>
      <c r="AP510" t="n">
        <v>0</v>
      </c>
      <c r="AQ510" t="n">
        <v>0</v>
      </c>
      <c r="AR510" t="inlineStr">
        <is>
          <t>No</t>
        </is>
      </c>
      <c r="AS510" t="inlineStr">
        <is>
          <t>Yes</t>
        </is>
      </c>
      <c r="AT510">
        <f>HYPERLINK("http://catalog.hathitrust.org/Record/010657211","HathiTrust Record")</f>
        <v/>
      </c>
      <c r="AU510">
        <f>HYPERLINK("https://creighton-primo.hosted.exlibrisgroup.com/primo-explore/search?tab=default_tab&amp;search_scope=EVERYTHING&amp;vid=01CRU&amp;lang=en_US&amp;offset=0&amp;query=any,contains,991004215839702656","Catalog Record")</f>
        <v/>
      </c>
      <c r="AV510">
        <f>HYPERLINK("http://www.worldcat.org/oclc/2695985","WorldCat Record")</f>
        <v/>
      </c>
      <c r="AW510" t="inlineStr">
        <is>
          <t>2829746810:eng</t>
        </is>
      </c>
      <c r="AX510" t="inlineStr">
        <is>
          <t>2695985</t>
        </is>
      </c>
      <c r="AY510" t="inlineStr">
        <is>
          <t>991004215839702656</t>
        </is>
      </c>
      <c r="AZ510" t="inlineStr">
        <is>
          <t>991004215839702656</t>
        </is>
      </c>
      <c r="BA510" t="inlineStr">
        <is>
          <t>2264690400002656</t>
        </is>
      </c>
      <c r="BB510" t="inlineStr">
        <is>
          <t>BOOK</t>
        </is>
      </c>
      <c r="BD510" t="inlineStr">
        <is>
          <t>9780470933008</t>
        </is>
      </c>
      <c r="BE510" t="inlineStr">
        <is>
          <t>32285001498798</t>
        </is>
      </c>
      <c r="BF510" t="inlineStr">
        <is>
          <t>893888433</t>
        </is>
      </c>
    </row>
    <row r="511">
      <c r="B511" t="inlineStr">
        <is>
          <t>CURAL</t>
        </is>
      </c>
      <c r="C511" t="inlineStr">
        <is>
          <t>SHELVES</t>
        </is>
      </c>
      <c r="D511" t="inlineStr">
        <is>
          <t>QP425 .A3 v.6</t>
        </is>
      </c>
      <c r="E511" t="inlineStr">
        <is>
          <t>0                      QP 0425000A  3                                                       v.6</t>
        </is>
      </c>
      <c r="F511" t="inlineStr">
        <is>
          <t>Sleep, dreams, and memory : advances in sleep research / [edited] by William Fishbein.</t>
        </is>
      </c>
      <c r="G511" t="inlineStr">
        <is>
          <t>V.6</t>
        </is>
      </c>
      <c r="H511" t="inlineStr">
        <is>
          <t>No</t>
        </is>
      </c>
      <c r="I511" t="inlineStr">
        <is>
          <t>1</t>
        </is>
      </c>
      <c r="J511" t="inlineStr">
        <is>
          <t>No</t>
        </is>
      </c>
      <c r="K511" t="inlineStr">
        <is>
          <t>No</t>
        </is>
      </c>
      <c r="L511" t="inlineStr">
        <is>
          <t>0</t>
        </is>
      </c>
      <c r="N511" t="inlineStr">
        <is>
          <t>Jamaica, N.Y. : Spectrum Publications, c1981.</t>
        </is>
      </c>
      <c r="O511" t="inlineStr">
        <is>
          <t>1980</t>
        </is>
      </c>
      <c r="Q511" t="inlineStr">
        <is>
          <t>eng</t>
        </is>
      </c>
      <c r="R511" t="inlineStr">
        <is>
          <t>nyu</t>
        </is>
      </c>
      <c r="S511" t="inlineStr">
        <is>
          <t>Advances in sleep research ; v. 6</t>
        </is>
      </c>
      <c r="T511" t="inlineStr">
        <is>
          <t xml:space="preserve">QP </t>
        </is>
      </c>
      <c r="U511" t="n">
        <v>10</v>
      </c>
      <c r="V511" t="n">
        <v>10</v>
      </c>
      <c r="W511" t="inlineStr">
        <is>
          <t>2007-10-25</t>
        </is>
      </c>
      <c r="X511" t="inlineStr">
        <is>
          <t>2007-10-25</t>
        </is>
      </c>
      <c r="Y511" t="inlineStr">
        <is>
          <t>1996-03-28</t>
        </is>
      </c>
      <c r="Z511" t="inlineStr">
        <is>
          <t>1996-03-28</t>
        </is>
      </c>
      <c r="AA511" t="n">
        <v>206</v>
      </c>
      <c r="AB511" t="n">
        <v>181</v>
      </c>
      <c r="AC511" t="n">
        <v>193</v>
      </c>
      <c r="AD511" t="n">
        <v>2</v>
      </c>
      <c r="AE511" t="n">
        <v>2</v>
      </c>
      <c r="AF511" t="n">
        <v>4</v>
      </c>
      <c r="AG511" t="n">
        <v>4</v>
      </c>
      <c r="AH511" t="n">
        <v>1</v>
      </c>
      <c r="AI511" t="n">
        <v>1</v>
      </c>
      <c r="AJ511" t="n">
        <v>1</v>
      </c>
      <c r="AK511" t="n">
        <v>1</v>
      </c>
      <c r="AL511" t="n">
        <v>1</v>
      </c>
      <c r="AM511" t="n">
        <v>1</v>
      </c>
      <c r="AN511" t="n">
        <v>1</v>
      </c>
      <c r="AO511" t="n">
        <v>1</v>
      </c>
      <c r="AP511" t="n">
        <v>0</v>
      </c>
      <c r="AQ511" t="n">
        <v>0</v>
      </c>
      <c r="AR511" t="inlineStr">
        <is>
          <t>No</t>
        </is>
      </c>
      <c r="AS511" t="inlineStr">
        <is>
          <t>No</t>
        </is>
      </c>
      <c r="AU511">
        <f>HYPERLINK("https://creighton-primo.hosted.exlibrisgroup.com/primo-explore/search?tab=default_tab&amp;search_scope=EVERYTHING&amp;vid=01CRU&amp;lang=en_US&amp;offset=0&amp;query=any,contains,991004857119702656","Catalog Record")</f>
        <v/>
      </c>
      <c r="AV511">
        <f>HYPERLINK("http://www.worldcat.org/oclc/5675822","WorldCat Record")</f>
        <v/>
      </c>
      <c r="AW511" t="inlineStr">
        <is>
          <t>54344982:eng</t>
        </is>
      </c>
      <c r="AX511" t="inlineStr">
        <is>
          <t>5675822</t>
        </is>
      </c>
      <c r="AY511" t="inlineStr">
        <is>
          <t>991004857119702656</t>
        </is>
      </c>
      <c r="AZ511" t="inlineStr">
        <is>
          <t>991004857119702656</t>
        </is>
      </c>
      <c r="BA511" t="inlineStr">
        <is>
          <t>2260691440002656</t>
        </is>
      </c>
      <c r="BB511" t="inlineStr">
        <is>
          <t>BOOK</t>
        </is>
      </c>
      <c r="BD511" t="inlineStr">
        <is>
          <t>9780893350543</t>
        </is>
      </c>
      <c r="BE511" t="inlineStr">
        <is>
          <t>32285001562239</t>
        </is>
      </c>
      <c r="BF511" t="inlineStr">
        <is>
          <t>893526604</t>
        </is>
      </c>
    </row>
    <row r="512">
      <c r="B512" t="inlineStr">
        <is>
          <t>CURAL</t>
        </is>
      </c>
      <c r="C512" t="inlineStr">
        <is>
          <t>SHELVES</t>
        </is>
      </c>
      <c r="D512" t="inlineStr">
        <is>
          <t>QP425 .A76 1991</t>
        </is>
      </c>
      <c r="E512" t="inlineStr">
        <is>
          <t>0                      QP 0425000A  76          1991</t>
        </is>
      </c>
      <c r="F512" t="inlineStr">
        <is>
          <t>Sleep and its secrets : the river of crystal light / Michael S. Aronoff.</t>
        </is>
      </c>
      <c r="H512" t="inlineStr">
        <is>
          <t>No</t>
        </is>
      </c>
      <c r="I512" t="inlineStr">
        <is>
          <t>1</t>
        </is>
      </c>
      <c r="J512" t="inlineStr">
        <is>
          <t>No</t>
        </is>
      </c>
      <c r="K512" t="inlineStr">
        <is>
          <t>No</t>
        </is>
      </c>
      <c r="L512" t="inlineStr">
        <is>
          <t>0</t>
        </is>
      </c>
      <c r="M512" t="inlineStr">
        <is>
          <t>Aronoff, Michael S.</t>
        </is>
      </c>
      <c r="N512" t="inlineStr">
        <is>
          <t>New York : Plenum Press, c1991.</t>
        </is>
      </c>
      <c r="O512" t="inlineStr">
        <is>
          <t>1991</t>
        </is>
      </c>
      <c r="Q512" t="inlineStr">
        <is>
          <t>eng</t>
        </is>
      </c>
      <c r="R512" t="inlineStr">
        <is>
          <t>nyu</t>
        </is>
      </c>
      <c r="T512" t="inlineStr">
        <is>
          <t xml:space="preserve">QP </t>
        </is>
      </c>
      <c r="U512" t="n">
        <v>43</v>
      </c>
      <c r="V512" t="n">
        <v>43</v>
      </c>
      <c r="W512" t="inlineStr">
        <is>
          <t>2003-10-01</t>
        </is>
      </c>
      <c r="X512" t="inlineStr">
        <is>
          <t>2003-10-01</t>
        </is>
      </c>
      <c r="Y512" t="inlineStr">
        <is>
          <t>1992-05-22</t>
        </is>
      </c>
      <c r="Z512" t="inlineStr">
        <is>
          <t>1992-05-22</t>
        </is>
      </c>
      <c r="AA512" t="n">
        <v>292</v>
      </c>
      <c r="AB512" t="n">
        <v>241</v>
      </c>
      <c r="AC512" t="n">
        <v>261</v>
      </c>
      <c r="AD512" t="n">
        <v>2</v>
      </c>
      <c r="AE512" t="n">
        <v>2</v>
      </c>
      <c r="AF512" t="n">
        <v>6</v>
      </c>
      <c r="AG512" t="n">
        <v>6</v>
      </c>
      <c r="AH512" t="n">
        <v>1</v>
      </c>
      <c r="AI512" t="n">
        <v>1</v>
      </c>
      <c r="AJ512" t="n">
        <v>3</v>
      </c>
      <c r="AK512" t="n">
        <v>3</v>
      </c>
      <c r="AL512" t="n">
        <v>3</v>
      </c>
      <c r="AM512" t="n">
        <v>3</v>
      </c>
      <c r="AN512" t="n">
        <v>1</v>
      </c>
      <c r="AO512" t="n">
        <v>1</v>
      </c>
      <c r="AP512" t="n">
        <v>0</v>
      </c>
      <c r="AQ512" t="n">
        <v>0</v>
      </c>
      <c r="AR512" t="inlineStr">
        <is>
          <t>No</t>
        </is>
      </c>
      <c r="AS512" t="inlineStr">
        <is>
          <t>Yes</t>
        </is>
      </c>
      <c r="AT512">
        <f>HYPERLINK("http://catalog.hathitrust.org/Record/002487874","HathiTrust Record")</f>
        <v/>
      </c>
      <c r="AU512">
        <f>HYPERLINK("https://creighton-primo.hosted.exlibrisgroup.com/primo-explore/search?tab=default_tab&amp;search_scope=EVERYTHING&amp;vid=01CRU&amp;lang=en_US&amp;offset=0&amp;query=any,contains,991001906709702656","Catalog Record")</f>
        <v/>
      </c>
      <c r="AV512">
        <f>HYPERLINK("http://www.worldcat.org/oclc/24068833","WorldCat Record")</f>
        <v/>
      </c>
      <c r="AW512" t="inlineStr">
        <is>
          <t>365305589:eng</t>
        </is>
      </c>
      <c r="AX512" t="inlineStr">
        <is>
          <t>24068833</t>
        </is>
      </c>
      <c r="AY512" t="inlineStr">
        <is>
          <t>991001906709702656</t>
        </is>
      </c>
      <c r="AZ512" t="inlineStr">
        <is>
          <t>991001906709702656</t>
        </is>
      </c>
      <c r="BA512" t="inlineStr">
        <is>
          <t>2261376840002656</t>
        </is>
      </c>
      <c r="BB512" t="inlineStr">
        <is>
          <t>BOOK</t>
        </is>
      </c>
      <c r="BD512" t="inlineStr">
        <is>
          <t>9780306439681</t>
        </is>
      </c>
      <c r="BE512" t="inlineStr">
        <is>
          <t>32285001118040</t>
        </is>
      </c>
      <c r="BF512" t="inlineStr">
        <is>
          <t>893703434</t>
        </is>
      </c>
    </row>
    <row r="513">
      <c r="B513" t="inlineStr">
        <is>
          <t>CURAL</t>
        </is>
      </c>
      <c r="C513" t="inlineStr">
        <is>
          <t>SHELVES</t>
        </is>
      </c>
      <c r="D513" t="inlineStr">
        <is>
          <t>QP425 .A825</t>
        </is>
      </c>
      <c r="E513" t="inlineStr">
        <is>
          <t>0                      QP 0425000A  825</t>
        </is>
      </c>
      <c r="F513" t="inlineStr">
        <is>
          <t>Sleep and altered states of consciousness : proceedings of the association, December 3 and 4, 1965, New York.</t>
        </is>
      </c>
      <c r="H513" t="inlineStr">
        <is>
          <t>No</t>
        </is>
      </c>
      <c r="I513" t="inlineStr">
        <is>
          <t>1</t>
        </is>
      </c>
      <c r="J513" t="inlineStr">
        <is>
          <t>No</t>
        </is>
      </c>
      <c r="K513" t="inlineStr">
        <is>
          <t>No</t>
        </is>
      </c>
      <c r="L513" t="inlineStr">
        <is>
          <t>0</t>
        </is>
      </c>
      <c r="M513" t="inlineStr">
        <is>
          <t>Association for Research in Nervous and Mental Disease.</t>
        </is>
      </c>
      <c r="N513" t="inlineStr">
        <is>
          <t>Baltimore : Williams and Wilkins, 1967.</t>
        </is>
      </c>
      <c r="O513" t="inlineStr">
        <is>
          <t>1967</t>
        </is>
      </c>
      <c r="Q513" t="inlineStr">
        <is>
          <t>eng</t>
        </is>
      </c>
      <c r="R513" t="inlineStr">
        <is>
          <t>mdu</t>
        </is>
      </c>
      <c r="S513" t="inlineStr">
        <is>
          <t>Its Research publication, v. 45</t>
        </is>
      </c>
      <c r="T513" t="inlineStr">
        <is>
          <t xml:space="preserve">QP </t>
        </is>
      </c>
      <c r="U513" t="n">
        <v>16</v>
      </c>
      <c r="V513" t="n">
        <v>16</v>
      </c>
      <c r="W513" t="inlineStr">
        <is>
          <t>1998-10-08</t>
        </is>
      </c>
      <c r="X513" t="inlineStr">
        <is>
          <t>1998-10-08</t>
        </is>
      </c>
      <c r="Y513" t="inlineStr">
        <is>
          <t>1993-03-24</t>
        </is>
      </c>
      <c r="Z513" t="inlineStr">
        <is>
          <t>1993-03-24</t>
        </is>
      </c>
      <c r="AA513" t="n">
        <v>193</v>
      </c>
      <c r="AB513" t="n">
        <v>169</v>
      </c>
      <c r="AC513" t="n">
        <v>180</v>
      </c>
      <c r="AD513" t="n">
        <v>1</v>
      </c>
      <c r="AE513" t="n">
        <v>1</v>
      </c>
      <c r="AF513" t="n">
        <v>5</v>
      </c>
      <c r="AG513" t="n">
        <v>6</v>
      </c>
      <c r="AH513" t="n">
        <v>1</v>
      </c>
      <c r="AI513" t="n">
        <v>1</v>
      </c>
      <c r="AJ513" t="n">
        <v>1</v>
      </c>
      <c r="AK513" t="n">
        <v>2</v>
      </c>
      <c r="AL513" t="n">
        <v>3</v>
      </c>
      <c r="AM513" t="n">
        <v>4</v>
      </c>
      <c r="AN513" t="n">
        <v>0</v>
      </c>
      <c r="AO513" t="n">
        <v>0</v>
      </c>
      <c r="AP513" t="n">
        <v>0</v>
      </c>
      <c r="AQ513" t="n">
        <v>0</v>
      </c>
      <c r="AR513" t="inlineStr">
        <is>
          <t>No</t>
        </is>
      </c>
      <c r="AS513" t="inlineStr">
        <is>
          <t>Yes</t>
        </is>
      </c>
      <c r="AT513">
        <f>HYPERLINK("http://catalog.hathitrust.org/Record/001633709","HathiTrust Record")</f>
        <v/>
      </c>
      <c r="AU513">
        <f>HYPERLINK("https://creighton-primo.hosted.exlibrisgroup.com/primo-explore/search?tab=default_tab&amp;search_scope=EVERYTHING&amp;vid=01CRU&amp;lang=en_US&amp;offset=0&amp;query=any,contains,991003664139702656","Catalog Record")</f>
        <v/>
      </c>
      <c r="AV513">
        <f>HYPERLINK("http://www.worldcat.org/oclc/1276651","WorldCat Record")</f>
        <v/>
      </c>
      <c r="AW513" t="inlineStr">
        <is>
          <t>146702593:eng</t>
        </is>
      </c>
      <c r="AX513" t="inlineStr">
        <is>
          <t>1276651</t>
        </is>
      </c>
      <c r="AY513" t="inlineStr">
        <is>
          <t>991003664139702656</t>
        </is>
      </c>
      <c r="AZ513" t="inlineStr">
        <is>
          <t>991003664139702656</t>
        </is>
      </c>
      <c r="BA513" t="inlineStr">
        <is>
          <t>2259872640002656</t>
        </is>
      </c>
      <c r="BB513" t="inlineStr">
        <is>
          <t>BOOK</t>
        </is>
      </c>
      <c r="BE513" t="inlineStr">
        <is>
          <t>32285001579787</t>
        </is>
      </c>
      <c r="BF513" t="inlineStr">
        <is>
          <t>893262861</t>
        </is>
      </c>
    </row>
    <row r="514">
      <c r="B514" t="inlineStr">
        <is>
          <t>CURAL</t>
        </is>
      </c>
      <c r="C514" t="inlineStr">
        <is>
          <t>SHELVES</t>
        </is>
      </c>
      <c r="D514" t="inlineStr">
        <is>
          <t>QP425 .C37</t>
        </is>
      </c>
      <c r="E514" t="inlineStr">
        <is>
          <t>0                      QP 0425000C  37</t>
        </is>
      </c>
      <c r="F514" t="inlineStr">
        <is>
          <t>A primer on sleep and dreaming / Rosalind Dymond Cartwright.</t>
        </is>
      </c>
      <c r="H514" t="inlineStr">
        <is>
          <t>No</t>
        </is>
      </c>
      <c r="I514" t="inlineStr">
        <is>
          <t>1</t>
        </is>
      </c>
      <c r="J514" t="inlineStr">
        <is>
          <t>No</t>
        </is>
      </c>
      <c r="K514" t="inlineStr">
        <is>
          <t>No</t>
        </is>
      </c>
      <c r="L514" t="inlineStr">
        <is>
          <t>0</t>
        </is>
      </c>
      <c r="M514" t="inlineStr">
        <is>
          <t>Cartwright, Rosalind Dymond.</t>
        </is>
      </c>
      <c r="N514" t="inlineStr">
        <is>
          <t>Reading, Mass. : Addison-Wesley Pub. Co., c1978.</t>
        </is>
      </c>
      <c r="O514" t="inlineStr">
        <is>
          <t>1978</t>
        </is>
      </c>
      <c r="Q514" t="inlineStr">
        <is>
          <t>eng</t>
        </is>
      </c>
      <c r="R514" t="inlineStr">
        <is>
          <t>mau</t>
        </is>
      </c>
      <c r="S514" t="inlineStr">
        <is>
          <t>Addison-Wesley series in clinical and professional psychology</t>
        </is>
      </c>
      <c r="T514" t="inlineStr">
        <is>
          <t xml:space="preserve">QP </t>
        </is>
      </c>
      <c r="U514" t="n">
        <v>30</v>
      </c>
      <c r="V514" t="n">
        <v>30</v>
      </c>
      <c r="W514" t="inlineStr">
        <is>
          <t>2003-02-06</t>
        </is>
      </c>
      <c r="X514" t="inlineStr">
        <is>
          <t>2003-02-06</t>
        </is>
      </c>
      <c r="Y514" t="inlineStr">
        <is>
          <t>1994-11-29</t>
        </is>
      </c>
      <c r="Z514" t="inlineStr">
        <is>
          <t>1994-11-29</t>
        </is>
      </c>
      <c r="AA514" t="n">
        <v>231</v>
      </c>
      <c r="AB514" t="n">
        <v>177</v>
      </c>
      <c r="AC514" t="n">
        <v>177</v>
      </c>
      <c r="AD514" t="n">
        <v>2</v>
      </c>
      <c r="AE514" t="n">
        <v>2</v>
      </c>
      <c r="AF514" t="n">
        <v>5</v>
      </c>
      <c r="AG514" t="n">
        <v>5</v>
      </c>
      <c r="AH514" t="n">
        <v>1</v>
      </c>
      <c r="AI514" t="n">
        <v>1</v>
      </c>
      <c r="AJ514" t="n">
        <v>0</v>
      </c>
      <c r="AK514" t="n">
        <v>0</v>
      </c>
      <c r="AL514" t="n">
        <v>3</v>
      </c>
      <c r="AM514" t="n">
        <v>3</v>
      </c>
      <c r="AN514" t="n">
        <v>1</v>
      </c>
      <c r="AO514" t="n">
        <v>1</v>
      </c>
      <c r="AP514" t="n">
        <v>0</v>
      </c>
      <c r="AQ514" t="n">
        <v>0</v>
      </c>
      <c r="AR514" t="inlineStr">
        <is>
          <t>No</t>
        </is>
      </c>
      <c r="AS514" t="inlineStr">
        <is>
          <t>No</t>
        </is>
      </c>
      <c r="AU514">
        <f>HYPERLINK("https://creighton-primo.hosted.exlibrisgroup.com/primo-explore/search?tab=default_tab&amp;search_scope=EVERYTHING&amp;vid=01CRU&amp;lang=en_US&amp;offset=0&amp;query=any,contains,991004551049702656","Catalog Record")</f>
        <v/>
      </c>
      <c r="AV514">
        <f>HYPERLINK("http://www.worldcat.org/oclc/3934713","WorldCat Record")</f>
        <v/>
      </c>
      <c r="AW514" t="inlineStr">
        <is>
          <t>416728:eng</t>
        </is>
      </c>
      <c r="AX514" t="inlineStr">
        <is>
          <t>3934713</t>
        </is>
      </c>
      <c r="AY514" t="inlineStr">
        <is>
          <t>991004551049702656</t>
        </is>
      </c>
      <c r="AZ514" t="inlineStr">
        <is>
          <t>991004551049702656</t>
        </is>
      </c>
      <c r="BA514" t="inlineStr">
        <is>
          <t>2268306830002656</t>
        </is>
      </c>
      <c r="BB514" t="inlineStr">
        <is>
          <t>BOOK</t>
        </is>
      </c>
      <c r="BD514" t="inlineStr">
        <is>
          <t>9780201009415</t>
        </is>
      </c>
      <c r="BE514" t="inlineStr">
        <is>
          <t>32285001778512</t>
        </is>
      </c>
      <c r="BF514" t="inlineStr">
        <is>
          <t>893712759</t>
        </is>
      </c>
    </row>
    <row r="515">
      <c r="B515" t="inlineStr">
        <is>
          <t>CURAL</t>
        </is>
      </c>
      <c r="C515" t="inlineStr">
        <is>
          <t>SHELVES</t>
        </is>
      </c>
      <c r="D515" t="inlineStr">
        <is>
          <t>QP425 .C59 1979</t>
        </is>
      </c>
      <c r="E515" t="inlineStr">
        <is>
          <t>0                      QP 0425000C  59          1979</t>
        </is>
      </c>
      <c r="F515" t="inlineStr">
        <is>
          <t>Sleep and dreaming : origins, nature and functions / by David B. Cohen.</t>
        </is>
      </c>
      <c r="H515" t="inlineStr">
        <is>
          <t>No</t>
        </is>
      </c>
      <c r="I515" t="inlineStr">
        <is>
          <t>1</t>
        </is>
      </c>
      <c r="J515" t="inlineStr">
        <is>
          <t>No</t>
        </is>
      </c>
      <c r="K515" t="inlineStr">
        <is>
          <t>No</t>
        </is>
      </c>
      <c r="L515" t="inlineStr">
        <is>
          <t>0</t>
        </is>
      </c>
      <c r="M515" t="inlineStr">
        <is>
          <t>Cohen, David B.</t>
        </is>
      </c>
      <c r="N515" t="inlineStr">
        <is>
          <t>Oxford, Eng. ; New York : Pergamon Press, c1979, 1980 printing.</t>
        </is>
      </c>
      <c r="O515" t="inlineStr">
        <is>
          <t>1979</t>
        </is>
      </c>
      <c r="P515" t="inlineStr">
        <is>
          <t>1st. ed.</t>
        </is>
      </c>
      <c r="Q515" t="inlineStr">
        <is>
          <t>eng</t>
        </is>
      </c>
      <c r="R515" t="inlineStr">
        <is>
          <t>enk</t>
        </is>
      </c>
      <c r="S515" t="inlineStr">
        <is>
          <t>International series in experimental psychology ; v. 23</t>
        </is>
      </c>
      <c r="T515" t="inlineStr">
        <is>
          <t xml:space="preserve">QP </t>
        </is>
      </c>
      <c r="U515" t="n">
        <v>44</v>
      </c>
      <c r="V515" t="n">
        <v>44</v>
      </c>
      <c r="W515" t="inlineStr">
        <is>
          <t>2003-01-29</t>
        </is>
      </c>
      <c r="X515" t="inlineStr">
        <is>
          <t>2003-01-29</t>
        </is>
      </c>
      <c r="Y515" t="inlineStr">
        <is>
          <t>1992-01-30</t>
        </is>
      </c>
      <c r="Z515" t="inlineStr">
        <is>
          <t>1992-01-30</t>
        </is>
      </c>
      <c r="AA515" t="n">
        <v>502</v>
      </c>
      <c r="AB515" t="n">
        <v>355</v>
      </c>
      <c r="AC515" t="n">
        <v>405</v>
      </c>
      <c r="AD515" t="n">
        <v>3</v>
      </c>
      <c r="AE515" t="n">
        <v>4</v>
      </c>
      <c r="AF515" t="n">
        <v>15</v>
      </c>
      <c r="AG515" t="n">
        <v>19</v>
      </c>
      <c r="AH515" t="n">
        <v>3</v>
      </c>
      <c r="AI515" t="n">
        <v>5</v>
      </c>
      <c r="AJ515" t="n">
        <v>2</v>
      </c>
      <c r="AK515" t="n">
        <v>4</v>
      </c>
      <c r="AL515" t="n">
        <v>11</v>
      </c>
      <c r="AM515" t="n">
        <v>11</v>
      </c>
      <c r="AN515" t="n">
        <v>2</v>
      </c>
      <c r="AO515" t="n">
        <v>3</v>
      </c>
      <c r="AP515" t="n">
        <v>0</v>
      </c>
      <c r="AQ515" t="n">
        <v>0</v>
      </c>
      <c r="AR515" t="inlineStr">
        <is>
          <t>No</t>
        </is>
      </c>
      <c r="AS515" t="inlineStr">
        <is>
          <t>Yes</t>
        </is>
      </c>
      <c r="AT515">
        <f>HYPERLINK("http://catalog.hathitrust.org/Record/000105318","HathiTrust Record")</f>
        <v/>
      </c>
      <c r="AU515">
        <f>HYPERLINK("https://creighton-primo.hosted.exlibrisgroup.com/primo-explore/search?tab=default_tab&amp;search_scope=EVERYTHING&amp;vid=01CRU&amp;lang=en_US&amp;offset=0&amp;query=any,contains,991004834589702656","Catalog Record")</f>
        <v/>
      </c>
      <c r="AV515">
        <f>HYPERLINK("http://www.worldcat.org/oclc/5436581","WorldCat Record")</f>
        <v/>
      </c>
      <c r="AW515" t="inlineStr">
        <is>
          <t>281127288:eng</t>
        </is>
      </c>
      <c r="AX515" t="inlineStr">
        <is>
          <t>5436581</t>
        </is>
      </c>
      <c r="AY515" t="inlineStr">
        <is>
          <t>991004834589702656</t>
        </is>
      </c>
      <c r="AZ515" t="inlineStr">
        <is>
          <t>991004834589702656</t>
        </is>
      </c>
      <c r="BA515" t="inlineStr">
        <is>
          <t>2263626380002656</t>
        </is>
      </c>
      <c r="BB515" t="inlineStr">
        <is>
          <t>BOOK</t>
        </is>
      </c>
      <c r="BD515" t="inlineStr">
        <is>
          <t>9780080214672</t>
        </is>
      </c>
      <c r="BE515" t="inlineStr">
        <is>
          <t>32285000930460</t>
        </is>
      </c>
      <c r="BF515" t="inlineStr">
        <is>
          <t>893520096</t>
        </is>
      </c>
    </row>
    <row r="516">
      <c r="B516" t="inlineStr">
        <is>
          <t>CURAL</t>
        </is>
      </c>
      <c r="C516" t="inlineStr">
        <is>
          <t>SHELVES</t>
        </is>
      </c>
      <c r="D516" t="inlineStr">
        <is>
          <t>QP425 .D44 1974</t>
        </is>
      </c>
      <c r="E516" t="inlineStr">
        <is>
          <t>0                      QP 0425000D  44          1974</t>
        </is>
      </c>
      <c r="F516" t="inlineStr">
        <is>
          <t>Some must watch while some must sleep / by William C. Dement.</t>
        </is>
      </c>
      <c r="H516" t="inlineStr">
        <is>
          <t>No</t>
        </is>
      </c>
      <c r="I516" t="inlineStr">
        <is>
          <t>1</t>
        </is>
      </c>
      <c r="J516" t="inlineStr">
        <is>
          <t>No</t>
        </is>
      </c>
      <c r="K516" t="inlineStr">
        <is>
          <t>No</t>
        </is>
      </c>
      <c r="L516" t="inlineStr">
        <is>
          <t>0</t>
        </is>
      </c>
      <c r="M516" t="inlineStr">
        <is>
          <t>Dement, William C., 1928-2020.</t>
        </is>
      </c>
      <c r="N516" t="inlineStr">
        <is>
          <t>San Francisco : W. H. Freeman ; trade distributor: Scribner, New York, [1974]</t>
        </is>
      </c>
      <c r="O516" t="inlineStr">
        <is>
          <t>1974</t>
        </is>
      </c>
      <c r="Q516" t="inlineStr">
        <is>
          <t>eng</t>
        </is>
      </c>
      <c r="R516" t="inlineStr">
        <is>
          <t>cau</t>
        </is>
      </c>
      <c r="T516" t="inlineStr">
        <is>
          <t xml:space="preserve">QP </t>
        </is>
      </c>
      <c r="U516" t="n">
        <v>20</v>
      </c>
      <c r="V516" t="n">
        <v>20</v>
      </c>
      <c r="W516" t="inlineStr">
        <is>
          <t>2004-07-20</t>
        </is>
      </c>
      <c r="X516" t="inlineStr">
        <is>
          <t>2004-07-20</t>
        </is>
      </c>
      <c r="Y516" t="inlineStr">
        <is>
          <t>1995-02-28</t>
        </is>
      </c>
      <c r="Z516" t="inlineStr">
        <is>
          <t>1995-02-28</t>
        </is>
      </c>
      <c r="AA516" t="n">
        <v>691</v>
      </c>
      <c r="AB516" t="n">
        <v>612</v>
      </c>
      <c r="AC516" t="n">
        <v>950</v>
      </c>
      <c r="AD516" t="n">
        <v>5</v>
      </c>
      <c r="AE516" t="n">
        <v>7</v>
      </c>
      <c r="AF516" t="n">
        <v>22</v>
      </c>
      <c r="AG516" t="n">
        <v>36</v>
      </c>
      <c r="AH516" t="n">
        <v>8</v>
      </c>
      <c r="AI516" t="n">
        <v>16</v>
      </c>
      <c r="AJ516" t="n">
        <v>5</v>
      </c>
      <c r="AK516" t="n">
        <v>7</v>
      </c>
      <c r="AL516" t="n">
        <v>10</v>
      </c>
      <c r="AM516" t="n">
        <v>18</v>
      </c>
      <c r="AN516" t="n">
        <v>3</v>
      </c>
      <c r="AO516" t="n">
        <v>5</v>
      </c>
      <c r="AP516" t="n">
        <v>0</v>
      </c>
      <c r="AQ516" t="n">
        <v>0</v>
      </c>
      <c r="AR516" t="inlineStr">
        <is>
          <t>No</t>
        </is>
      </c>
      <c r="AS516" t="inlineStr">
        <is>
          <t>No</t>
        </is>
      </c>
      <c r="AU516">
        <f>HYPERLINK("https://creighton-primo.hosted.exlibrisgroup.com/primo-explore/search?tab=default_tab&amp;search_scope=EVERYTHING&amp;vid=01CRU&amp;lang=en_US&amp;offset=0&amp;query=any,contains,991003353809702656","Catalog Record")</f>
        <v/>
      </c>
      <c r="AV516">
        <f>HYPERLINK("http://www.worldcat.org/oclc/886439","WorldCat Record")</f>
        <v/>
      </c>
      <c r="AW516" t="inlineStr">
        <is>
          <t>447100:eng</t>
        </is>
      </c>
      <c r="AX516" t="inlineStr">
        <is>
          <t>886439</t>
        </is>
      </c>
      <c r="AY516" t="inlineStr">
        <is>
          <t>991003353809702656</t>
        </is>
      </c>
      <c r="AZ516" t="inlineStr">
        <is>
          <t>991003353809702656</t>
        </is>
      </c>
      <c r="BA516" t="inlineStr">
        <is>
          <t>2257890560002656</t>
        </is>
      </c>
      <c r="BB516" t="inlineStr">
        <is>
          <t>BOOK</t>
        </is>
      </c>
      <c r="BD516" t="inlineStr">
        <is>
          <t>9780716707691</t>
        </is>
      </c>
      <c r="BE516" t="inlineStr">
        <is>
          <t>32285001779718</t>
        </is>
      </c>
      <c r="BF516" t="inlineStr">
        <is>
          <t>893780932</t>
        </is>
      </c>
    </row>
    <row r="517">
      <c r="B517" t="inlineStr">
        <is>
          <t>CURAL</t>
        </is>
      </c>
      <c r="C517" t="inlineStr">
        <is>
          <t>SHELVES</t>
        </is>
      </c>
      <c r="D517" t="inlineStr">
        <is>
          <t>QP425 .H25</t>
        </is>
      </c>
      <c r="E517" t="inlineStr">
        <is>
          <t>0                      QP 0425000H  25</t>
        </is>
      </c>
      <c r="F517" t="inlineStr">
        <is>
          <t>The functions of sleep / [by] Ernest L. Hartmann.</t>
        </is>
      </c>
      <c r="H517" t="inlineStr">
        <is>
          <t>No</t>
        </is>
      </c>
      <c r="I517" t="inlineStr">
        <is>
          <t>1</t>
        </is>
      </c>
      <c r="J517" t="inlineStr">
        <is>
          <t>No</t>
        </is>
      </c>
      <c r="K517" t="inlineStr">
        <is>
          <t>No</t>
        </is>
      </c>
      <c r="L517" t="inlineStr">
        <is>
          <t>0</t>
        </is>
      </c>
      <c r="M517" t="inlineStr">
        <is>
          <t>Hartmann, Ernest, 1934-</t>
        </is>
      </c>
      <c r="N517" t="inlineStr">
        <is>
          <t>New Haven : Yale University Press, 1973.</t>
        </is>
      </c>
      <c r="O517" t="inlineStr">
        <is>
          <t>1973</t>
        </is>
      </c>
      <c r="Q517" t="inlineStr">
        <is>
          <t>eng</t>
        </is>
      </c>
      <c r="R517" t="inlineStr">
        <is>
          <t>ctu</t>
        </is>
      </c>
      <c r="S517" t="inlineStr">
        <is>
          <t>Yale fastback ; 13</t>
        </is>
      </c>
      <c r="T517" t="inlineStr">
        <is>
          <t xml:space="preserve">QP </t>
        </is>
      </c>
      <c r="U517" t="n">
        <v>41</v>
      </c>
      <c r="V517" t="n">
        <v>41</v>
      </c>
      <c r="W517" t="inlineStr">
        <is>
          <t>2007-02-11</t>
        </is>
      </c>
      <c r="X517" t="inlineStr">
        <is>
          <t>2007-02-11</t>
        </is>
      </c>
      <c r="Y517" t="inlineStr">
        <is>
          <t>1990-11-19</t>
        </is>
      </c>
      <c r="Z517" t="inlineStr">
        <is>
          <t>1990-11-19</t>
        </is>
      </c>
      <c r="AA517" t="n">
        <v>886</v>
      </c>
      <c r="AB517" t="n">
        <v>736</v>
      </c>
      <c r="AC517" t="n">
        <v>740</v>
      </c>
      <c r="AD517" t="n">
        <v>7</v>
      </c>
      <c r="AE517" t="n">
        <v>7</v>
      </c>
      <c r="AF517" t="n">
        <v>25</v>
      </c>
      <c r="AG517" t="n">
        <v>26</v>
      </c>
      <c r="AH517" t="n">
        <v>8</v>
      </c>
      <c r="AI517" t="n">
        <v>8</v>
      </c>
      <c r="AJ517" t="n">
        <v>4</v>
      </c>
      <c r="AK517" t="n">
        <v>4</v>
      </c>
      <c r="AL517" t="n">
        <v>12</v>
      </c>
      <c r="AM517" t="n">
        <v>13</v>
      </c>
      <c r="AN517" t="n">
        <v>5</v>
      </c>
      <c r="AO517" t="n">
        <v>5</v>
      </c>
      <c r="AP517" t="n">
        <v>0</v>
      </c>
      <c r="AQ517" t="n">
        <v>0</v>
      </c>
      <c r="AR517" t="inlineStr">
        <is>
          <t>No</t>
        </is>
      </c>
      <c r="AS517" t="inlineStr">
        <is>
          <t>No</t>
        </is>
      </c>
      <c r="AU517">
        <f>HYPERLINK("https://creighton-primo.hosted.exlibrisgroup.com/primo-explore/search?tab=default_tab&amp;search_scope=EVERYTHING&amp;vid=01CRU&amp;lang=en_US&amp;offset=0&amp;query=any,contains,991003314469702656","Catalog Record")</f>
        <v/>
      </c>
      <c r="AV517">
        <f>HYPERLINK("http://www.worldcat.org/oclc/839107","WorldCat Record")</f>
        <v/>
      </c>
      <c r="AW517" t="inlineStr">
        <is>
          <t>571872:eng</t>
        </is>
      </c>
      <c r="AX517" t="inlineStr">
        <is>
          <t>839107</t>
        </is>
      </c>
      <c r="AY517" t="inlineStr">
        <is>
          <t>991003314469702656</t>
        </is>
      </c>
      <c r="AZ517" t="inlineStr">
        <is>
          <t>991003314469702656</t>
        </is>
      </c>
      <c r="BA517" t="inlineStr">
        <is>
          <t>2259409610002656</t>
        </is>
      </c>
      <c r="BB517" t="inlineStr">
        <is>
          <t>BOOK</t>
        </is>
      </c>
      <c r="BD517" t="inlineStr">
        <is>
          <t>9780300017007</t>
        </is>
      </c>
      <c r="BE517" t="inlineStr">
        <is>
          <t>32285000396985</t>
        </is>
      </c>
      <c r="BF517" t="inlineStr">
        <is>
          <t>893258305</t>
        </is>
      </c>
    </row>
    <row r="518">
      <c r="B518" t="inlineStr">
        <is>
          <t>CURAL</t>
        </is>
      </c>
      <c r="C518" t="inlineStr">
        <is>
          <t>SHELVES</t>
        </is>
      </c>
      <c r="D518" t="inlineStr">
        <is>
          <t>QP425 .H555 1989</t>
        </is>
      </c>
      <c r="E518" t="inlineStr">
        <is>
          <t>0                      QP 0425000H  555         1989</t>
        </is>
      </c>
      <c r="F518" t="inlineStr">
        <is>
          <t>Sleep / J. Allan Hobson.</t>
        </is>
      </c>
      <c r="H518" t="inlineStr">
        <is>
          <t>No</t>
        </is>
      </c>
      <c r="I518" t="inlineStr">
        <is>
          <t>1</t>
        </is>
      </c>
      <c r="J518" t="inlineStr">
        <is>
          <t>Yes</t>
        </is>
      </c>
      <c r="K518" t="inlineStr">
        <is>
          <t>No</t>
        </is>
      </c>
      <c r="L518" t="inlineStr">
        <is>
          <t>0</t>
        </is>
      </c>
      <c r="M518" t="inlineStr">
        <is>
          <t>Hobson, J. Allan, 1933-</t>
        </is>
      </c>
      <c r="N518" t="inlineStr">
        <is>
          <t>New York : Scientific American Library, c1989.</t>
        </is>
      </c>
      <c r="O518" t="inlineStr">
        <is>
          <t>1989</t>
        </is>
      </c>
      <c r="Q518" t="inlineStr">
        <is>
          <t>eng</t>
        </is>
      </c>
      <c r="R518" t="inlineStr">
        <is>
          <t>nyu</t>
        </is>
      </c>
      <c r="T518" t="inlineStr">
        <is>
          <t xml:space="preserve">QP </t>
        </is>
      </c>
      <c r="U518" t="n">
        <v>25</v>
      </c>
      <c r="V518" t="n">
        <v>46</v>
      </c>
      <c r="W518" t="inlineStr">
        <is>
          <t>2001-10-24</t>
        </is>
      </c>
      <c r="X518" t="inlineStr">
        <is>
          <t>2001-11-19</t>
        </is>
      </c>
      <c r="Y518" t="inlineStr">
        <is>
          <t>1989-10-20</t>
        </is>
      </c>
      <c r="Z518" t="inlineStr">
        <is>
          <t>1989-10-20</t>
        </is>
      </c>
      <c r="AA518" t="n">
        <v>975</v>
      </c>
      <c r="AB518" t="n">
        <v>827</v>
      </c>
      <c r="AC518" t="n">
        <v>905</v>
      </c>
      <c r="AD518" t="n">
        <v>7</v>
      </c>
      <c r="AE518" t="n">
        <v>8</v>
      </c>
      <c r="AF518" t="n">
        <v>26</v>
      </c>
      <c r="AG518" t="n">
        <v>28</v>
      </c>
      <c r="AH518" t="n">
        <v>9</v>
      </c>
      <c r="AI518" t="n">
        <v>11</v>
      </c>
      <c r="AJ518" t="n">
        <v>4</v>
      </c>
      <c r="AK518" t="n">
        <v>4</v>
      </c>
      <c r="AL518" t="n">
        <v>14</v>
      </c>
      <c r="AM518" t="n">
        <v>15</v>
      </c>
      <c r="AN518" t="n">
        <v>5</v>
      </c>
      <c r="AO518" t="n">
        <v>5</v>
      </c>
      <c r="AP518" t="n">
        <v>0</v>
      </c>
      <c r="AQ518" t="n">
        <v>0</v>
      </c>
      <c r="AR518" t="inlineStr">
        <is>
          <t>No</t>
        </is>
      </c>
      <c r="AS518" t="inlineStr">
        <is>
          <t>No</t>
        </is>
      </c>
      <c r="AU518">
        <f>HYPERLINK("https://creighton-primo.hosted.exlibrisgroup.com/primo-explore/search?tab=default_tab&amp;search_scope=EVERYTHING&amp;vid=01CRU&amp;lang=en_US&amp;offset=0&amp;query=any,contains,991001791979702656","Catalog Record")</f>
        <v/>
      </c>
      <c r="AV518">
        <f>HYPERLINK("http://www.worldcat.org/oclc/18949644","WorldCat Record")</f>
        <v/>
      </c>
      <c r="AW518" t="inlineStr">
        <is>
          <t>19449827:eng</t>
        </is>
      </c>
      <c r="AX518" t="inlineStr">
        <is>
          <t>18949644</t>
        </is>
      </c>
      <c r="AY518" t="inlineStr">
        <is>
          <t>991001791979702656</t>
        </is>
      </c>
      <c r="AZ518" t="inlineStr">
        <is>
          <t>991001791979702656</t>
        </is>
      </c>
      <c r="BA518" t="inlineStr">
        <is>
          <t>2270747100002656</t>
        </is>
      </c>
      <c r="BB518" t="inlineStr">
        <is>
          <t>BOOK</t>
        </is>
      </c>
      <c r="BD518" t="inlineStr">
        <is>
          <t>9780716750505</t>
        </is>
      </c>
      <c r="BE518" t="inlineStr">
        <is>
          <t>32285000001288</t>
        </is>
      </c>
      <c r="BF518" t="inlineStr">
        <is>
          <t>893803906</t>
        </is>
      </c>
    </row>
    <row r="519">
      <c r="B519" t="inlineStr">
        <is>
          <t>CURAL</t>
        </is>
      </c>
      <c r="C519" t="inlineStr">
        <is>
          <t>SHELVES</t>
        </is>
      </c>
      <c r="D519" t="inlineStr">
        <is>
          <t>QP425 .K53 1963</t>
        </is>
      </c>
      <c r="E519" t="inlineStr">
        <is>
          <t>0                      QP 0425000K  53          1963</t>
        </is>
      </c>
      <c r="F519" t="inlineStr">
        <is>
          <t>Sleep and wakefulness.</t>
        </is>
      </c>
      <c r="H519" t="inlineStr">
        <is>
          <t>No</t>
        </is>
      </c>
      <c r="I519" t="inlineStr">
        <is>
          <t>1</t>
        </is>
      </c>
      <c r="J519" t="inlineStr">
        <is>
          <t>No</t>
        </is>
      </c>
      <c r="K519" t="inlineStr">
        <is>
          <t>No</t>
        </is>
      </c>
      <c r="L519" t="inlineStr">
        <is>
          <t>0</t>
        </is>
      </c>
      <c r="M519" t="inlineStr">
        <is>
          <t>Kleitman, Nathaniel, 1895-1999.</t>
        </is>
      </c>
      <c r="N519" t="inlineStr">
        <is>
          <t>Chicago : University of Chicago Press, [1963]</t>
        </is>
      </c>
      <c r="O519" t="inlineStr">
        <is>
          <t>1963</t>
        </is>
      </c>
      <c r="P519" t="inlineStr">
        <is>
          <t>Rev. and enl. ed.</t>
        </is>
      </c>
      <c r="Q519" t="inlineStr">
        <is>
          <t>eng</t>
        </is>
      </c>
      <c r="R519" t="inlineStr">
        <is>
          <t>ilu</t>
        </is>
      </c>
      <c r="T519" t="inlineStr">
        <is>
          <t xml:space="preserve">QP </t>
        </is>
      </c>
      <c r="U519" t="n">
        <v>24</v>
      </c>
      <c r="V519" t="n">
        <v>24</v>
      </c>
      <c r="W519" t="inlineStr">
        <is>
          <t>2000-02-08</t>
        </is>
      </c>
      <c r="X519" t="inlineStr">
        <is>
          <t>2000-02-08</t>
        </is>
      </c>
      <c r="Y519" t="inlineStr">
        <is>
          <t>1990-11-19</t>
        </is>
      </c>
      <c r="Z519" t="inlineStr">
        <is>
          <t>1990-11-19</t>
        </is>
      </c>
      <c r="AA519" t="n">
        <v>823</v>
      </c>
      <c r="AB519" t="n">
        <v>694</v>
      </c>
      <c r="AC519" t="n">
        <v>739</v>
      </c>
      <c r="AD519" t="n">
        <v>9</v>
      </c>
      <c r="AE519" t="n">
        <v>9</v>
      </c>
      <c r="AF519" t="n">
        <v>28</v>
      </c>
      <c r="AG519" t="n">
        <v>34</v>
      </c>
      <c r="AH519" t="n">
        <v>7</v>
      </c>
      <c r="AI519" t="n">
        <v>12</v>
      </c>
      <c r="AJ519" t="n">
        <v>5</v>
      </c>
      <c r="AK519" t="n">
        <v>5</v>
      </c>
      <c r="AL519" t="n">
        <v>12</v>
      </c>
      <c r="AM519" t="n">
        <v>17</v>
      </c>
      <c r="AN519" t="n">
        <v>8</v>
      </c>
      <c r="AO519" t="n">
        <v>8</v>
      </c>
      <c r="AP519" t="n">
        <v>0</v>
      </c>
      <c r="AQ519" t="n">
        <v>0</v>
      </c>
      <c r="AR519" t="inlineStr">
        <is>
          <t>No</t>
        </is>
      </c>
      <c r="AS519" t="inlineStr">
        <is>
          <t>Yes</t>
        </is>
      </c>
      <c r="AT519">
        <f>HYPERLINK("http://catalog.hathitrust.org/Record/001554936","HathiTrust Record")</f>
        <v/>
      </c>
      <c r="AU519">
        <f>HYPERLINK("https://creighton-primo.hosted.exlibrisgroup.com/primo-explore/search?tab=default_tab&amp;search_scope=EVERYTHING&amp;vid=01CRU&amp;lang=en_US&amp;offset=0&amp;query=any,contains,991002972729702656","Catalog Record")</f>
        <v/>
      </c>
      <c r="AV519">
        <f>HYPERLINK("http://www.worldcat.org/oclc/550312","WorldCat Record")</f>
        <v/>
      </c>
      <c r="AW519" t="inlineStr">
        <is>
          <t>418666:eng</t>
        </is>
      </c>
      <c r="AX519" t="inlineStr">
        <is>
          <t>550312</t>
        </is>
      </c>
      <c r="AY519" t="inlineStr">
        <is>
          <t>991002972729702656</t>
        </is>
      </c>
      <c r="AZ519" t="inlineStr">
        <is>
          <t>991002972729702656</t>
        </is>
      </c>
      <c r="BA519" t="inlineStr">
        <is>
          <t>2254828650002656</t>
        </is>
      </c>
      <c r="BB519" t="inlineStr">
        <is>
          <t>BOOK</t>
        </is>
      </c>
      <c r="BE519" t="inlineStr">
        <is>
          <t>32285000396993</t>
        </is>
      </c>
      <c r="BF519" t="inlineStr">
        <is>
          <t>893598121</t>
        </is>
      </c>
    </row>
    <row r="520">
      <c r="B520" t="inlineStr">
        <is>
          <t>CURAL</t>
        </is>
      </c>
      <c r="C520" t="inlineStr">
        <is>
          <t>SHELVES</t>
        </is>
      </c>
      <c r="D520" t="inlineStr">
        <is>
          <t>QP425 .K63</t>
        </is>
      </c>
      <c r="E520" t="inlineStr">
        <is>
          <t>0                      QP 0425000K  63</t>
        </is>
      </c>
      <c r="F520" t="inlineStr">
        <is>
          <t>Sleep, its nature and physiological organization / by Werner P. Koella. With a foreword by Hudson Hoagland.</t>
        </is>
      </c>
      <c r="H520" t="inlineStr">
        <is>
          <t>No</t>
        </is>
      </c>
      <c r="I520" t="inlineStr">
        <is>
          <t>1</t>
        </is>
      </c>
      <c r="J520" t="inlineStr">
        <is>
          <t>No</t>
        </is>
      </c>
      <c r="K520" t="inlineStr">
        <is>
          <t>No</t>
        </is>
      </c>
      <c r="L520" t="inlineStr">
        <is>
          <t>0</t>
        </is>
      </c>
      <c r="M520" t="inlineStr">
        <is>
          <t>Koella, Werner P. (Werner Paul), 1917-</t>
        </is>
      </c>
      <c r="N520" t="inlineStr">
        <is>
          <t>Springfield, Ill. : Thomas, [1967]</t>
        </is>
      </c>
      <c r="O520" t="inlineStr">
        <is>
          <t>1967</t>
        </is>
      </c>
      <c r="Q520" t="inlineStr">
        <is>
          <t>eng</t>
        </is>
      </c>
      <c r="R520" t="inlineStr">
        <is>
          <t>ilu</t>
        </is>
      </c>
      <c r="T520" t="inlineStr">
        <is>
          <t xml:space="preserve">QP </t>
        </is>
      </c>
      <c r="U520" t="n">
        <v>16</v>
      </c>
      <c r="V520" t="n">
        <v>16</v>
      </c>
      <c r="W520" t="inlineStr">
        <is>
          <t>2000-02-08</t>
        </is>
      </c>
      <c r="X520" t="inlineStr">
        <is>
          <t>2000-02-08</t>
        </is>
      </c>
      <c r="Y520" t="inlineStr">
        <is>
          <t>1990-11-19</t>
        </is>
      </c>
      <c r="Z520" t="inlineStr">
        <is>
          <t>1990-11-19</t>
        </is>
      </c>
      <c r="AA520" t="n">
        <v>331</v>
      </c>
      <c r="AB520" t="n">
        <v>268</v>
      </c>
      <c r="AC520" t="n">
        <v>274</v>
      </c>
      <c r="AD520" t="n">
        <v>3</v>
      </c>
      <c r="AE520" t="n">
        <v>3</v>
      </c>
      <c r="AF520" t="n">
        <v>7</v>
      </c>
      <c r="AG520" t="n">
        <v>7</v>
      </c>
      <c r="AH520" t="n">
        <v>0</v>
      </c>
      <c r="AI520" t="n">
        <v>0</v>
      </c>
      <c r="AJ520" t="n">
        <v>2</v>
      </c>
      <c r="AK520" t="n">
        <v>2</v>
      </c>
      <c r="AL520" t="n">
        <v>4</v>
      </c>
      <c r="AM520" t="n">
        <v>4</v>
      </c>
      <c r="AN520" t="n">
        <v>2</v>
      </c>
      <c r="AO520" t="n">
        <v>2</v>
      </c>
      <c r="AP520" t="n">
        <v>0</v>
      </c>
      <c r="AQ520" t="n">
        <v>0</v>
      </c>
      <c r="AR520" t="inlineStr">
        <is>
          <t>No</t>
        </is>
      </c>
      <c r="AS520" t="inlineStr">
        <is>
          <t>No</t>
        </is>
      </c>
      <c r="AU520">
        <f>HYPERLINK("https://creighton-primo.hosted.exlibrisgroup.com/primo-explore/search?tab=default_tab&amp;search_scope=EVERYTHING&amp;vid=01CRU&amp;lang=en_US&amp;offset=0&amp;query=any,contains,991003474389702656","Catalog Record")</f>
        <v/>
      </c>
      <c r="AV520">
        <f>HYPERLINK("http://www.worldcat.org/oclc/1018265","WorldCat Record")</f>
        <v/>
      </c>
      <c r="AW520" t="inlineStr">
        <is>
          <t>3753780669:eng</t>
        </is>
      </c>
      <c r="AX520" t="inlineStr">
        <is>
          <t>1018265</t>
        </is>
      </c>
      <c r="AY520" t="inlineStr">
        <is>
          <t>991003474389702656</t>
        </is>
      </c>
      <c r="AZ520" t="inlineStr">
        <is>
          <t>991003474389702656</t>
        </is>
      </c>
      <c r="BA520" t="inlineStr">
        <is>
          <t>2257517920002656</t>
        </is>
      </c>
      <c r="BB520" t="inlineStr">
        <is>
          <t>BOOK</t>
        </is>
      </c>
      <c r="BE520" t="inlineStr">
        <is>
          <t>32285000397009</t>
        </is>
      </c>
      <c r="BF520" t="inlineStr">
        <is>
          <t>893781047</t>
        </is>
      </c>
    </row>
    <row r="521">
      <c r="B521" t="inlineStr">
        <is>
          <t>CURAL</t>
        </is>
      </c>
      <c r="C521" t="inlineStr">
        <is>
          <t>SHELVES</t>
        </is>
      </c>
      <c r="D521" t="inlineStr">
        <is>
          <t>QP425 .M66 1989</t>
        </is>
      </c>
      <c r="E521" t="inlineStr">
        <is>
          <t>0                      QP 0425000M  66          1989</t>
        </is>
      </c>
      <c r="F521" t="inlineStr">
        <is>
          <t>Sleep, dreaming, and sleep disorders : an introduction / William H. Moorcroft.</t>
        </is>
      </c>
      <c r="H521" t="inlineStr">
        <is>
          <t>No</t>
        </is>
      </c>
      <c r="I521" t="inlineStr">
        <is>
          <t>1</t>
        </is>
      </c>
      <c r="J521" t="inlineStr">
        <is>
          <t>No</t>
        </is>
      </c>
      <c r="K521" t="inlineStr">
        <is>
          <t>No</t>
        </is>
      </c>
      <c r="L521" t="inlineStr">
        <is>
          <t>0</t>
        </is>
      </c>
      <c r="M521" t="inlineStr">
        <is>
          <t>Moorcroft, William H., 1944-</t>
        </is>
      </c>
      <c r="N521" t="inlineStr">
        <is>
          <t>Lanham, MD : University Press of America, c1989.</t>
        </is>
      </c>
      <c r="O521" t="inlineStr">
        <is>
          <t>1989</t>
        </is>
      </c>
      <c r="Q521" t="inlineStr">
        <is>
          <t>eng</t>
        </is>
      </c>
      <c r="R521" t="inlineStr">
        <is>
          <t>mdu</t>
        </is>
      </c>
      <c r="T521" t="inlineStr">
        <is>
          <t xml:space="preserve">QP </t>
        </is>
      </c>
      <c r="U521" t="n">
        <v>69</v>
      </c>
      <c r="V521" t="n">
        <v>69</v>
      </c>
      <c r="W521" t="inlineStr">
        <is>
          <t>2007-10-07</t>
        </is>
      </c>
      <c r="X521" t="inlineStr">
        <is>
          <t>2007-10-07</t>
        </is>
      </c>
      <c r="Y521" t="inlineStr">
        <is>
          <t>1992-02-21</t>
        </is>
      </c>
      <c r="Z521" t="inlineStr">
        <is>
          <t>1992-02-21</t>
        </is>
      </c>
      <c r="AA521" t="n">
        <v>216</v>
      </c>
      <c r="AB521" t="n">
        <v>188</v>
      </c>
      <c r="AC521" t="n">
        <v>333</v>
      </c>
      <c r="AD521" t="n">
        <v>1</v>
      </c>
      <c r="AE521" t="n">
        <v>1</v>
      </c>
      <c r="AF521" t="n">
        <v>4</v>
      </c>
      <c r="AG521" t="n">
        <v>8</v>
      </c>
      <c r="AH521" t="n">
        <v>1</v>
      </c>
      <c r="AI521" t="n">
        <v>2</v>
      </c>
      <c r="AJ521" t="n">
        <v>1</v>
      </c>
      <c r="AK521" t="n">
        <v>2</v>
      </c>
      <c r="AL521" t="n">
        <v>3</v>
      </c>
      <c r="AM521" t="n">
        <v>7</v>
      </c>
      <c r="AN521" t="n">
        <v>0</v>
      </c>
      <c r="AO521" t="n">
        <v>0</v>
      </c>
      <c r="AP521" t="n">
        <v>0</v>
      </c>
      <c r="AQ521" t="n">
        <v>0</v>
      </c>
      <c r="AR521" t="inlineStr">
        <is>
          <t>No</t>
        </is>
      </c>
      <c r="AS521" t="inlineStr">
        <is>
          <t>Yes</t>
        </is>
      </c>
      <c r="AT521">
        <f>HYPERLINK("http://catalog.hathitrust.org/Record/002729585","HathiTrust Record")</f>
        <v/>
      </c>
      <c r="AU521">
        <f>HYPERLINK("https://creighton-primo.hosted.exlibrisgroup.com/primo-explore/search?tab=default_tab&amp;search_scope=EVERYTHING&amp;vid=01CRU&amp;lang=en_US&amp;offset=0&amp;query=any,contains,991001461969702656","Catalog Record")</f>
        <v/>
      </c>
      <c r="AV521">
        <f>HYPERLINK("http://www.worldcat.org/oclc/19455800","WorldCat Record")</f>
        <v/>
      </c>
      <c r="AW521" t="inlineStr">
        <is>
          <t>836839929:eng</t>
        </is>
      </c>
      <c r="AX521" t="inlineStr">
        <is>
          <t>19455800</t>
        </is>
      </c>
      <c r="AY521" t="inlineStr">
        <is>
          <t>991001461969702656</t>
        </is>
      </c>
      <c r="AZ521" t="inlineStr">
        <is>
          <t>991001461969702656</t>
        </is>
      </c>
      <c r="BA521" t="inlineStr">
        <is>
          <t>2270595040002656</t>
        </is>
      </c>
      <c r="BB521" t="inlineStr">
        <is>
          <t>BOOK</t>
        </is>
      </c>
      <c r="BD521" t="inlineStr">
        <is>
          <t>9780819174352</t>
        </is>
      </c>
      <c r="BE521" t="inlineStr">
        <is>
          <t>32285000935188</t>
        </is>
      </c>
      <c r="BF521" t="inlineStr">
        <is>
          <t>893225865</t>
        </is>
      </c>
    </row>
    <row r="522">
      <c r="B522" t="inlineStr">
        <is>
          <t>CURAL</t>
        </is>
      </c>
      <c r="C522" t="inlineStr">
        <is>
          <t>SHELVES</t>
        </is>
      </c>
      <c r="D522" t="inlineStr">
        <is>
          <t>QP425 .M83</t>
        </is>
      </c>
      <c r="E522" t="inlineStr">
        <is>
          <t>0                      QP 0425000M  83</t>
        </is>
      </c>
      <c r="F522" t="inlineStr">
        <is>
          <t>Sleep, dreams, and arousal / [by] Edward J. Murray.</t>
        </is>
      </c>
      <c r="H522" t="inlineStr">
        <is>
          <t>No</t>
        </is>
      </c>
      <c r="I522" t="inlineStr">
        <is>
          <t>1</t>
        </is>
      </c>
      <c r="J522" t="inlineStr">
        <is>
          <t>No</t>
        </is>
      </c>
      <c r="K522" t="inlineStr">
        <is>
          <t>No</t>
        </is>
      </c>
      <c r="L522" t="inlineStr">
        <is>
          <t>0</t>
        </is>
      </c>
      <c r="M522" t="inlineStr">
        <is>
          <t>Murray, Edward J.</t>
        </is>
      </c>
      <c r="N522" t="inlineStr">
        <is>
          <t>New York : Appleton-Century-Crofts, [1965]</t>
        </is>
      </c>
      <c r="O522" t="inlineStr">
        <is>
          <t>1965</t>
        </is>
      </c>
      <c r="Q522" t="inlineStr">
        <is>
          <t>eng</t>
        </is>
      </c>
      <c r="R522" t="inlineStr">
        <is>
          <t>nyu</t>
        </is>
      </c>
      <c r="S522" t="inlineStr">
        <is>
          <t>The Century psychology series</t>
        </is>
      </c>
      <c r="T522" t="inlineStr">
        <is>
          <t xml:space="preserve">QP </t>
        </is>
      </c>
      <c r="U522" t="n">
        <v>30</v>
      </c>
      <c r="V522" t="n">
        <v>30</v>
      </c>
      <c r="W522" t="inlineStr">
        <is>
          <t>2003-01-29</t>
        </is>
      </c>
      <c r="X522" t="inlineStr">
        <is>
          <t>2003-01-29</t>
        </is>
      </c>
      <c r="Y522" t="inlineStr">
        <is>
          <t>1992-11-05</t>
        </is>
      </c>
      <c r="Z522" t="inlineStr">
        <is>
          <t>1992-11-05</t>
        </is>
      </c>
      <c r="AA522" t="n">
        <v>574</v>
      </c>
      <c r="AB522" t="n">
        <v>484</v>
      </c>
      <c r="AC522" t="n">
        <v>486</v>
      </c>
      <c r="AD522" t="n">
        <v>4</v>
      </c>
      <c r="AE522" t="n">
        <v>4</v>
      </c>
      <c r="AF522" t="n">
        <v>19</v>
      </c>
      <c r="AG522" t="n">
        <v>19</v>
      </c>
      <c r="AH522" t="n">
        <v>7</v>
      </c>
      <c r="AI522" t="n">
        <v>7</v>
      </c>
      <c r="AJ522" t="n">
        <v>3</v>
      </c>
      <c r="AK522" t="n">
        <v>3</v>
      </c>
      <c r="AL522" t="n">
        <v>10</v>
      </c>
      <c r="AM522" t="n">
        <v>10</v>
      </c>
      <c r="AN522" t="n">
        <v>3</v>
      </c>
      <c r="AO522" t="n">
        <v>3</v>
      </c>
      <c r="AP522" t="n">
        <v>0</v>
      </c>
      <c r="AQ522" t="n">
        <v>0</v>
      </c>
      <c r="AR522" t="inlineStr">
        <is>
          <t>No</t>
        </is>
      </c>
      <c r="AS522" t="inlineStr">
        <is>
          <t>Yes</t>
        </is>
      </c>
      <c r="AT522">
        <f>HYPERLINK("http://catalog.hathitrust.org/Record/001554939","HathiTrust Record")</f>
        <v/>
      </c>
      <c r="AU522">
        <f>HYPERLINK("https://creighton-primo.hosted.exlibrisgroup.com/primo-explore/search?tab=default_tab&amp;search_scope=EVERYTHING&amp;vid=01CRU&amp;lang=en_US&amp;offset=0&amp;query=any,contains,991002988949702656","Catalog Record")</f>
        <v/>
      </c>
      <c r="AV522">
        <f>HYPERLINK("http://www.worldcat.org/oclc/559324","WorldCat Record")</f>
        <v/>
      </c>
      <c r="AW522" t="inlineStr">
        <is>
          <t>1629223:eng</t>
        </is>
      </c>
      <c r="AX522" t="inlineStr">
        <is>
          <t>559324</t>
        </is>
      </c>
      <c r="AY522" t="inlineStr">
        <is>
          <t>991002988949702656</t>
        </is>
      </c>
      <c r="AZ522" t="inlineStr">
        <is>
          <t>991002988949702656</t>
        </is>
      </c>
      <c r="BA522" t="inlineStr">
        <is>
          <t>2262152780002656</t>
        </is>
      </c>
      <c r="BB522" t="inlineStr">
        <is>
          <t>BOOK</t>
        </is>
      </c>
      <c r="BE522" t="inlineStr">
        <is>
          <t>32285001382547</t>
        </is>
      </c>
      <c r="BF522" t="inlineStr">
        <is>
          <t>893780492</t>
        </is>
      </c>
    </row>
    <row r="523">
      <c r="B523" t="inlineStr">
        <is>
          <t>CURAL</t>
        </is>
      </c>
      <c r="C523" t="inlineStr">
        <is>
          <t>SHELVES</t>
        </is>
      </c>
      <c r="D523" t="inlineStr">
        <is>
          <t>QP425 .N67 1978</t>
        </is>
      </c>
      <c r="E523" t="inlineStr">
        <is>
          <t>0                      QP 0425000N  67          1978</t>
        </is>
      </c>
      <c r="F523" t="inlineStr">
        <is>
          <t>Sleep research : proceedings of the Northern European Symposium on Sleep Research, Basle, September 26 and 27, 1978 / edited by R. G. Priest, A. Pletscher, and J. Ward.</t>
        </is>
      </c>
      <c r="H523" t="inlineStr">
        <is>
          <t>No</t>
        </is>
      </c>
      <c r="I523" t="inlineStr">
        <is>
          <t>1</t>
        </is>
      </c>
      <c r="J523" t="inlineStr">
        <is>
          <t>No</t>
        </is>
      </c>
      <c r="K523" t="inlineStr">
        <is>
          <t>No</t>
        </is>
      </c>
      <c r="L523" t="inlineStr">
        <is>
          <t>0</t>
        </is>
      </c>
      <c r="M523" t="inlineStr">
        <is>
          <t>Northern European Symposium on Sleep Research (1978 : Basel, Switzerland)</t>
        </is>
      </c>
      <c r="N523" t="inlineStr">
        <is>
          <t>Baltimore : University Park Press, c1979.</t>
        </is>
      </c>
      <c r="O523" t="inlineStr">
        <is>
          <t>1979</t>
        </is>
      </c>
      <c r="Q523" t="inlineStr">
        <is>
          <t>eng</t>
        </is>
      </c>
      <c r="R523" t="inlineStr">
        <is>
          <t>mdu</t>
        </is>
      </c>
      <c r="T523" t="inlineStr">
        <is>
          <t xml:space="preserve">QP </t>
        </is>
      </c>
      <c r="U523" t="n">
        <v>20</v>
      </c>
      <c r="V523" t="n">
        <v>20</v>
      </c>
      <c r="W523" t="inlineStr">
        <is>
          <t>2001-09-17</t>
        </is>
      </c>
      <c r="X523" t="inlineStr">
        <is>
          <t>2001-09-17</t>
        </is>
      </c>
      <c r="Y523" t="inlineStr">
        <is>
          <t>1993-02-25</t>
        </is>
      </c>
      <c r="Z523" t="inlineStr">
        <is>
          <t>1993-02-25</t>
        </is>
      </c>
      <c r="AA523" t="n">
        <v>178</v>
      </c>
      <c r="AB523" t="n">
        <v>165</v>
      </c>
      <c r="AC523" t="n">
        <v>220</v>
      </c>
      <c r="AD523" t="n">
        <v>3</v>
      </c>
      <c r="AE523" t="n">
        <v>4</v>
      </c>
      <c r="AF523" t="n">
        <v>9</v>
      </c>
      <c r="AG523" t="n">
        <v>12</v>
      </c>
      <c r="AH523" t="n">
        <v>4</v>
      </c>
      <c r="AI523" t="n">
        <v>5</v>
      </c>
      <c r="AJ523" t="n">
        <v>2</v>
      </c>
      <c r="AK523" t="n">
        <v>2</v>
      </c>
      <c r="AL523" t="n">
        <v>4</v>
      </c>
      <c r="AM523" t="n">
        <v>6</v>
      </c>
      <c r="AN523" t="n">
        <v>2</v>
      </c>
      <c r="AO523" t="n">
        <v>3</v>
      </c>
      <c r="AP523" t="n">
        <v>0</v>
      </c>
      <c r="AQ523" t="n">
        <v>0</v>
      </c>
      <c r="AR523" t="inlineStr">
        <is>
          <t>No</t>
        </is>
      </c>
      <c r="AS523" t="inlineStr">
        <is>
          <t>No</t>
        </is>
      </c>
      <c r="AU523">
        <f>HYPERLINK("https://creighton-primo.hosted.exlibrisgroup.com/primo-explore/search?tab=default_tab&amp;search_scope=EVERYTHING&amp;vid=01CRU&amp;lang=en_US&amp;offset=0&amp;query=any,contains,991004712099702656","Catalog Record")</f>
        <v/>
      </c>
      <c r="AV523">
        <f>HYPERLINK("http://www.worldcat.org/oclc/4774510","WorldCat Record")</f>
        <v/>
      </c>
      <c r="AW523" t="inlineStr">
        <is>
          <t>15030927:eng</t>
        </is>
      </c>
      <c r="AX523" t="inlineStr">
        <is>
          <t>4774510</t>
        </is>
      </c>
      <c r="AY523" t="inlineStr">
        <is>
          <t>991004712099702656</t>
        </is>
      </c>
      <c r="AZ523" t="inlineStr">
        <is>
          <t>991004712099702656</t>
        </is>
      </c>
      <c r="BA523" t="inlineStr">
        <is>
          <t>2257157810002656</t>
        </is>
      </c>
      <c r="BB523" t="inlineStr">
        <is>
          <t>BOOK</t>
        </is>
      </c>
      <c r="BD523" t="inlineStr">
        <is>
          <t>9780839114307</t>
        </is>
      </c>
      <c r="BE523" t="inlineStr">
        <is>
          <t>32285001538221</t>
        </is>
      </c>
      <c r="BF523" t="inlineStr">
        <is>
          <t>893694234</t>
        </is>
      </c>
    </row>
    <row r="524">
      <c r="B524" t="inlineStr">
        <is>
          <t>CURAL</t>
        </is>
      </c>
      <c r="C524" t="inlineStr">
        <is>
          <t>SHELVES</t>
        </is>
      </c>
      <c r="D524" t="inlineStr">
        <is>
          <t>QP425 .S54 1970</t>
        </is>
      </c>
      <c r="E524" t="inlineStr">
        <is>
          <t>0                      QP 0425000S  54          1970</t>
        </is>
      </c>
      <c r="F524" t="inlineStr">
        <is>
          <t>Sleep and dreaming / edited by Ernest Hartmann.</t>
        </is>
      </c>
      <c r="H524" t="inlineStr">
        <is>
          <t>No</t>
        </is>
      </c>
      <c r="I524" t="inlineStr">
        <is>
          <t>1</t>
        </is>
      </c>
      <c r="J524" t="inlineStr">
        <is>
          <t>No</t>
        </is>
      </c>
      <c r="K524" t="inlineStr">
        <is>
          <t>No</t>
        </is>
      </c>
      <c r="L524" t="inlineStr">
        <is>
          <t>0</t>
        </is>
      </c>
      <c r="N524" t="inlineStr">
        <is>
          <t>Boston : Little, Brown, [1970]</t>
        </is>
      </c>
      <c r="O524" t="inlineStr">
        <is>
          <t>1970</t>
        </is>
      </c>
      <c r="Q524" t="inlineStr">
        <is>
          <t>eng</t>
        </is>
      </c>
      <c r="R524" t="inlineStr">
        <is>
          <t>mau</t>
        </is>
      </c>
      <c r="S524" t="inlineStr">
        <is>
          <t>International psychiatry clinics ; v. 7, no. 2</t>
        </is>
      </c>
      <c r="T524" t="inlineStr">
        <is>
          <t xml:space="preserve">QP </t>
        </is>
      </c>
      <c r="U524" t="n">
        <v>17</v>
      </c>
      <c r="V524" t="n">
        <v>17</v>
      </c>
      <c r="W524" t="inlineStr">
        <is>
          <t>2003-01-29</t>
        </is>
      </c>
      <c r="X524" t="inlineStr">
        <is>
          <t>2003-01-29</t>
        </is>
      </c>
      <c r="Y524" t="inlineStr">
        <is>
          <t>1994-11-02</t>
        </is>
      </c>
      <c r="Z524" t="inlineStr">
        <is>
          <t>1994-11-02</t>
        </is>
      </c>
      <c r="AA524" t="n">
        <v>373</v>
      </c>
      <c r="AB524" t="n">
        <v>292</v>
      </c>
      <c r="AC524" t="n">
        <v>299</v>
      </c>
      <c r="AD524" t="n">
        <v>2</v>
      </c>
      <c r="AE524" t="n">
        <v>2</v>
      </c>
      <c r="AF524" t="n">
        <v>12</v>
      </c>
      <c r="AG524" t="n">
        <v>12</v>
      </c>
      <c r="AH524" t="n">
        <v>3</v>
      </c>
      <c r="AI524" t="n">
        <v>3</v>
      </c>
      <c r="AJ524" t="n">
        <v>3</v>
      </c>
      <c r="AK524" t="n">
        <v>3</v>
      </c>
      <c r="AL524" t="n">
        <v>7</v>
      </c>
      <c r="AM524" t="n">
        <v>7</v>
      </c>
      <c r="AN524" t="n">
        <v>1</v>
      </c>
      <c r="AO524" t="n">
        <v>1</v>
      </c>
      <c r="AP524" t="n">
        <v>0</v>
      </c>
      <c r="AQ524" t="n">
        <v>0</v>
      </c>
      <c r="AR524" t="inlineStr">
        <is>
          <t>No</t>
        </is>
      </c>
      <c r="AS524" t="inlineStr">
        <is>
          <t>Yes</t>
        </is>
      </c>
      <c r="AT524">
        <f>HYPERLINK("http://catalog.hathitrust.org/Record/001554948","HathiTrust Record")</f>
        <v/>
      </c>
      <c r="AU524">
        <f>HYPERLINK("https://creighton-primo.hosted.exlibrisgroup.com/primo-explore/search?tab=default_tab&amp;search_scope=EVERYTHING&amp;vid=01CRU&amp;lang=en_US&amp;offset=0&amp;query=any,contains,991000643619702656","Catalog Record")</f>
        <v/>
      </c>
      <c r="AV524">
        <f>HYPERLINK("http://www.worldcat.org/oclc/110198","WorldCat Record")</f>
        <v/>
      </c>
      <c r="AW524" t="inlineStr">
        <is>
          <t>53936030:eng</t>
        </is>
      </c>
      <c r="AX524" t="inlineStr">
        <is>
          <t>110198</t>
        </is>
      </c>
      <c r="AY524" t="inlineStr">
        <is>
          <t>991000643619702656</t>
        </is>
      </c>
      <c r="AZ524" t="inlineStr">
        <is>
          <t>991000643619702656</t>
        </is>
      </c>
      <c r="BA524" t="inlineStr">
        <is>
          <t>2266870330002656</t>
        </is>
      </c>
      <c r="BB524" t="inlineStr">
        <is>
          <t>BOOK</t>
        </is>
      </c>
      <c r="BD524" t="inlineStr">
        <is>
          <t>9780700001941</t>
        </is>
      </c>
      <c r="BE524" t="inlineStr">
        <is>
          <t>32285001963817</t>
        </is>
      </c>
      <c r="BF524" t="inlineStr">
        <is>
          <t>893608136</t>
        </is>
      </c>
    </row>
    <row r="525">
      <c r="B525" t="inlineStr">
        <is>
          <t>CURAL</t>
        </is>
      </c>
      <c r="C525" t="inlineStr">
        <is>
          <t>SHELVES</t>
        </is>
      </c>
      <c r="D525" t="inlineStr">
        <is>
          <t>QP425 .W28</t>
        </is>
      </c>
      <c r="E525" t="inlineStr">
        <is>
          <t>0                      QP 0425000W  28</t>
        </is>
      </c>
      <c r="F525" t="inlineStr">
        <is>
          <t>Sleep : an active process : research and commentary / edited by Wilse B. Webb. Contributing authors: Dana C. Brooks [and others]</t>
        </is>
      </c>
      <c r="H525" t="inlineStr">
        <is>
          <t>No</t>
        </is>
      </c>
      <c r="I525" t="inlineStr">
        <is>
          <t>1</t>
        </is>
      </c>
      <c r="J525" t="inlineStr">
        <is>
          <t>No</t>
        </is>
      </c>
      <c r="K525" t="inlineStr">
        <is>
          <t>No</t>
        </is>
      </c>
      <c r="L525" t="inlineStr">
        <is>
          <t>0</t>
        </is>
      </c>
      <c r="M525" t="inlineStr">
        <is>
          <t>Webb, Wilse B.</t>
        </is>
      </c>
      <c r="N525" t="inlineStr">
        <is>
          <t>Glenview, Ill. : Scott, Foresman, [1973]</t>
        </is>
      </c>
      <c r="O525" t="inlineStr">
        <is>
          <t>1973</t>
        </is>
      </c>
      <c r="Q525" t="inlineStr">
        <is>
          <t>eng</t>
        </is>
      </c>
      <c r="R525" t="inlineStr">
        <is>
          <t>ilu</t>
        </is>
      </c>
      <c r="S525" t="inlineStr">
        <is>
          <t>Scott, Foresman physiological psychology series</t>
        </is>
      </c>
      <c r="T525" t="inlineStr">
        <is>
          <t xml:space="preserve">QP </t>
        </is>
      </c>
      <c r="U525" t="n">
        <v>27</v>
      </c>
      <c r="V525" t="n">
        <v>27</v>
      </c>
      <c r="W525" t="inlineStr">
        <is>
          <t>2007-02-11</t>
        </is>
      </c>
      <c r="X525" t="inlineStr">
        <is>
          <t>2007-02-11</t>
        </is>
      </c>
      <c r="Y525" t="inlineStr">
        <is>
          <t>1992-04-01</t>
        </is>
      </c>
      <c r="Z525" t="inlineStr">
        <is>
          <t>1992-04-01</t>
        </is>
      </c>
      <c r="AA525" t="n">
        <v>355</v>
      </c>
      <c r="AB525" t="n">
        <v>279</v>
      </c>
      <c r="AC525" t="n">
        <v>281</v>
      </c>
      <c r="AD525" t="n">
        <v>2</v>
      </c>
      <c r="AE525" t="n">
        <v>2</v>
      </c>
      <c r="AF525" t="n">
        <v>10</v>
      </c>
      <c r="AG525" t="n">
        <v>10</v>
      </c>
      <c r="AH525" t="n">
        <v>4</v>
      </c>
      <c r="AI525" t="n">
        <v>4</v>
      </c>
      <c r="AJ525" t="n">
        <v>3</v>
      </c>
      <c r="AK525" t="n">
        <v>3</v>
      </c>
      <c r="AL525" t="n">
        <v>5</v>
      </c>
      <c r="AM525" t="n">
        <v>5</v>
      </c>
      <c r="AN525" t="n">
        <v>1</v>
      </c>
      <c r="AO525" t="n">
        <v>1</v>
      </c>
      <c r="AP525" t="n">
        <v>0</v>
      </c>
      <c r="AQ525" t="n">
        <v>0</v>
      </c>
      <c r="AR525" t="inlineStr">
        <is>
          <t>No</t>
        </is>
      </c>
      <c r="AS525" t="inlineStr">
        <is>
          <t>Yes</t>
        </is>
      </c>
      <c r="AT525">
        <f>HYPERLINK("http://catalog.hathitrust.org/Record/001554945","HathiTrust Record")</f>
        <v/>
      </c>
      <c r="AU525">
        <f>HYPERLINK("https://creighton-primo.hosted.exlibrisgroup.com/primo-explore/search?tab=default_tab&amp;search_scope=EVERYTHING&amp;vid=01CRU&amp;lang=en_US&amp;offset=0&amp;query=any,contains,991003114439702656","Catalog Record")</f>
        <v/>
      </c>
      <c r="AV525">
        <f>HYPERLINK("http://www.worldcat.org/oclc/659130","WorldCat Record")</f>
        <v/>
      </c>
      <c r="AW525" t="inlineStr">
        <is>
          <t>1635482:eng</t>
        </is>
      </c>
      <c r="AX525" t="inlineStr">
        <is>
          <t>659130</t>
        </is>
      </c>
      <c r="AY525" t="inlineStr">
        <is>
          <t>991003114439702656</t>
        </is>
      </c>
      <c r="AZ525" t="inlineStr">
        <is>
          <t>991003114439702656</t>
        </is>
      </c>
      <c r="BA525" t="inlineStr">
        <is>
          <t>2260648260002656</t>
        </is>
      </c>
      <c r="BB525" t="inlineStr">
        <is>
          <t>BOOK</t>
        </is>
      </c>
      <c r="BD525" t="inlineStr">
        <is>
          <t>9780673077042</t>
        </is>
      </c>
      <c r="BE525" t="inlineStr">
        <is>
          <t>32285001030708</t>
        </is>
      </c>
      <c r="BF525" t="inlineStr">
        <is>
          <t>893440942</t>
        </is>
      </c>
    </row>
    <row r="526">
      <c r="B526" t="inlineStr">
        <is>
          <t>CURAL</t>
        </is>
      </c>
      <c r="C526" t="inlineStr">
        <is>
          <t>SHELVES</t>
        </is>
      </c>
      <c r="D526" t="inlineStr">
        <is>
          <t>QP425 .W32</t>
        </is>
      </c>
      <c r="E526" t="inlineStr">
        <is>
          <t>0                      QP 0425000W  32</t>
        </is>
      </c>
      <c r="F526" t="inlineStr">
        <is>
          <t>Sleep, the gentle tyrant / Wilse B. Webb.</t>
        </is>
      </c>
      <c r="H526" t="inlineStr">
        <is>
          <t>No</t>
        </is>
      </c>
      <c r="I526" t="inlineStr">
        <is>
          <t>1</t>
        </is>
      </c>
      <c r="J526" t="inlineStr">
        <is>
          <t>No</t>
        </is>
      </c>
      <c r="K526" t="inlineStr">
        <is>
          <t>No</t>
        </is>
      </c>
      <c r="L526" t="inlineStr">
        <is>
          <t>0</t>
        </is>
      </c>
      <c r="M526" t="inlineStr">
        <is>
          <t>Webb, Wilse B.</t>
        </is>
      </c>
      <c r="N526" t="inlineStr">
        <is>
          <t>Englewood Cliffs, N.J. : Prentice-Hall, c1975.</t>
        </is>
      </c>
      <c r="O526" t="inlineStr">
        <is>
          <t>1975</t>
        </is>
      </c>
      <c r="Q526" t="inlineStr">
        <is>
          <t>eng</t>
        </is>
      </c>
      <c r="R526" t="inlineStr">
        <is>
          <t>nju</t>
        </is>
      </c>
      <c r="S526" t="inlineStr">
        <is>
          <t>A Spectrum book ; S-376</t>
        </is>
      </c>
      <c r="T526" t="inlineStr">
        <is>
          <t xml:space="preserve">QP </t>
        </is>
      </c>
      <c r="U526" t="n">
        <v>24</v>
      </c>
      <c r="V526" t="n">
        <v>24</v>
      </c>
      <c r="W526" t="inlineStr">
        <is>
          <t>2007-02-11</t>
        </is>
      </c>
      <c r="X526" t="inlineStr">
        <is>
          <t>2007-02-11</t>
        </is>
      </c>
      <c r="Y526" t="inlineStr">
        <is>
          <t>1990-02-21</t>
        </is>
      </c>
      <c r="Z526" t="inlineStr">
        <is>
          <t>1990-02-21</t>
        </is>
      </c>
      <c r="AA526" t="n">
        <v>406</v>
      </c>
      <c r="AB526" t="n">
        <v>326</v>
      </c>
      <c r="AC526" t="n">
        <v>472</v>
      </c>
      <c r="AD526" t="n">
        <v>3</v>
      </c>
      <c r="AE526" t="n">
        <v>4</v>
      </c>
      <c r="AF526" t="n">
        <v>11</v>
      </c>
      <c r="AG526" t="n">
        <v>16</v>
      </c>
      <c r="AH526" t="n">
        <v>4</v>
      </c>
      <c r="AI526" t="n">
        <v>6</v>
      </c>
      <c r="AJ526" t="n">
        <v>1</v>
      </c>
      <c r="AK526" t="n">
        <v>2</v>
      </c>
      <c r="AL526" t="n">
        <v>6</v>
      </c>
      <c r="AM526" t="n">
        <v>8</v>
      </c>
      <c r="AN526" t="n">
        <v>2</v>
      </c>
      <c r="AO526" t="n">
        <v>3</v>
      </c>
      <c r="AP526" t="n">
        <v>0</v>
      </c>
      <c r="AQ526" t="n">
        <v>0</v>
      </c>
      <c r="AR526" t="inlineStr">
        <is>
          <t>No</t>
        </is>
      </c>
      <c r="AS526" t="inlineStr">
        <is>
          <t>Yes</t>
        </is>
      </c>
      <c r="AT526">
        <f>HYPERLINK("http://catalog.hathitrust.org/Record/009801132","HathiTrust Record")</f>
        <v/>
      </c>
      <c r="AU526">
        <f>HYPERLINK("https://creighton-primo.hosted.exlibrisgroup.com/primo-explore/search?tab=default_tab&amp;search_scope=EVERYTHING&amp;vid=01CRU&amp;lang=en_US&amp;offset=0&amp;query=any,contains,991003829169702656","Catalog Record")</f>
        <v/>
      </c>
      <c r="AV526">
        <f>HYPERLINK("http://www.worldcat.org/oclc/1582823","WorldCat Record")</f>
        <v/>
      </c>
      <c r="AW526" t="inlineStr">
        <is>
          <t>3768478352:eng</t>
        </is>
      </c>
      <c r="AX526" t="inlineStr">
        <is>
          <t>1582823</t>
        </is>
      </c>
      <c r="AY526" t="inlineStr">
        <is>
          <t>991003829169702656</t>
        </is>
      </c>
      <c r="AZ526" t="inlineStr">
        <is>
          <t>991003829169702656</t>
        </is>
      </c>
      <c r="BA526" t="inlineStr">
        <is>
          <t>2270822170002656</t>
        </is>
      </c>
      <c r="BB526" t="inlineStr">
        <is>
          <t>BOOK</t>
        </is>
      </c>
      <c r="BD526" t="inlineStr">
        <is>
          <t>9780138129330</t>
        </is>
      </c>
      <c r="BE526" t="inlineStr">
        <is>
          <t>32285000044171</t>
        </is>
      </c>
      <c r="BF526" t="inlineStr">
        <is>
          <t>893324542</t>
        </is>
      </c>
    </row>
    <row r="527">
      <c r="B527" t="inlineStr">
        <is>
          <t>CURAL</t>
        </is>
      </c>
      <c r="C527" t="inlineStr">
        <is>
          <t>SHELVES</t>
        </is>
      </c>
      <c r="D527" t="inlineStr">
        <is>
          <t>QP426 .H3</t>
        </is>
      </c>
      <c r="E527" t="inlineStr">
        <is>
          <t>0                      QP 0426000H  3</t>
        </is>
      </c>
      <c r="F527" t="inlineStr">
        <is>
          <t>The biology of dreaming.</t>
        </is>
      </c>
      <c r="H527" t="inlineStr">
        <is>
          <t>No</t>
        </is>
      </c>
      <c r="I527" t="inlineStr">
        <is>
          <t>1</t>
        </is>
      </c>
      <c r="J527" t="inlineStr">
        <is>
          <t>No</t>
        </is>
      </c>
      <c r="K527" t="inlineStr">
        <is>
          <t>No</t>
        </is>
      </c>
      <c r="L527" t="inlineStr">
        <is>
          <t>0</t>
        </is>
      </c>
      <c r="M527" t="inlineStr">
        <is>
          <t>Hartmann, Ernest, 1934-</t>
        </is>
      </c>
      <c r="N527" t="inlineStr">
        <is>
          <t>Springfield, Ill. : C.C. Thomas, [1967]</t>
        </is>
      </c>
      <c r="O527" t="inlineStr">
        <is>
          <t>1967</t>
        </is>
      </c>
      <c r="Q527" t="inlineStr">
        <is>
          <t>eng</t>
        </is>
      </c>
      <c r="R527" t="inlineStr">
        <is>
          <t>ilu</t>
        </is>
      </c>
      <c r="S527" t="inlineStr">
        <is>
          <t>American lectures series, no. 686. A monograph in the Bannerstone division of American lectures in living chemistry.</t>
        </is>
      </c>
      <c r="T527" t="inlineStr">
        <is>
          <t xml:space="preserve">QP </t>
        </is>
      </c>
      <c r="U527" t="n">
        <v>18</v>
      </c>
      <c r="V527" t="n">
        <v>18</v>
      </c>
      <c r="W527" t="inlineStr">
        <is>
          <t>1999-09-28</t>
        </is>
      </c>
      <c r="X527" t="inlineStr">
        <is>
          <t>1999-09-28</t>
        </is>
      </c>
      <c r="Y527" t="inlineStr">
        <is>
          <t>1992-01-16</t>
        </is>
      </c>
      <c r="Z527" t="inlineStr">
        <is>
          <t>1992-01-16</t>
        </is>
      </c>
      <c r="AA527" t="n">
        <v>370</v>
      </c>
      <c r="AB527" t="n">
        <v>284</v>
      </c>
      <c r="AC527" t="n">
        <v>288</v>
      </c>
      <c r="AD527" t="n">
        <v>2</v>
      </c>
      <c r="AE527" t="n">
        <v>2</v>
      </c>
      <c r="AF527" t="n">
        <v>12</v>
      </c>
      <c r="AG527" t="n">
        <v>12</v>
      </c>
      <c r="AH527" t="n">
        <v>3</v>
      </c>
      <c r="AI527" t="n">
        <v>3</v>
      </c>
      <c r="AJ527" t="n">
        <v>3</v>
      </c>
      <c r="AK527" t="n">
        <v>3</v>
      </c>
      <c r="AL527" t="n">
        <v>8</v>
      </c>
      <c r="AM527" t="n">
        <v>8</v>
      </c>
      <c r="AN527" t="n">
        <v>1</v>
      </c>
      <c r="AO527" t="n">
        <v>1</v>
      </c>
      <c r="AP527" t="n">
        <v>0</v>
      </c>
      <c r="AQ527" t="n">
        <v>0</v>
      </c>
      <c r="AR527" t="inlineStr">
        <is>
          <t>No</t>
        </is>
      </c>
      <c r="AS527" t="inlineStr">
        <is>
          <t>Yes</t>
        </is>
      </c>
      <c r="AT527">
        <f>HYPERLINK("http://catalog.hathitrust.org/Record/000879942","HathiTrust Record")</f>
        <v/>
      </c>
      <c r="AU527">
        <f>HYPERLINK("https://creighton-primo.hosted.exlibrisgroup.com/primo-explore/search?tab=default_tab&amp;search_scope=EVERYTHING&amp;vid=01CRU&amp;lang=en_US&amp;offset=0&amp;query=any,contains,991000955689702656","Catalog Record")</f>
        <v/>
      </c>
      <c r="AV527">
        <f>HYPERLINK("http://www.worldcat.org/oclc/167927","WorldCat Record")</f>
        <v/>
      </c>
      <c r="AW527" t="inlineStr">
        <is>
          <t>2542062114:eng</t>
        </is>
      </c>
      <c r="AX527" t="inlineStr">
        <is>
          <t>167927</t>
        </is>
      </c>
      <c r="AY527" t="inlineStr">
        <is>
          <t>991000955689702656</t>
        </is>
      </c>
      <c r="AZ527" t="inlineStr">
        <is>
          <t>991000955689702656</t>
        </is>
      </c>
      <c r="BA527" t="inlineStr">
        <is>
          <t>2272622330002656</t>
        </is>
      </c>
      <c r="BB527" t="inlineStr">
        <is>
          <t>BOOK</t>
        </is>
      </c>
      <c r="BE527" t="inlineStr">
        <is>
          <t>32285000913037</t>
        </is>
      </c>
      <c r="BF527" t="inlineStr">
        <is>
          <t>893419921</t>
        </is>
      </c>
    </row>
    <row r="528">
      <c r="B528" t="inlineStr">
        <is>
          <t>CURAL</t>
        </is>
      </c>
      <c r="C528" t="inlineStr">
        <is>
          <t>SHELVES</t>
        </is>
      </c>
      <c r="D528" t="inlineStr">
        <is>
          <t>QP426 .H63 1988</t>
        </is>
      </c>
      <c r="E528" t="inlineStr">
        <is>
          <t>0                      QP 0426000H  63          1988</t>
        </is>
      </c>
      <c r="F528" t="inlineStr">
        <is>
          <t>The dreaming brain / J. Allan Hobson.</t>
        </is>
      </c>
      <c r="H528" t="inlineStr">
        <is>
          <t>No</t>
        </is>
      </c>
      <c r="I528" t="inlineStr">
        <is>
          <t>1</t>
        </is>
      </c>
      <c r="J528" t="inlineStr">
        <is>
          <t>Yes</t>
        </is>
      </c>
      <c r="K528" t="inlineStr">
        <is>
          <t>No</t>
        </is>
      </c>
      <c r="L528" t="inlineStr">
        <is>
          <t>0</t>
        </is>
      </c>
      <c r="M528" t="inlineStr">
        <is>
          <t>Hobson, J. Allan, 1933-</t>
        </is>
      </c>
      <c r="N528" t="inlineStr">
        <is>
          <t>New York : Basic Books, c1988.</t>
        </is>
      </c>
      <c r="O528" t="inlineStr">
        <is>
          <t>1988</t>
        </is>
      </c>
      <c r="Q528" t="inlineStr">
        <is>
          <t>eng</t>
        </is>
      </c>
      <c r="R528" t="inlineStr">
        <is>
          <t>nyu</t>
        </is>
      </c>
      <c r="T528" t="inlineStr">
        <is>
          <t xml:space="preserve">QP </t>
        </is>
      </c>
      <c r="U528" t="n">
        <v>48</v>
      </c>
      <c r="V528" t="n">
        <v>68</v>
      </c>
      <c r="W528" t="inlineStr">
        <is>
          <t>2001-09-23</t>
        </is>
      </c>
      <c r="X528" t="inlineStr">
        <is>
          <t>2001-09-23</t>
        </is>
      </c>
      <c r="Y528" t="inlineStr">
        <is>
          <t>1989-11-13</t>
        </is>
      </c>
      <c r="Z528" t="inlineStr">
        <is>
          <t>1989-11-13</t>
        </is>
      </c>
      <c r="AA528" t="n">
        <v>1089</v>
      </c>
      <c r="AB528" t="n">
        <v>960</v>
      </c>
      <c r="AC528" t="n">
        <v>967</v>
      </c>
      <c r="AD528" t="n">
        <v>6</v>
      </c>
      <c r="AE528" t="n">
        <v>6</v>
      </c>
      <c r="AF528" t="n">
        <v>32</v>
      </c>
      <c r="AG528" t="n">
        <v>32</v>
      </c>
      <c r="AH528" t="n">
        <v>10</v>
      </c>
      <c r="AI528" t="n">
        <v>10</v>
      </c>
      <c r="AJ528" t="n">
        <v>5</v>
      </c>
      <c r="AK528" t="n">
        <v>5</v>
      </c>
      <c r="AL528" t="n">
        <v>20</v>
      </c>
      <c r="AM528" t="n">
        <v>20</v>
      </c>
      <c r="AN528" t="n">
        <v>4</v>
      </c>
      <c r="AO528" t="n">
        <v>4</v>
      </c>
      <c r="AP528" t="n">
        <v>0</v>
      </c>
      <c r="AQ528" t="n">
        <v>0</v>
      </c>
      <c r="AR528" t="inlineStr">
        <is>
          <t>No</t>
        </is>
      </c>
      <c r="AS528" t="inlineStr">
        <is>
          <t>Yes</t>
        </is>
      </c>
      <c r="AT528">
        <f>HYPERLINK("http://catalog.hathitrust.org/Record/000909802","HathiTrust Record")</f>
        <v/>
      </c>
      <c r="AU528">
        <f>HYPERLINK("https://creighton-primo.hosted.exlibrisgroup.com/primo-explore/search?tab=default_tab&amp;search_scope=EVERYTHING&amp;vid=01CRU&amp;lang=en_US&amp;offset=0&amp;query=any,contains,991001786299702656","Catalog Record")</f>
        <v/>
      </c>
      <c r="AV528">
        <f>HYPERLINK("http://www.worldcat.org/oclc/17747071","WorldCat Record")</f>
        <v/>
      </c>
      <c r="AW528" t="inlineStr">
        <is>
          <t>17023183:eng</t>
        </is>
      </c>
      <c r="AX528" t="inlineStr">
        <is>
          <t>17747071</t>
        </is>
      </c>
      <c r="AY528" t="inlineStr">
        <is>
          <t>991001786299702656</t>
        </is>
      </c>
      <c r="AZ528" t="inlineStr">
        <is>
          <t>991001786299702656</t>
        </is>
      </c>
      <c r="BA528" t="inlineStr">
        <is>
          <t>2262419260002656</t>
        </is>
      </c>
      <c r="BB528" t="inlineStr">
        <is>
          <t>BOOK</t>
        </is>
      </c>
      <c r="BD528" t="inlineStr">
        <is>
          <t>9780465017034</t>
        </is>
      </c>
      <c r="BE528" t="inlineStr">
        <is>
          <t>32285000012400</t>
        </is>
      </c>
      <c r="BF528" t="inlineStr">
        <is>
          <t>893803898</t>
        </is>
      </c>
    </row>
    <row r="529">
      <c r="B529" t="inlineStr">
        <is>
          <t>CURAL</t>
        </is>
      </c>
      <c r="C529" t="inlineStr">
        <is>
          <t>SHELVES</t>
        </is>
      </c>
      <c r="D529" t="inlineStr">
        <is>
          <t>QP426 .H67 1988</t>
        </is>
      </c>
      <c r="E529" t="inlineStr">
        <is>
          <t>0                      QP 0426000H  67          1988</t>
        </is>
      </c>
      <c r="F529" t="inlineStr">
        <is>
          <t>Why we sleep : the functions of sleep in humans and other mammals / James Horne.</t>
        </is>
      </c>
      <c r="H529" t="inlineStr">
        <is>
          <t>No</t>
        </is>
      </c>
      <c r="I529" t="inlineStr">
        <is>
          <t>1</t>
        </is>
      </c>
      <c r="J529" t="inlineStr">
        <is>
          <t>No</t>
        </is>
      </c>
      <c r="K529" t="inlineStr">
        <is>
          <t>No</t>
        </is>
      </c>
      <c r="L529" t="inlineStr">
        <is>
          <t>0</t>
        </is>
      </c>
      <c r="M529" t="inlineStr">
        <is>
          <t>Horne, James (James A.)</t>
        </is>
      </c>
      <c r="N529" t="inlineStr">
        <is>
          <t>Oxford ; New York : Oxford University Press, c1988, 1989 printing.</t>
        </is>
      </c>
      <c r="O529" t="inlineStr">
        <is>
          <t>1988</t>
        </is>
      </c>
      <c r="Q529" t="inlineStr">
        <is>
          <t>eng</t>
        </is>
      </c>
      <c r="R529" t="inlineStr">
        <is>
          <t>enk</t>
        </is>
      </c>
      <c r="S529" t="inlineStr">
        <is>
          <t>Oxford medical publications</t>
        </is>
      </c>
      <c r="T529" t="inlineStr">
        <is>
          <t xml:space="preserve">QP </t>
        </is>
      </c>
      <c r="U529" t="n">
        <v>51</v>
      </c>
      <c r="V529" t="n">
        <v>51</v>
      </c>
      <c r="W529" t="inlineStr">
        <is>
          <t>2007-02-11</t>
        </is>
      </c>
      <c r="X529" t="inlineStr">
        <is>
          <t>2007-02-11</t>
        </is>
      </c>
      <c r="Y529" t="inlineStr">
        <is>
          <t>1990-06-05</t>
        </is>
      </c>
      <c r="Z529" t="inlineStr">
        <is>
          <t>1990-06-05</t>
        </is>
      </c>
      <c r="AA529" t="n">
        <v>784</v>
      </c>
      <c r="AB529" t="n">
        <v>616</v>
      </c>
      <c r="AC529" t="n">
        <v>629</v>
      </c>
      <c r="AD529" t="n">
        <v>7</v>
      </c>
      <c r="AE529" t="n">
        <v>7</v>
      </c>
      <c r="AF529" t="n">
        <v>32</v>
      </c>
      <c r="AG529" t="n">
        <v>33</v>
      </c>
      <c r="AH529" t="n">
        <v>11</v>
      </c>
      <c r="AI529" t="n">
        <v>12</v>
      </c>
      <c r="AJ529" t="n">
        <v>7</v>
      </c>
      <c r="AK529" t="n">
        <v>7</v>
      </c>
      <c r="AL529" t="n">
        <v>16</v>
      </c>
      <c r="AM529" t="n">
        <v>16</v>
      </c>
      <c r="AN529" t="n">
        <v>6</v>
      </c>
      <c r="AO529" t="n">
        <v>6</v>
      </c>
      <c r="AP529" t="n">
        <v>0</v>
      </c>
      <c r="AQ529" t="n">
        <v>0</v>
      </c>
      <c r="AR529" t="inlineStr">
        <is>
          <t>No</t>
        </is>
      </c>
      <c r="AS529" t="inlineStr">
        <is>
          <t>No</t>
        </is>
      </c>
      <c r="AU529">
        <f>HYPERLINK("https://creighton-primo.hosted.exlibrisgroup.com/primo-explore/search?tab=default_tab&amp;search_scope=EVERYTHING&amp;vid=01CRU&amp;lang=en_US&amp;offset=0&amp;query=any,contains,991001110589702656","Catalog Record")</f>
        <v/>
      </c>
      <c r="AV529">
        <f>HYPERLINK("http://www.worldcat.org/oclc/16467158","WorldCat Record")</f>
        <v/>
      </c>
      <c r="AW529" t="inlineStr">
        <is>
          <t>326677985:eng</t>
        </is>
      </c>
      <c r="AX529" t="inlineStr">
        <is>
          <t>16467158</t>
        </is>
      </c>
      <c r="AY529" t="inlineStr">
        <is>
          <t>991001110589702656</t>
        </is>
      </c>
      <c r="AZ529" t="inlineStr">
        <is>
          <t>991001110589702656</t>
        </is>
      </c>
      <c r="BA529" t="inlineStr">
        <is>
          <t>2270889020002656</t>
        </is>
      </c>
      <c r="BB529" t="inlineStr">
        <is>
          <t>BOOK</t>
        </is>
      </c>
      <c r="BD529" t="inlineStr">
        <is>
          <t>9780192616821</t>
        </is>
      </c>
      <c r="BE529" t="inlineStr">
        <is>
          <t>32285000159185</t>
        </is>
      </c>
      <c r="BF529" t="inlineStr">
        <is>
          <t>893626573</t>
        </is>
      </c>
    </row>
    <row r="530">
      <c r="B530" t="inlineStr">
        <is>
          <t>CURAL</t>
        </is>
      </c>
      <c r="C530" t="inlineStr">
        <is>
          <t>SHELVES</t>
        </is>
      </c>
      <c r="D530" t="inlineStr">
        <is>
          <t>QP426 .M56</t>
        </is>
      </c>
      <c r="E530" t="inlineStr">
        <is>
          <t>0                      QP 0426000M  56</t>
        </is>
      </c>
      <c r="F530" t="inlineStr">
        <is>
          <t>The mind in sleep : psychology and psychophysiology / edited by Arthur M. Arkin, John S. Antrobus, Steven J. Ellman.</t>
        </is>
      </c>
      <c r="H530" t="inlineStr">
        <is>
          <t>No</t>
        </is>
      </c>
      <c r="I530" t="inlineStr">
        <is>
          <t>1</t>
        </is>
      </c>
      <c r="J530" t="inlineStr">
        <is>
          <t>No</t>
        </is>
      </c>
      <c r="K530" t="inlineStr">
        <is>
          <t>Yes</t>
        </is>
      </c>
      <c r="L530" t="inlineStr">
        <is>
          <t>0</t>
        </is>
      </c>
      <c r="N530" t="inlineStr">
        <is>
          <t>Hillsdale, N.J. : Lawrence Erlbaum Associates ; New York : distributed by Halsted Press, 1978.</t>
        </is>
      </c>
      <c r="O530" t="inlineStr">
        <is>
          <t>1978</t>
        </is>
      </c>
      <c r="Q530" t="inlineStr">
        <is>
          <t>eng</t>
        </is>
      </c>
      <c r="R530" t="inlineStr">
        <is>
          <t>nju</t>
        </is>
      </c>
      <c r="T530" t="inlineStr">
        <is>
          <t xml:space="preserve">QP </t>
        </is>
      </c>
      <c r="U530" t="n">
        <v>18</v>
      </c>
      <c r="V530" t="n">
        <v>18</v>
      </c>
      <c r="W530" t="inlineStr">
        <is>
          <t>1999-09-24</t>
        </is>
      </c>
      <c r="X530" t="inlineStr">
        <is>
          <t>1999-09-24</t>
        </is>
      </c>
      <c r="Y530" t="inlineStr">
        <is>
          <t>1998-12-21</t>
        </is>
      </c>
      <c r="Z530" t="inlineStr">
        <is>
          <t>1998-12-21</t>
        </is>
      </c>
      <c r="AA530" t="n">
        <v>507</v>
      </c>
      <c r="AB530" t="n">
        <v>400</v>
      </c>
      <c r="AC530" t="n">
        <v>563</v>
      </c>
      <c r="AD530" t="n">
        <v>5</v>
      </c>
      <c r="AE530" t="n">
        <v>5</v>
      </c>
      <c r="AF530" t="n">
        <v>22</v>
      </c>
      <c r="AG530" t="n">
        <v>29</v>
      </c>
      <c r="AH530" t="n">
        <v>6</v>
      </c>
      <c r="AI530" t="n">
        <v>10</v>
      </c>
      <c r="AJ530" t="n">
        <v>4</v>
      </c>
      <c r="AK530" t="n">
        <v>6</v>
      </c>
      <c r="AL530" t="n">
        <v>10</v>
      </c>
      <c r="AM530" t="n">
        <v>15</v>
      </c>
      <c r="AN530" t="n">
        <v>4</v>
      </c>
      <c r="AO530" t="n">
        <v>4</v>
      </c>
      <c r="AP530" t="n">
        <v>0</v>
      </c>
      <c r="AQ530" t="n">
        <v>0</v>
      </c>
      <c r="AR530" t="inlineStr">
        <is>
          <t>No</t>
        </is>
      </c>
      <c r="AS530" t="inlineStr">
        <is>
          <t>Yes</t>
        </is>
      </c>
      <c r="AT530">
        <f>HYPERLINK("http://catalog.hathitrust.org/Record/000135232","HathiTrust Record")</f>
        <v/>
      </c>
      <c r="AU530">
        <f>HYPERLINK("https://creighton-primo.hosted.exlibrisgroup.com/primo-explore/search?tab=default_tab&amp;search_scope=EVERYTHING&amp;vid=01CRU&amp;lang=en_US&amp;offset=0&amp;query=any,contains,991004525639702656","Catalog Record")</f>
        <v/>
      </c>
      <c r="AV530">
        <f>HYPERLINK("http://www.worldcat.org/oclc/3843421","WorldCat Record")</f>
        <v/>
      </c>
      <c r="AW530" t="inlineStr">
        <is>
          <t>836679708:eng</t>
        </is>
      </c>
      <c r="AX530" t="inlineStr">
        <is>
          <t>3843421</t>
        </is>
      </c>
      <c r="AY530" t="inlineStr">
        <is>
          <t>991004525639702656</t>
        </is>
      </c>
      <c r="AZ530" t="inlineStr">
        <is>
          <t>991004525639702656</t>
        </is>
      </c>
      <c r="BA530" t="inlineStr">
        <is>
          <t>2266391990002656</t>
        </is>
      </c>
      <c r="BB530" t="inlineStr">
        <is>
          <t>BOOK</t>
        </is>
      </c>
      <c r="BD530" t="inlineStr">
        <is>
          <t>9780470263693</t>
        </is>
      </c>
      <c r="BE530" t="inlineStr">
        <is>
          <t>32285003262614</t>
        </is>
      </c>
      <c r="BF530" t="inlineStr">
        <is>
          <t>893694037</t>
        </is>
      </c>
    </row>
    <row r="531">
      <c r="B531" t="inlineStr">
        <is>
          <t>CURAL</t>
        </is>
      </c>
      <c r="C531" t="inlineStr">
        <is>
          <t>SHELVES</t>
        </is>
      </c>
      <c r="D531" t="inlineStr">
        <is>
          <t>QP426 .P78</t>
        </is>
      </c>
      <c r="E531" t="inlineStr">
        <is>
          <t>0                      QP 0426000P  78</t>
        </is>
      </c>
      <c r="F531" t="inlineStr">
        <is>
          <t>The Psychodynamic implications of the physiological studies on dreams / edited by Leo Madow and Laurence H. Snow.</t>
        </is>
      </c>
      <c r="H531" t="inlineStr">
        <is>
          <t>No</t>
        </is>
      </c>
      <c r="I531" t="inlineStr">
        <is>
          <t>1</t>
        </is>
      </c>
      <c r="J531" t="inlineStr">
        <is>
          <t>No</t>
        </is>
      </c>
      <c r="K531" t="inlineStr">
        <is>
          <t>No</t>
        </is>
      </c>
      <c r="L531" t="inlineStr">
        <is>
          <t>0</t>
        </is>
      </c>
      <c r="N531" t="inlineStr">
        <is>
          <t>Springfield, Ill. : Thomas, [1970]</t>
        </is>
      </c>
      <c r="O531" t="inlineStr">
        <is>
          <t>1970</t>
        </is>
      </c>
      <c r="Q531" t="inlineStr">
        <is>
          <t>eng</t>
        </is>
      </c>
      <c r="R531" t="inlineStr">
        <is>
          <t>ilu</t>
        </is>
      </c>
      <c r="T531" t="inlineStr">
        <is>
          <t xml:space="preserve">QP </t>
        </is>
      </c>
      <c r="U531" t="n">
        <v>2</v>
      </c>
      <c r="V531" t="n">
        <v>2</v>
      </c>
      <c r="W531" t="inlineStr">
        <is>
          <t>1999-09-22</t>
        </is>
      </c>
      <c r="X531" t="inlineStr">
        <is>
          <t>1999-09-22</t>
        </is>
      </c>
      <c r="Y531" t="inlineStr">
        <is>
          <t>1996-03-28</t>
        </is>
      </c>
      <c r="Z531" t="inlineStr">
        <is>
          <t>1996-03-28</t>
        </is>
      </c>
      <c r="AA531" t="n">
        <v>249</v>
      </c>
      <c r="AB531" t="n">
        <v>208</v>
      </c>
      <c r="AC531" t="n">
        <v>208</v>
      </c>
      <c r="AD531" t="n">
        <v>3</v>
      </c>
      <c r="AE531" t="n">
        <v>3</v>
      </c>
      <c r="AF531" t="n">
        <v>9</v>
      </c>
      <c r="AG531" t="n">
        <v>9</v>
      </c>
      <c r="AH531" t="n">
        <v>5</v>
      </c>
      <c r="AI531" t="n">
        <v>5</v>
      </c>
      <c r="AJ531" t="n">
        <v>2</v>
      </c>
      <c r="AK531" t="n">
        <v>2</v>
      </c>
      <c r="AL531" t="n">
        <v>2</v>
      </c>
      <c r="AM531" t="n">
        <v>2</v>
      </c>
      <c r="AN531" t="n">
        <v>2</v>
      </c>
      <c r="AO531" t="n">
        <v>2</v>
      </c>
      <c r="AP531" t="n">
        <v>0</v>
      </c>
      <c r="AQ531" t="n">
        <v>0</v>
      </c>
      <c r="AR531" t="inlineStr">
        <is>
          <t>No</t>
        </is>
      </c>
      <c r="AS531" t="inlineStr">
        <is>
          <t>No</t>
        </is>
      </c>
      <c r="AU531">
        <f>HYPERLINK("https://creighton-primo.hosted.exlibrisgroup.com/primo-explore/search?tab=default_tab&amp;search_scope=EVERYTHING&amp;vid=01CRU&amp;lang=en_US&amp;offset=0&amp;query=any,contains,991000517929702656","Catalog Record")</f>
        <v/>
      </c>
      <c r="AV531">
        <f>HYPERLINK("http://www.worldcat.org/oclc/86804","WorldCat Record")</f>
        <v/>
      </c>
      <c r="AW531" t="inlineStr">
        <is>
          <t>364604912:eng</t>
        </is>
      </c>
      <c r="AX531" t="inlineStr">
        <is>
          <t>86804</t>
        </is>
      </c>
      <c r="AY531" t="inlineStr">
        <is>
          <t>991000517929702656</t>
        </is>
      </c>
      <c r="AZ531" t="inlineStr">
        <is>
          <t>991000517929702656</t>
        </is>
      </c>
      <c r="BA531" t="inlineStr">
        <is>
          <t>2270066210002656</t>
        </is>
      </c>
      <c r="BB531" t="inlineStr">
        <is>
          <t>BOOK</t>
        </is>
      </c>
      <c r="BE531" t="inlineStr">
        <is>
          <t>32285001382539</t>
        </is>
      </c>
      <c r="BF531" t="inlineStr">
        <is>
          <t>893796740</t>
        </is>
      </c>
    </row>
    <row r="532">
      <c r="B532" t="inlineStr">
        <is>
          <t>CURAL</t>
        </is>
      </c>
      <c r="C532" t="inlineStr">
        <is>
          <t>SHELVES</t>
        </is>
      </c>
      <c r="D532" t="inlineStr">
        <is>
          <t>QP43 .M47 1989</t>
        </is>
      </c>
      <c r="E532" t="inlineStr">
        <is>
          <t>0                      QP 0043000M  47          1989</t>
        </is>
      </c>
      <c r="F532" t="inlineStr">
        <is>
          <t>Methods in animal physiology / editors, Zdeněk Deyl, Josef Zicha.</t>
        </is>
      </c>
      <c r="H532" t="inlineStr">
        <is>
          <t>No</t>
        </is>
      </c>
      <c r="I532" t="inlineStr">
        <is>
          <t>1</t>
        </is>
      </c>
      <c r="J532" t="inlineStr">
        <is>
          <t>No</t>
        </is>
      </c>
      <c r="K532" t="inlineStr">
        <is>
          <t>No</t>
        </is>
      </c>
      <c r="L532" t="inlineStr">
        <is>
          <t>0</t>
        </is>
      </c>
      <c r="N532" t="inlineStr">
        <is>
          <t>Boca Raton, Fla. : CRC Press, c1989.</t>
        </is>
      </c>
      <c r="O532" t="inlineStr">
        <is>
          <t>1989</t>
        </is>
      </c>
      <c r="Q532" t="inlineStr">
        <is>
          <t>eng</t>
        </is>
      </c>
      <c r="R532" t="inlineStr">
        <is>
          <t>flu</t>
        </is>
      </c>
      <c r="T532" t="inlineStr">
        <is>
          <t xml:space="preserve">QP </t>
        </is>
      </c>
      <c r="U532" t="n">
        <v>5</v>
      </c>
      <c r="V532" t="n">
        <v>5</v>
      </c>
      <c r="W532" t="inlineStr">
        <is>
          <t>1999-07-13</t>
        </is>
      </c>
      <c r="X532" t="inlineStr">
        <is>
          <t>1999-07-13</t>
        </is>
      </c>
      <c r="Y532" t="inlineStr">
        <is>
          <t>1993-02-24</t>
        </is>
      </c>
      <c r="Z532" t="inlineStr">
        <is>
          <t>1993-02-24</t>
        </is>
      </c>
      <c r="AA532" t="n">
        <v>214</v>
      </c>
      <c r="AB532" t="n">
        <v>159</v>
      </c>
      <c r="AC532" t="n">
        <v>183</v>
      </c>
      <c r="AD532" t="n">
        <v>2</v>
      </c>
      <c r="AE532" t="n">
        <v>2</v>
      </c>
      <c r="AF532" t="n">
        <v>9</v>
      </c>
      <c r="AG532" t="n">
        <v>9</v>
      </c>
      <c r="AH532" t="n">
        <v>1</v>
      </c>
      <c r="AI532" t="n">
        <v>1</v>
      </c>
      <c r="AJ532" t="n">
        <v>4</v>
      </c>
      <c r="AK532" t="n">
        <v>4</v>
      </c>
      <c r="AL532" t="n">
        <v>7</v>
      </c>
      <c r="AM532" t="n">
        <v>7</v>
      </c>
      <c r="AN532" t="n">
        <v>1</v>
      </c>
      <c r="AO532" t="n">
        <v>1</v>
      </c>
      <c r="AP532" t="n">
        <v>0</v>
      </c>
      <c r="AQ532" t="n">
        <v>0</v>
      </c>
      <c r="AR532" t="inlineStr">
        <is>
          <t>No</t>
        </is>
      </c>
      <c r="AS532" t="inlineStr">
        <is>
          <t>Yes</t>
        </is>
      </c>
      <c r="AT532">
        <f>HYPERLINK("http://catalog.hathitrust.org/Record/001087795","HathiTrust Record")</f>
        <v/>
      </c>
      <c r="AU532">
        <f>HYPERLINK("https://creighton-primo.hosted.exlibrisgroup.com/primo-explore/search?tab=default_tab&amp;search_scope=EVERYTHING&amp;vid=01CRU&amp;lang=en_US&amp;offset=0&amp;query=any,contains,991001314709702656","Catalog Record")</f>
        <v/>
      </c>
      <c r="AV532">
        <f>HYPERLINK("http://www.worldcat.org/oclc/18166085","WorldCat Record")</f>
        <v/>
      </c>
      <c r="AW532" t="inlineStr">
        <is>
          <t>431226019:eng</t>
        </is>
      </c>
      <c r="AX532" t="inlineStr">
        <is>
          <t>18166085</t>
        </is>
      </c>
      <c r="AY532" t="inlineStr">
        <is>
          <t>991001314709702656</t>
        </is>
      </c>
      <c r="AZ532" t="inlineStr">
        <is>
          <t>991001314709702656</t>
        </is>
      </c>
      <c r="BA532" t="inlineStr">
        <is>
          <t>2262260810002656</t>
        </is>
      </c>
      <c r="BB532" t="inlineStr">
        <is>
          <t>BOOK</t>
        </is>
      </c>
      <c r="BD532" t="inlineStr">
        <is>
          <t>9780849369650</t>
        </is>
      </c>
      <c r="BE532" t="inlineStr">
        <is>
          <t>32285001549046</t>
        </is>
      </c>
      <c r="BF532" t="inlineStr">
        <is>
          <t>893439054</t>
        </is>
      </c>
    </row>
    <row r="533">
      <c r="B533" t="inlineStr">
        <is>
          <t>CURAL</t>
        </is>
      </c>
      <c r="C533" t="inlineStr">
        <is>
          <t>SHELVES</t>
        </is>
      </c>
      <c r="D533" t="inlineStr">
        <is>
          <t>QP431 .B37</t>
        </is>
      </c>
      <c r="E533" t="inlineStr">
        <is>
          <t>0                      QP 0431000B  37</t>
        </is>
      </c>
      <c r="F533" t="inlineStr">
        <is>
          <t>The sensory world : an introduction to sensation and perception / Thomas L. Bennett.</t>
        </is>
      </c>
      <c r="H533" t="inlineStr">
        <is>
          <t>No</t>
        </is>
      </c>
      <c r="I533" t="inlineStr">
        <is>
          <t>1</t>
        </is>
      </c>
      <c r="J533" t="inlineStr">
        <is>
          <t>No</t>
        </is>
      </c>
      <c r="K533" t="inlineStr">
        <is>
          <t>No</t>
        </is>
      </c>
      <c r="L533" t="inlineStr">
        <is>
          <t>0</t>
        </is>
      </c>
      <c r="M533" t="inlineStr">
        <is>
          <t>Bennett, Thomas L.</t>
        </is>
      </c>
      <c r="N533" t="inlineStr">
        <is>
          <t>Monterey, Calif. : Brooks/Cole Pub. Co., c1978</t>
        </is>
      </c>
      <c r="O533" t="inlineStr">
        <is>
          <t>1978</t>
        </is>
      </c>
      <c r="Q533" t="inlineStr">
        <is>
          <t>eng</t>
        </is>
      </c>
      <c r="R533" t="inlineStr">
        <is>
          <t>cau</t>
        </is>
      </c>
      <c r="S533" t="inlineStr">
        <is>
          <t>Core books in psychology series</t>
        </is>
      </c>
      <c r="T533" t="inlineStr">
        <is>
          <t xml:space="preserve">QP </t>
        </is>
      </c>
      <c r="U533" t="n">
        <v>3</v>
      </c>
      <c r="V533" t="n">
        <v>3</v>
      </c>
      <c r="W533" t="inlineStr">
        <is>
          <t>1994-11-30</t>
        </is>
      </c>
      <c r="X533" t="inlineStr">
        <is>
          <t>1994-11-30</t>
        </is>
      </c>
      <c r="Y533" t="inlineStr">
        <is>
          <t>1994-10-06</t>
        </is>
      </c>
      <c r="Z533" t="inlineStr">
        <is>
          <t>1994-10-06</t>
        </is>
      </c>
      <c r="AA533" t="n">
        <v>120</v>
      </c>
      <c r="AB533" t="n">
        <v>94</v>
      </c>
      <c r="AC533" t="n">
        <v>94</v>
      </c>
      <c r="AD533" t="n">
        <v>2</v>
      </c>
      <c r="AE533" t="n">
        <v>2</v>
      </c>
      <c r="AF533" t="n">
        <v>3</v>
      </c>
      <c r="AG533" t="n">
        <v>3</v>
      </c>
      <c r="AH533" t="n">
        <v>1</v>
      </c>
      <c r="AI533" t="n">
        <v>1</v>
      </c>
      <c r="AJ533" t="n">
        <v>0</v>
      </c>
      <c r="AK533" t="n">
        <v>0</v>
      </c>
      <c r="AL533" t="n">
        <v>2</v>
      </c>
      <c r="AM533" t="n">
        <v>2</v>
      </c>
      <c r="AN533" t="n">
        <v>1</v>
      </c>
      <c r="AO533" t="n">
        <v>1</v>
      </c>
      <c r="AP533" t="n">
        <v>0</v>
      </c>
      <c r="AQ533" t="n">
        <v>0</v>
      </c>
      <c r="AR533" t="inlineStr">
        <is>
          <t>No</t>
        </is>
      </c>
      <c r="AS533" t="inlineStr">
        <is>
          <t>No</t>
        </is>
      </c>
      <c r="AU533">
        <f>HYPERLINK("https://creighton-primo.hosted.exlibrisgroup.com/primo-explore/search?tab=default_tab&amp;search_scope=EVERYTHING&amp;vid=01CRU&amp;lang=en_US&amp;offset=0&amp;query=any,contains,991004503899702656","Catalog Record")</f>
        <v/>
      </c>
      <c r="AV533">
        <f>HYPERLINK("http://www.worldcat.org/oclc/3730161","WorldCat Record")</f>
        <v/>
      </c>
      <c r="AW533" t="inlineStr">
        <is>
          <t>424573086:eng</t>
        </is>
      </c>
      <c r="AX533" t="inlineStr">
        <is>
          <t>3730161</t>
        </is>
      </c>
      <c r="AY533" t="inlineStr">
        <is>
          <t>991004503899702656</t>
        </is>
      </c>
      <c r="AZ533" t="inlineStr">
        <is>
          <t>991004503899702656</t>
        </is>
      </c>
      <c r="BA533" t="inlineStr">
        <is>
          <t>2268948650002656</t>
        </is>
      </c>
      <c r="BB533" t="inlineStr">
        <is>
          <t>BOOK</t>
        </is>
      </c>
      <c r="BD533" t="inlineStr">
        <is>
          <t>9780818502620</t>
        </is>
      </c>
      <c r="BE533" t="inlineStr">
        <is>
          <t>32285001562338</t>
        </is>
      </c>
      <c r="BF533" t="inlineStr">
        <is>
          <t>893430138</t>
        </is>
      </c>
    </row>
    <row r="534">
      <c r="B534" t="inlineStr">
        <is>
          <t>CURAL</t>
        </is>
      </c>
      <c r="C534" t="inlineStr">
        <is>
          <t>SHELVES</t>
        </is>
      </c>
      <c r="D534" t="inlineStr">
        <is>
          <t>QP431 .B86 1970</t>
        </is>
      </c>
      <c r="E534" t="inlineStr">
        <is>
          <t>0                      QP 0431000B  86          1970</t>
        </is>
      </c>
      <c r="F534" t="inlineStr">
        <is>
          <t>Animal senses.</t>
        </is>
      </c>
      <c r="H534" t="inlineStr">
        <is>
          <t>No</t>
        </is>
      </c>
      <c r="I534" t="inlineStr">
        <is>
          <t>1</t>
        </is>
      </c>
      <c r="J534" t="inlineStr">
        <is>
          <t>No</t>
        </is>
      </c>
      <c r="K534" t="inlineStr">
        <is>
          <t>No</t>
        </is>
      </c>
      <c r="L534" t="inlineStr">
        <is>
          <t>0</t>
        </is>
      </c>
      <c r="M534" t="inlineStr">
        <is>
          <t>Burton, Robert, 1941-</t>
        </is>
      </c>
      <c r="N534" t="inlineStr">
        <is>
          <t>New York, Taplinger [1970]</t>
        </is>
      </c>
      <c r="O534" t="inlineStr">
        <is>
          <t>1970</t>
        </is>
      </c>
      <c r="Q534" t="inlineStr">
        <is>
          <t>eng</t>
        </is>
      </c>
      <c r="R534" t="inlineStr">
        <is>
          <t>nyu</t>
        </is>
      </c>
      <c r="T534" t="inlineStr">
        <is>
          <t xml:space="preserve">QP </t>
        </is>
      </c>
      <c r="U534" t="n">
        <v>3</v>
      </c>
      <c r="V534" t="n">
        <v>3</v>
      </c>
      <c r="W534" t="inlineStr">
        <is>
          <t>1999-11-08</t>
        </is>
      </c>
      <c r="X534" t="inlineStr">
        <is>
          <t>1999-11-08</t>
        </is>
      </c>
      <c r="Y534" t="inlineStr">
        <is>
          <t>1997-08-06</t>
        </is>
      </c>
      <c r="Z534" t="inlineStr">
        <is>
          <t>1997-08-06</t>
        </is>
      </c>
      <c r="AA534" t="n">
        <v>354</v>
      </c>
      <c r="AB534" t="n">
        <v>335</v>
      </c>
      <c r="AC534" t="n">
        <v>371</v>
      </c>
      <c r="AD534" t="n">
        <v>4</v>
      </c>
      <c r="AE534" t="n">
        <v>4</v>
      </c>
      <c r="AF534" t="n">
        <v>7</v>
      </c>
      <c r="AG534" t="n">
        <v>7</v>
      </c>
      <c r="AH534" t="n">
        <v>3</v>
      </c>
      <c r="AI534" t="n">
        <v>3</v>
      </c>
      <c r="AJ534" t="n">
        <v>0</v>
      </c>
      <c r="AK534" t="n">
        <v>0</v>
      </c>
      <c r="AL534" t="n">
        <v>2</v>
      </c>
      <c r="AM534" t="n">
        <v>2</v>
      </c>
      <c r="AN534" t="n">
        <v>3</v>
      </c>
      <c r="AO534" t="n">
        <v>3</v>
      </c>
      <c r="AP534" t="n">
        <v>0</v>
      </c>
      <c r="AQ534" t="n">
        <v>0</v>
      </c>
      <c r="AR534" t="inlineStr">
        <is>
          <t>No</t>
        </is>
      </c>
      <c r="AS534" t="inlineStr">
        <is>
          <t>Yes</t>
        </is>
      </c>
      <c r="AT534">
        <f>HYPERLINK("http://catalog.hathitrust.org/Record/001554952","HathiTrust Record")</f>
        <v/>
      </c>
      <c r="AU534">
        <f>HYPERLINK("https://creighton-primo.hosted.exlibrisgroup.com/primo-explore/search?tab=default_tab&amp;search_scope=EVERYTHING&amp;vid=01CRU&amp;lang=en_US&amp;offset=0&amp;query=any,contains,991000216449702656","Catalog Record")</f>
        <v/>
      </c>
      <c r="AV534">
        <f>HYPERLINK("http://www.worldcat.org/oclc/66977","WorldCat Record")</f>
        <v/>
      </c>
      <c r="AW534" t="inlineStr">
        <is>
          <t>1233113:eng</t>
        </is>
      </c>
      <c r="AX534" t="inlineStr">
        <is>
          <t>66977</t>
        </is>
      </c>
      <c r="AY534" t="inlineStr">
        <is>
          <t>991000216449702656</t>
        </is>
      </c>
      <c r="AZ534" t="inlineStr">
        <is>
          <t>991000216449702656</t>
        </is>
      </c>
      <c r="BA534" t="inlineStr">
        <is>
          <t>2258639320002656</t>
        </is>
      </c>
      <c r="BB534" t="inlineStr">
        <is>
          <t>BOOK</t>
        </is>
      </c>
      <c r="BD534" t="inlineStr">
        <is>
          <t>9780800802608</t>
        </is>
      </c>
      <c r="BE534" t="inlineStr">
        <is>
          <t>32285003014825</t>
        </is>
      </c>
      <c r="BF534" t="inlineStr">
        <is>
          <t>893508630</t>
        </is>
      </c>
    </row>
    <row r="535">
      <c r="B535" t="inlineStr">
        <is>
          <t>CURAL</t>
        </is>
      </c>
      <c r="C535" t="inlineStr">
        <is>
          <t>SHELVES</t>
        </is>
      </c>
      <c r="D535" t="inlineStr">
        <is>
          <t>QP431 .C63</t>
        </is>
      </c>
      <c r="E535" t="inlineStr">
        <is>
          <t>0                      QP 0431000C  63</t>
        </is>
      </c>
      <c r="F535" t="inlineStr">
        <is>
          <t>Sensation and perception / Stanley Coren, Clare Porac, Lawrence M. Ward ; [text ill. prepared by Rino Dussi].</t>
        </is>
      </c>
      <c r="H535" t="inlineStr">
        <is>
          <t>No</t>
        </is>
      </c>
      <c r="I535" t="inlineStr">
        <is>
          <t>1</t>
        </is>
      </c>
      <c r="J535" t="inlineStr">
        <is>
          <t>No</t>
        </is>
      </c>
      <c r="K535" t="inlineStr">
        <is>
          <t>No</t>
        </is>
      </c>
      <c r="L535" t="inlineStr">
        <is>
          <t>0</t>
        </is>
      </c>
      <c r="M535" t="inlineStr">
        <is>
          <t>Coren, Stanley.</t>
        </is>
      </c>
      <c r="N535" t="inlineStr">
        <is>
          <t>New York : Academic Press, c1979.</t>
        </is>
      </c>
      <c r="O535" t="inlineStr">
        <is>
          <t>1979</t>
        </is>
      </c>
      <c r="Q535" t="inlineStr">
        <is>
          <t>eng</t>
        </is>
      </c>
      <c r="R535" t="inlineStr">
        <is>
          <t>nyu</t>
        </is>
      </c>
      <c r="T535" t="inlineStr">
        <is>
          <t xml:space="preserve">QP </t>
        </is>
      </c>
      <c r="U535" t="n">
        <v>6</v>
      </c>
      <c r="V535" t="n">
        <v>6</v>
      </c>
      <c r="W535" t="inlineStr">
        <is>
          <t>1996-09-18</t>
        </is>
      </c>
      <c r="X535" t="inlineStr">
        <is>
          <t>1996-09-18</t>
        </is>
      </c>
      <c r="Y535" t="inlineStr">
        <is>
          <t>1993-03-04</t>
        </is>
      </c>
      <c r="Z535" t="inlineStr">
        <is>
          <t>1993-03-04</t>
        </is>
      </c>
      <c r="AA535" t="n">
        <v>315</v>
      </c>
      <c r="AB535" t="n">
        <v>214</v>
      </c>
      <c r="AC535" t="n">
        <v>462</v>
      </c>
      <c r="AD535" t="n">
        <v>2</v>
      </c>
      <c r="AE535" t="n">
        <v>2</v>
      </c>
      <c r="AF535" t="n">
        <v>11</v>
      </c>
      <c r="AG535" t="n">
        <v>20</v>
      </c>
      <c r="AH535" t="n">
        <v>3</v>
      </c>
      <c r="AI535" t="n">
        <v>8</v>
      </c>
      <c r="AJ535" t="n">
        <v>3</v>
      </c>
      <c r="AK535" t="n">
        <v>5</v>
      </c>
      <c r="AL535" t="n">
        <v>8</v>
      </c>
      <c r="AM535" t="n">
        <v>12</v>
      </c>
      <c r="AN535" t="n">
        <v>1</v>
      </c>
      <c r="AO535" t="n">
        <v>1</v>
      </c>
      <c r="AP535" t="n">
        <v>0</v>
      </c>
      <c r="AQ535" t="n">
        <v>0</v>
      </c>
      <c r="AR535" t="inlineStr">
        <is>
          <t>No</t>
        </is>
      </c>
      <c r="AS535" t="inlineStr">
        <is>
          <t>Yes</t>
        </is>
      </c>
      <c r="AT535">
        <f>HYPERLINK("http://catalog.hathitrust.org/Record/000299778","HathiTrust Record")</f>
        <v/>
      </c>
      <c r="AU535">
        <f>HYPERLINK("https://creighton-primo.hosted.exlibrisgroup.com/primo-explore/search?tab=default_tab&amp;search_scope=EVERYTHING&amp;vid=01CRU&amp;lang=en_US&amp;offset=0&amp;query=any,contains,991004739359702656","Catalog Record")</f>
        <v/>
      </c>
      <c r="AV535">
        <f>HYPERLINK("http://www.worldcat.org/oclc/4875320","WorldCat Record")</f>
        <v/>
      </c>
      <c r="AW535" t="inlineStr">
        <is>
          <t>5189756716:eng</t>
        </is>
      </c>
      <c r="AX535" t="inlineStr">
        <is>
          <t>4875320</t>
        </is>
      </c>
      <c r="AY535" t="inlineStr">
        <is>
          <t>991004739359702656</t>
        </is>
      </c>
      <c r="AZ535" t="inlineStr">
        <is>
          <t>991004739359702656</t>
        </is>
      </c>
      <c r="BA535" t="inlineStr">
        <is>
          <t>2263455530002656</t>
        </is>
      </c>
      <c r="BB535" t="inlineStr">
        <is>
          <t>BOOK</t>
        </is>
      </c>
      <c r="BD535" t="inlineStr">
        <is>
          <t>9780121885502</t>
        </is>
      </c>
      <c r="BE535" t="inlineStr">
        <is>
          <t>32285001562346</t>
        </is>
      </c>
      <c r="BF535" t="inlineStr">
        <is>
          <t>893789039</t>
        </is>
      </c>
    </row>
    <row r="536">
      <c r="B536" t="inlineStr">
        <is>
          <t>CURAL</t>
        </is>
      </c>
      <c r="C536" t="inlineStr">
        <is>
          <t>SHELVES</t>
        </is>
      </c>
      <c r="D536" t="inlineStr">
        <is>
          <t>QP431 .D7513</t>
        </is>
      </c>
      <c r="E536" t="inlineStr">
        <is>
          <t>0                      QP 0431000D  7513</t>
        </is>
      </c>
      <c r="F536" t="inlineStr">
        <is>
          <t>The magic of the senses; new discoveries in animal perception [by] Vitus B. Dröscher. Translated from the German by Ursula Lehrburger and Oliver Coburn.</t>
        </is>
      </c>
      <c r="H536" t="inlineStr">
        <is>
          <t>No</t>
        </is>
      </c>
      <c r="I536" t="inlineStr">
        <is>
          <t>1</t>
        </is>
      </c>
      <c r="J536" t="inlineStr">
        <is>
          <t>No</t>
        </is>
      </c>
      <c r="K536" t="inlineStr">
        <is>
          <t>No</t>
        </is>
      </c>
      <c r="L536" t="inlineStr">
        <is>
          <t>0</t>
        </is>
      </c>
      <c r="M536" t="inlineStr">
        <is>
          <t>Dröscher, Vitus B.</t>
        </is>
      </c>
      <c r="N536" t="inlineStr">
        <is>
          <t>New York, Dutton, 1969.</t>
        </is>
      </c>
      <c r="O536" t="inlineStr">
        <is>
          <t>1969</t>
        </is>
      </c>
      <c r="Q536" t="inlineStr">
        <is>
          <t>eng</t>
        </is>
      </c>
      <c r="R536" t="inlineStr">
        <is>
          <t>nyu</t>
        </is>
      </c>
      <c r="T536" t="inlineStr">
        <is>
          <t xml:space="preserve">QP </t>
        </is>
      </c>
      <c r="U536" t="n">
        <v>5</v>
      </c>
      <c r="V536" t="n">
        <v>5</v>
      </c>
      <c r="W536" t="inlineStr">
        <is>
          <t>1999-11-08</t>
        </is>
      </c>
      <c r="X536" t="inlineStr">
        <is>
          <t>1999-11-08</t>
        </is>
      </c>
      <c r="Y536" t="inlineStr">
        <is>
          <t>1997-08-06</t>
        </is>
      </c>
      <c r="Z536" t="inlineStr">
        <is>
          <t>1997-08-06</t>
        </is>
      </c>
      <c r="AA536" t="n">
        <v>446</v>
      </c>
      <c r="AB536" t="n">
        <v>417</v>
      </c>
      <c r="AC536" t="n">
        <v>427</v>
      </c>
      <c r="AD536" t="n">
        <v>4</v>
      </c>
      <c r="AE536" t="n">
        <v>4</v>
      </c>
      <c r="AF536" t="n">
        <v>14</v>
      </c>
      <c r="AG536" t="n">
        <v>14</v>
      </c>
      <c r="AH536" t="n">
        <v>7</v>
      </c>
      <c r="AI536" t="n">
        <v>7</v>
      </c>
      <c r="AJ536" t="n">
        <v>1</v>
      </c>
      <c r="AK536" t="n">
        <v>1</v>
      </c>
      <c r="AL536" t="n">
        <v>8</v>
      </c>
      <c r="AM536" t="n">
        <v>8</v>
      </c>
      <c r="AN536" t="n">
        <v>2</v>
      </c>
      <c r="AO536" t="n">
        <v>2</v>
      </c>
      <c r="AP536" t="n">
        <v>0</v>
      </c>
      <c r="AQ536" t="n">
        <v>0</v>
      </c>
      <c r="AR536" t="inlineStr">
        <is>
          <t>No</t>
        </is>
      </c>
      <c r="AS536" t="inlineStr">
        <is>
          <t>No</t>
        </is>
      </c>
      <c r="AU536">
        <f>HYPERLINK("https://creighton-primo.hosted.exlibrisgroup.com/primo-explore/search?tab=default_tab&amp;search_scope=EVERYTHING&amp;vid=01CRU&amp;lang=en_US&amp;offset=0&amp;query=any,contains,991000003229702656","Catalog Record")</f>
        <v/>
      </c>
      <c r="AV536">
        <f>HYPERLINK("http://www.worldcat.org/oclc/11989","WorldCat Record")</f>
        <v/>
      </c>
      <c r="AW536" t="inlineStr">
        <is>
          <t>1151130587:eng</t>
        </is>
      </c>
      <c r="AX536" t="inlineStr">
        <is>
          <t>11989</t>
        </is>
      </c>
      <c r="AY536" t="inlineStr">
        <is>
          <t>991000003229702656</t>
        </is>
      </c>
      <c r="AZ536" t="inlineStr">
        <is>
          <t>991000003229702656</t>
        </is>
      </c>
      <c r="BA536" t="inlineStr">
        <is>
          <t>2265520700002656</t>
        </is>
      </c>
      <c r="BB536" t="inlineStr">
        <is>
          <t>BOOK</t>
        </is>
      </c>
      <c r="BE536" t="inlineStr">
        <is>
          <t>32285003014833</t>
        </is>
      </c>
      <c r="BF536" t="inlineStr">
        <is>
          <t>893236985</t>
        </is>
      </c>
    </row>
    <row r="537">
      <c r="B537" t="inlineStr">
        <is>
          <t>CURAL</t>
        </is>
      </c>
      <c r="C537" t="inlineStr">
        <is>
          <t>SHELVES</t>
        </is>
      </c>
      <c r="D537" t="inlineStr">
        <is>
          <t>QP431 .D87 1992</t>
        </is>
      </c>
      <c r="E537" t="inlineStr">
        <is>
          <t>0                      QP 0431000D  87          1992</t>
        </is>
      </c>
      <c r="F537" t="inlineStr">
        <is>
          <t>Sensory ecology : how organisms acquire and respond to information / David B. Dusenbery.</t>
        </is>
      </c>
      <c r="H537" t="inlineStr">
        <is>
          <t>No</t>
        </is>
      </c>
      <c r="I537" t="inlineStr">
        <is>
          <t>1</t>
        </is>
      </c>
      <c r="J537" t="inlineStr">
        <is>
          <t>No</t>
        </is>
      </c>
      <c r="K537" t="inlineStr">
        <is>
          <t>No</t>
        </is>
      </c>
      <c r="L537" t="inlineStr">
        <is>
          <t>0</t>
        </is>
      </c>
      <c r="M537" t="inlineStr">
        <is>
          <t>Dusenbery, David B.</t>
        </is>
      </c>
      <c r="N537" t="inlineStr">
        <is>
          <t>New York : W.H. Freeman, c1992.</t>
        </is>
      </c>
      <c r="O537" t="inlineStr">
        <is>
          <t>1992</t>
        </is>
      </c>
      <c r="Q537" t="inlineStr">
        <is>
          <t>eng</t>
        </is>
      </c>
      <c r="R537" t="inlineStr">
        <is>
          <t>nyu</t>
        </is>
      </c>
      <c r="T537" t="inlineStr">
        <is>
          <t xml:space="preserve">QP </t>
        </is>
      </c>
      <c r="U537" t="n">
        <v>8</v>
      </c>
      <c r="V537" t="n">
        <v>8</v>
      </c>
      <c r="W537" t="inlineStr">
        <is>
          <t>1999-11-08</t>
        </is>
      </c>
      <c r="X537" t="inlineStr">
        <is>
          <t>1999-11-08</t>
        </is>
      </c>
      <c r="Y537" t="inlineStr">
        <is>
          <t>1992-10-08</t>
        </is>
      </c>
      <c r="Z537" t="inlineStr">
        <is>
          <t>1992-10-08</t>
        </is>
      </c>
      <c r="AA537" t="n">
        <v>390</v>
      </c>
      <c r="AB537" t="n">
        <v>265</v>
      </c>
      <c r="AC537" t="n">
        <v>270</v>
      </c>
      <c r="AD537" t="n">
        <v>2</v>
      </c>
      <c r="AE537" t="n">
        <v>2</v>
      </c>
      <c r="AF537" t="n">
        <v>6</v>
      </c>
      <c r="AG537" t="n">
        <v>6</v>
      </c>
      <c r="AH537" t="n">
        <v>1</v>
      </c>
      <c r="AI537" t="n">
        <v>1</v>
      </c>
      <c r="AJ537" t="n">
        <v>1</v>
      </c>
      <c r="AK537" t="n">
        <v>1</v>
      </c>
      <c r="AL537" t="n">
        <v>4</v>
      </c>
      <c r="AM537" t="n">
        <v>4</v>
      </c>
      <c r="AN537" t="n">
        <v>1</v>
      </c>
      <c r="AO537" t="n">
        <v>1</v>
      </c>
      <c r="AP537" t="n">
        <v>0</v>
      </c>
      <c r="AQ537" t="n">
        <v>0</v>
      </c>
      <c r="AR537" t="inlineStr">
        <is>
          <t>No</t>
        </is>
      </c>
      <c r="AS537" t="inlineStr">
        <is>
          <t>No</t>
        </is>
      </c>
      <c r="AU537">
        <f>HYPERLINK("https://creighton-primo.hosted.exlibrisgroup.com/primo-explore/search?tab=default_tab&amp;search_scope=EVERYTHING&amp;vid=01CRU&amp;lang=en_US&amp;offset=0&amp;query=any,contains,991002025909702656","Catalog Record")</f>
        <v/>
      </c>
      <c r="AV537">
        <f>HYPERLINK("http://www.worldcat.org/oclc/25787245","WorldCat Record")</f>
        <v/>
      </c>
      <c r="AW537" t="inlineStr">
        <is>
          <t>293892553:eng</t>
        </is>
      </c>
      <c r="AX537" t="inlineStr">
        <is>
          <t>25787245</t>
        </is>
      </c>
      <c r="AY537" t="inlineStr">
        <is>
          <t>991002025909702656</t>
        </is>
      </c>
      <c r="AZ537" t="inlineStr">
        <is>
          <t>991002025909702656</t>
        </is>
      </c>
      <c r="BA537" t="inlineStr">
        <is>
          <t>2256003180002656</t>
        </is>
      </c>
      <c r="BB537" t="inlineStr">
        <is>
          <t>BOOK</t>
        </is>
      </c>
      <c r="BD537" t="inlineStr">
        <is>
          <t>9780716723332</t>
        </is>
      </c>
      <c r="BE537" t="inlineStr">
        <is>
          <t>32285001316669</t>
        </is>
      </c>
      <c r="BF537" t="inlineStr">
        <is>
          <t>893256781</t>
        </is>
      </c>
    </row>
    <row r="538">
      <c r="B538" t="inlineStr">
        <is>
          <t>CURAL</t>
        </is>
      </c>
      <c r="C538" t="inlineStr">
        <is>
          <t>SHELVES</t>
        </is>
      </c>
      <c r="D538" t="inlineStr">
        <is>
          <t>QP431 .M5</t>
        </is>
      </c>
      <c r="E538" t="inlineStr">
        <is>
          <t>0                      QP 0431000M  5</t>
        </is>
      </c>
      <c r="F538" t="inlineStr">
        <is>
          <t>The senses of animals and men [by] Lorus and Margery Milne. Drawings by Kenneth Gosner.</t>
        </is>
      </c>
      <c r="H538" t="inlineStr">
        <is>
          <t>No</t>
        </is>
      </c>
      <c r="I538" t="inlineStr">
        <is>
          <t>1</t>
        </is>
      </c>
      <c r="J538" t="inlineStr">
        <is>
          <t>No</t>
        </is>
      </c>
      <c r="K538" t="inlineStr">
        <is>
          <t>No</t>
        </is>
      </c>
      <c r="L538" t="inlineStr">
        <is>
          <t>0</t>
        </is>
      </c>
      <c r="M538" t="inlineStr">
        <is>
          <t>Milne, Lorus Johnson, 1910-1987.</t>
        </is>
      </c>
      <c r="N538" t="inlineStr">
        <is>
          <t>New York, Atheneum, 1962.</t>
        </is>
      </c>
      <c r="O538" t="inlineStr">
        <is>
          <t>1962</t>
        </is>
      </c>
      <c r="P538" t="inlineStr">
        <is>
          <t>[1st ed.]</t>
        </is>
      </c>
      <c r="Q538" t="inlineStr">
        <is>
          <t>eng</t>
        </is>
      </c>
      <c r="R538" t="inlineStr">
        <is>
          <t>nyu</t>
        </is>
      </c>
      <c r="T538" t="inlineStr">
        <is>
          <t xml:space="preserve">QP </t>
        </is>
      </c>
      <c r="U538" t="n">
        <v>2</v>
      </c>
      <c r="V538" t="n">
        <v>2</v>
      </c>
      <c r="W538" t="inlineStr">
        <is>
          <t>1999-11-08</t>
        </is>
      </c>
      <c r="X538" t="inlineStr">
        <is>
          <t>1999-11-08</t>
        </is>
      </c>
      <c r="Y538" t="inlineStr">
        <is>
          <t>1997-08-06</t>
        </is>
      </c>
      <c r="Z538" t="inlineStr">
        <is>
          <t>1997-08-06</t>
        </is>
      </c>
      <c r="AA538" t="n">
        <v>935</v>
      </c>
      <c r="AB538" t="n">
        <v>873</v>
      </c>
      <c r="AC538" t="n">
        <v>921</v>
      </c>
      <c r="AD538" t="n">
        <v>5</v>
      </c>
      <c r="AE538" t="n">
        <v>5</v>
      </c>
      <c r="AF538" t="n">
        <v>23</v>
      </c>
      <c r="AG538" t="n">
        <v>24</v>
      </c>
      <c r="AH538" t="n">
        <v>7</v>
      </c>
      <c r="AI538" t="n">
        <v>8</v>
      </c>
      <c r="AJ538" t="n">
        <v>4</v>
      </c>
      <c r="AK538" t="n">
        <v>4</v>
      </c>
      <c r="AL538" t="n">
        <v>15</v>
      </c>
      <c r="AM538" t="n">
        <v>16</v>
      </c>
      <c r="AN538" t="n">
        <v>4</v>
      </c>
      <c r="AO538" t="n">
        <v>4</v>
      </c>
      <c r="AP538" t="n">
        <v>0</v>
      </c>
      <c r="AQ538" t="n">
        <v>0</v>
      </c>
      <c r="AR538" t="inlineStr">
        <is>
          <t>No</t>
        </is>
      </c>
      <c r="AS538" t="inlineStr">
        <is>
          <t>No</t>
        </is>
      </c>
      <c r="AT538">
        <f>HYPERLINK("http://catalog.hathitrust.org/Record/001554963","HathiTrust Record")</f>
        <v/>
      </c>
      <c r="AU538">
        <f>HYPERLINK("https://creighton-primo.hosted.exlibrisgroup.com/primo-explore/search?tab=default_tab&amp;search_scope=EVERYTHING&amp;vid=01CRU&amp;lang=en_US&amp;offset=0&amp;query=any,contains,991002989519702656","Catalog Record")</f>
        <v/>
      </c>
      <c r="AV538">
        <f>HYPERLINK("http://www.worldcat.org/oclc/559699","WorldCat Record")</f>
        <v/>
      </c>
      <c r="AW538" t="inlineStr">
        <is>
          <t>1630494:eng</t>
        </is>
      </c>
      <c r="AX538" t="inlineStr">
        <is>
          <t>559699</t>
        </is>
      </c>
      <c r="AY538" t="inlineStr">
        <is>
          <t>991002989519702656</t>
        </is>
      </c>
      <c r="AZ538" t="inlineStr">
        <is>
          <t>991002989519702656</t>
        </is>
      </c>
      <c r="BA538" t="inlineStr">
        <is>
          <t>2262171480002656</t>
        </is>
      </c>
      <c r="BB538" t="inlineStr">
        <is>
          <t>BOOK</t>
        </is>
      </c>
      <c r="BE538" t="inlineStr">
        <is>
          <t>32285003014874</t>
        </is>
      </c>
      <c r="BF538" t="inlineStr">
        <is>
          <t>893251881</t>
        </is>
      </c>
    </row>
    <row r="539">
      <c r="B539" t="inlineStr">
        <is>
          <t>CURAL</t>
        </is>
      </c>
      <c r="C539" t="inlineStr">
        <is>
          <t>SHELVES</t>
        </is>
      </c>
      <c r="D539" t="inlineStr">
        <is>
          <t>QP431 .S443 1998</t>
        </is>
      </c>
      <c r="E539" t="inlineStr">
        <is>
          <t>0                      QP 0431000S  443         1998</t>
        </is>
      </c>
      <c r="F539" t="inlineStr">
        <is>
          <t>The Senses and communication / Tim Halliday, (ed.).</t>
        </is>
      </c>
      <c r="H539" t="inlineStr">
        <is>
          <t>No</t>
        </is>
      </c>
      <c r="I539" t="inlineStr">
        <is>
          <t>1</t>
        </is>
      </c>
      <c r="J539" t="inlineStr">
        <is>
          <t>No</t>
        </is>
      </c>
      <c r="K539" t="inlineStr">
        <is>
          <t>No</t>
        </is>
      </c>
      <c r="L539" t="inlineStr">
        <is>
          <t>0</t>
        </is>
      </c>
      <c r="N539" t="inlineStr">
        <is>
          <t>Berlin ; New York : Springer, in association with the Open University, c1998.</t>
        </is>
      </c>
      <c r="O539" t="inlineStr">
        <is>
          <t>1998</t>
        </is>
      </c>
      <c r="Q539" t="inlineStr">
        <is>
          <t>eng</t>
        </is>
      </c>
      <c r="R539" t="inlineStr">
        <is>
          <t xml:space="preserve">gw </t>
        </is>
      </c>
      <c r="T539" t="inlineStr">
        <is>
          <t xml:space="preserve">QP </t>
        </is>
      </c>
      <c r="U539" t="n">
        <v>2</v>
      </c>
      <c r="V539" t="n">
        <v>2</v>
      </c>
      <c r="W539" t="inlineStr">
        <is>
          <t>1999-11-08</t>
        </is>
      </c>
      <c r="X539" t="inlineStr">
        <is>
          <t>1999-11-08</t>
        </is>
      </c>
      <c r="Y539" t="inlineStr">
        <is>
          <t>1999-04-28</t>
        </is>
      </c>
      <c r="Z539" t="inlineStr">
        <is>
          <t>1999-04-28</t>
        </is>
      </c>
      <c r="AA539" t="n">
        <v>221</v>
      </c>
      <c r="AB539" t="n">
        <v>134</v>
      </c>
      <c r="AC539" t="n">
        <v>136</v>
      </c>
      <c r="AD539" t="n">
        <v>1</v>
      </c>
      <c r="AE539" t="n">
        <v>1</v>
      </c>
      <c r="AF539" t="n">
        <v>4</v>
      </c>
      <c r="AG539" t="n">
        <v>4</v>
      </c>
      <c r="AH539" t="n">
        <v>1</v>
      </c>
      <c r="AI539" t="n">
        <v>1</v>
      </c>
      <c r="AJ539" t="n">
        <v>1</v>
      </c>
      <c r="AK539" t="n">
        <v>1</v>
      </c>
      <c r="AL539" t="n">
        <v>4</v>
      </c>
      <c r="AM539" t="n">
        <v>4</v>
      </c>
      <c r="AN539" t="n">
        <v>0</v>
      </c>
      <c r="AO539" t="n">
        <v>0</v>
      </c>
      <c r="AP539" t="n">
        <v>0</v>
      </c>
      <c r="AQ539" t="n">
        <v>0</v>
      </c>
      <c r="AR539" t="inlineStr">
        <is>
          <t>No</t>
        </is>
      </c>
      <c r="AS539" t="inlineStr">
        <is>
          <t>Yes</t>
        </is>
      </c>
      <c r="AT539">
        <f>HYPERLINK("http://catalog.hathitrust.org/Record/003984979","HathiTrust Record")</f>
        <v/>
      </c>
      <c r="AU539">
        <f>HYPERLINK("https://creighton-primo.hosted.exlibrisgroup.com/primo-explore/search?tab=default_tab&amp;search_scope=EVERYTHING&amp;vid=01CRU&amp;lang=en_US&amp;offset=0&amp;query=any,contains,991002878669702656","Catalog Record")</f>
        <v/>
      </c>
      <c r="AV539">
        <f>HYPERLINK("http://www.worldcat.org/oclc/37935153","WorldCat Record")</f>
        <v/>
      </c>
      <c r="AW539" t="inlineStr">
        <is>
          <t>629489:eng</t>
        </is>
      </c>
      <c r="AX539" t="inlineStr">
        <is>
          <t>37935153</t>
        </is>
      </c>
      <c r="AY539" t="inlineStr">
        <is>
          <t>991002878669702656</t>
        </is>
      </c>
      <c r="AZ539" t="inlineStr">
        <is>
          <t>991002878669702656</t>
        </is>
      </c>
      <c r="BA539" t="inlineStr">
        <is>
          <t>2266209190002656</t>
        </is>
      </c>
      <c r="BB539" t="inlineStr">
        <is>
          <t>BOOK</t>
        </is>
      </c>
      <c r="BD539" t="inlineStr">
        <is>
          <t>9783540637752</t>
        </is>
      </c>
      <c r="BE539" t="inlineStr">
        <is>
          <t>32285003557260</t>
        </is>
      </c>
      <c r="BF539" t="inlineStr">
        <is>
          <t>893685893</t>
        </is>
      </c>
    </row>
    <row r="540">
      <c r="B540" t="inlineStr">
        <is>
          <t>CURAL</t>
        </is>
      </c>
      <c r="C540" t="inlineStr">
        <is>
          <t>SHELVES</t>
        </is>
      </c>
      <c r="D540" t="inlineStr">
        <is>
          <t>QP431 .W66</t>
        </is>
      </c>
      <c r="E540" t="inlineStr">
        <is>
          <t>0                      QP 0431000W  66</t>
        </is>
      </c>
      <c r="F540" t="inlineStr">
        <is>
          <t>Sensory processing in the brain : an exercise in neuroconnective modeling / Dean E. Wooldridge.</t>
        </is>
      </c>
      <c r="H540" t="inlineStr">
        <is>
          <t>No</t>
        </is>
      </c>
      <c r="I540" t="inlineStr">
        <is>
          <t>1</t>
        </is>
      </c>
      <c r="J540" t="inlineStr">
        <is>
          <t>No</t>
        </is>
      </c>
      <c r="K540" t="inlineStr">
        <is>
          <t>No</t>
        </is>
      </c>
      <c r="L540" t="inlineStr">
        <is>
          <t>0</t>
        </is>
      </c>
      <c r="M540" t="inlineStr">
        <is>
          <t>Wooldridge, Dean E.</t>
        </is>
      </c>
      <c r="N540" t="inlineStr">
        <is>
          <t>New York : Wiley, c1979.</t>
        </is>
      </c>
      <c r="O540" t="inlineStr">
        <is>
          <t>1979</t>
        </is>
      </c>
      <c r="Q540" t="inlineStr">
        <is>
          <t>eng</t>
        </is>
      </c>
      <c r="R540" t="inlineStr">
        <is>
          <t>nyu</t>
        </is>
      </c>
      <c r="T540" t="inlineStr">
        <is>
          <t xml:space="preserve">QP </t>
        </is>
      </c>
      <c r="U540" t="n">
        <v>4</v>
      </c>
      <c r="V540" t="n">
        <v>4</v>
      </c>
      <c r="W540" t="inlineStr">
        <is>
          <t>1994-09-18</t>
        </is>
      </c>
      <c r="X540" t="inlineStr">
        <is>
          <t>1994-09-18</t>
        </is>
      </c>
      <c r="Y540" t="inlineStr">
        <is>
          <t>1993-03-04</t>
        </is>
      </c>
      <c r="Z540" t="inlineStr">
        <is>
          <t>1993-03-04</t>
        </is>
      </c>
      <c r="AA540" t="n">
        <v>305</v>
      </c>
      <c r="AB540" t="n">
        <v>229</v>
      </c>
      <c r="AC540" t="n">
        <v>239</v>
      </c>
      <c r="AD540" t="n">
        <v>4</v>
      </c>
      <c r="AE540" t="n">
        <v>4</v>
      </c>
      <c r="AF540" t="n">
        <v>8</v>
      </c>
      <c r="AG540" t="n">
        <v>8</v>
      </c>
      <c r="AH540" t="n">
        <v>1</v>
      </c>
      <c r="AI540" t="n">
        <v>1</v>
      </c>
      <c r="AJ540" t="n">
        <v>1</v>
      </c>
      <c r="AK540" t="n">
        <v>1</v>
      </c>
      <c r="AL540" t="n">
        <v>3</v>
      </c>
      <c r="AM540" t="n">
        <v>3</v>
      </c>
      <c r="AN540" t="n">
        <v>3</v>
      </c>
      <c r="AO540" t="n">
        <v>3</v>
      </c>
      <c r="AP540" t="n">
        <v>0</v>
      </c>
      <c r="AQ540" t="n">
        <v>0</v>
      </c>
      <c r="AR540" t="inlineStr">
        <is>
          <t>No</t>
        </is>
      </c>
      <c r="AS540" t="inlineStr">
        <is>
          <t>Yes</t>
        </is>
      </c>
      <c r="AT540">
        <f>HYPERLINK("http://catalog.hathitrust.org/Record/000257254","HathiTrust Record")</f>
        <v/>
      </c>
      <c r="AU540">
        <f>HYPERLINK("https://creighton-primo.hosted.exlibrisgroup.com/primo-explore/search?tab=default_tab&amp;search_scope=EVERYTHING&amp;vid=01CRU&amp;lang=en_US&amp;offset=0&amp;query=any,contains,991004667409702656","Catalog Record")</f>
        <v/>
      </c>
      <c r="AV540">
        <f>HYPERLINK("http://www.worldcat.org/oclc/4505307","WorldCat Record")</f>
        <v/>
      </c>
      <c r="AW540" t="inlineStr">
        <is>
          <t>796080633:eng</t>
        </is>
      </c>
      <c r="AX540" t="inlineStr">
        <is>
          <t>4505307</t>
        </is>
      </c>
      <c r="AY540" t="inlineStr">
        <is>
          <t>991004667409702656</t>
        </is>
      </c>
      <c r="AZ540" t="inlineStr">
        <is>
          <t>991004667409702656</t>
        </is>
      </c>
      <c r="BA540" t="inlineStr">
        <is>
          <t>2264322940002656</t>
        </is>
      </c>
      <c r="BB540" t="inlineStr">
        <is>
          <t>BOOK</t>
        </is>
      </c>
      <c r="BD540" t="inlineStr">
        <is>
          <t>9780471052692</t>
        </is>
      </c>
      <c r="BE540" t="inlineStr">
        <is>
          <t>32285001562353</t>
        </is>
      </c>
      <c r="BF540" t="inlineStr">
        <is>
          <t>893606309</t>
        </is>
      </c>
    </row>
    <row r="541">
      <c r="B541" t="inlineStr">
        <is>
          <t>CURAL</t>
        </is>
      </c>
      <c r="C541" t="inlineStr">
        <is>
          <t>SHELVES</t>
        </is>
      </c>
      <c r="D541" t="inlineStr">
        <is>
          <t>QP44 .A45 1985</t>
        </is>
      </c>
      <c r="E541" t="inlineStr">
        <is>
          <t>0                      QP 0044000A  45          1985</t>
        </is>
      </c>
      <c r="F541" t="inlineStr">
        <is>
          <t>Basic biochemical methods / Renee R. Alexander, Joan M. Griffiths, Maria L. Wilkinson.</t>
        </is>
      </c>
      <c r="H541" t="inlineStr">
        <is>
          <t>No</t>
        </is>
      </c>
      <c r="I541" t="inlineStr">
        <is>
          <t>1</t>
        </is>
      </c>
      <c r="J541" t="inlineStr">
        <is>
          <t>No</t>
        </is>
      </c>
      <c r="K541" t="inlineStr">
        <is>
          <t>Yes</t>
        </is>
      </c>
      <c r="L541" t="inlineStr">
        <is>
          <t>0</t>
        </is>
      </c>
      <c r="M541" t="inlineStr">
        <is>
          <t>Alexander, Renee R., 1932-</t>
        </is>
      </c>
      <c r="N541" t="inlineStr">
        <is>
          <t>New York : Wiley, c1985.</t>
        </is>
      </c>
      <c r="O541" t="inlineStr">
        <is>
          <t>1985</t>
        </is>
      </c>
      <c r="Q541" t="inlineStr">
        <is>
          <t>eng</t>
        </is>
      </c>
      <c r="R541" t="inlineStr">
        <is>
          <t>nyu</t>
        </is>
      </c>
      <c r="T541" t="inlineStr">
        <is>
          <t xml:space="preserve">QP </t>
        </is>
      </c>
      <c r="U541" t="n">
        <v>2</v>
      </c>
      <c r="V541" t="n">
        <v>2</v>
      </c>
      <c r="W541" t="inlineStr">
        <is>
          <t>2003-08-29</t>
        </is>
      </c>
      <c r="X541" t="inlineStr">
        <is>
          <t>2003-08-29</t>
        </is>
      </c>
      <c r="Y541" t="inlineStr">
        <is>
          <t>1993-02-24</t>
        </is>
      </c>
      <c r="Z541" t="inlineStr">
        <is>
          <t>1993-02-24</t>
        </is>
      </c>
      <c r="AA541" t="n">
        <v>411</v>
      </c>
      <c r="AB541" t="n">
        <v>322</v>
      </c>
      <c r="AC541" t="n">
        <v>457</v>
      </c>
      <c r="AD541" t="n">
        <v>3</v>
      </c>
      <c r="AE541" t="n">
        <v>5</v>
      </c>
      <c r="AF541" t="n">
        <v>12</v>
      </c>
      <c r="AG541" t="n">
        <v>17</v>
      </c>
      <c r="AH541" t="n">
        <v>2</v>
      </c>
      <c r="AI541" t="n">
        <v>4</v>
      </c>
      <c r="AJ541" t="n">
        <v>5</v>
      </c>
      <c r="AK541" t="n">
        <v>5</v>
      </c>
      <c r="AL541" t="n">
        <v>8</v>
      </c>
      <c r="AM541" t="n">
        <v>10</v>
      </c>
      <c r="AN541" t="n">
        <v>2</v>
      </c>
      <c r="AO541" t="n">
        <v>3</v>
      </c>
      <c r="AP541" t="n">
        <v>0</v>
      </c>
      <c r="AQ541" t="n">
        <v>0</v>
      </c>
      <c r="AR541" t="inlineStr">
        <is>
          <t>No</t>
        </is>
      </c>
      <c r="AS541" t="inlineStr">
        <is>
          <t>No</t>
        </is>
      </c>
      <c r="AU541">
        <f>HYPERLINK("https://creighton-primo.hosted.exlibrisgroup.com/primo-explore/search?tab=default_tab&amp;search_scope=EVERYTHING&amp;vid=01CRU&amp;lang=en_US&amp;offset=0&amp;query=any,contains,991000465359702656","Catalog Record")</f>
        <v/>
      </c>
      <c r="AV541">
        <f>HYPERLINK("http://www.worldcat.org/oclc/10951287","WorldCat Record")</f>
        <v/>
      </c>
      <c r="AW541" t="inlineStr">
        <is>
          <t>2866554:eng</t>
        </is>
      </c>
      <c r="AX541" t="inlineStr">
        <is>
          <t>10951287</t>
        </is>
      </c>
      <c r="AY541" t="inlineStr">
        <is>
          <t>991000465359702656</t>
        </is>
      </c>
      <c r="AZ541" t="inlineStr">
        <is>
          <t>991000465359702656</t>
        </is>
      </c>
      <c r="BA541" t="inlineStr">
        <is>
          <t>2258443710002656</t>
        </is>
      </c>
      <c r="BB541" t="inlineStr">
        <is>
          <t>BOOK</t>
        </is>
      </c>
      <c r="BD541" t="inlineStr">
        <is>
          <t>9780471880271</t>
        </is>
      </c>
      <c r="BE541" t="inlineStr">
        <is>
          <t>32285001549053</t>
        </is>
      </c>
      <c r="BF541" t="inlineStr">
        <is>
          <t>893508804</t>
        </is>
      </c>
    </row>
    <row r="542">
      <c r="B542" t="inlineStr">
        <is>
          <t>CURAL</t>
        </is>
      </c>
      <c r="C542" t="inlineStr">
        <is>
          <t>SHELVES</t>
        </is>
      </c>
      <c r="D542" t="inlineStr">
        <is>
          <t>QP44 .D66 1993</t>
        </is>
      </c>
      <c r="E542" t="inlineStr">
        <is>
          <t>0                      QP 0044000D  66          1993</t>
        </is>
      </c>
      <c r="F542" t="inlineStr">
        <is>
          <t>Laboratory manual for anatomy and physiology : with cat dissections / Patricia J. Donnelly, George A. Wistreich.</t>
        </is>
      </c>
      <c r="H542" t="inlineStr">
        <is>
          <t>No</t>
        </is>
      </c>
      <c r="I542" t="inlineStr">
        <is>
          <t>1</t>
        </is>
      </c>
      <c r="J542" t="inlineStr">
        <is>
          <t>No</t>
        </is>
      </c>
      <c r="K542" t="inlineStr">
        <is>
          <t>No</t>
        </is>
      </c>
      <c r="L542" t="inlineStr">
        <is>
          <t>0</t>
        </is>
      </c>
      <c r="M542" t="inlineStr">
        <is>
          <t>Donnelly, Patricia J.</t>
        </is>
      </c>
      <c r="N542" t="inlineStr">
        <is>
          <t>New York, NY : HarperCollins Publishers, c1993.</t>
        </is>
      </c>
      <c r="O542" t="inlineStr">
        <is>
          <t>1993</t>
        </is>
      </c>
      <c r="P542" t="inlineStr">
        <is>
          <t>4th ed.</t>
        </is>
      </c>
      <c r="Q542" t="inlineStr">
        <is>
          <t>eng</t>
        </is>
      </c>
      <c r="R542" t="inlineStr">
        <is>
          <t>nyu</t>
        </is>
      </c>
      <c r="T542" t="inlineStr">
        <is>
          <t xml:space="preserve">QP </t>
        </is>
      </c>
      <c r="U542" t="n">
        <v>6</v>
      </c>
      <c r="V542" t="n">
        <v>6</v>
      </c>
      <c r="W542" t="inlineStr">
        <is>
          <t>1997-11-05</t>
        </is>
      </c>
      <c r="X542" t="inlineStr">
        <is>
          <t>1997-11-05</t>
        </is>
      </c>
      <c r="Y542" t="inlineStr">
        <is>
          <t>1995-03-19</t>
        </is>
      </c>
      <c r="Z542" t="inlineStr">
        <is>
          <t>1995-03-19</t>
        </is>
      </c>
      <c r="AA542" t="n">
        <v>34</v>
      </c>
      <c r="AB542" t="n">
        <v>28</v>
      </c>
      <c r="AC542" t="n">
        <v>112</v>
      </c>
      <c r="AD542" t="n">
        <v>1</v>
      </c>
      <c r="AE542" t="n">
        <v>1</v>
      </c>
      <c r="AF542" t="n">
        <v>0</v>
      </c>
      <c r="AG542" t="n">
        <v>0</v>
      </c>
      <c r="AH542" t="n">
        <v>0</v>
      </c>
      <c r="AI542" t="n">
        <v>0</v>
      </c>
      <c r="AJ542" t="n">
        <v>0</v>
      </c>
      <c r="AK542" t="n">
        <v>0</v>
      </c>
      <c r="AL542" t="n">
        <v>0</v>
      </c>
      <c r="AM542" t="n">
        <v>0</v>
      </c>
      <c r="AN542" t="n">
        <v>0</v>
      </c>
      <c r="AO542" t="n">
        <v>0</v>
      </c>
      <c r="AP542" t="n">
        <v>0</v>
      </c>
      <c r="AQ542" t="n">
        <v>0</v>
      </c>
      <c r="AR542" t="inlineStr">
        <is>
          <t>No</t>
        </is>
      </c>
      <c r="AS542" t="inlineStr">
        <is>
          <t>Yes</t>
        </is>
      </c>
      <c r="AT542">
        <f>HYPERLINK("http://catalog.hathitrust.org/Record/008990382","HathiTrust Record")</f>
        <v/>
      </c>
      <c r="AU542">
        <f>HYPERLINK("https://creighton-primo.hosted.exlibrisgroup.com/primo-explore/search?tab=default_tab&amp;search_scope=EVERYTHING&amp;vid=01CRU&amp;lang=en_US&amp;offset=0&amp;query=any,contains,991002118299702656","Catalog Record")</f>
        <v/>
      </c>
      <c r="AV542">
        <f>HYPERLINK("http://www.worldcat.org/oclc/27146772","WorldCat Record")</f>
        <v/>
      </c>
      <c r="AW542" t="inlineStr">
        <is>
          <t>12178795:eng</t>
        </is>
      </c>
      <c r="AX542" t="inlineStr">
        <is>
          <t>27146772</t>
        </is>
      </c>
      <c r="AY542" t="inlineStr">
        <is>
          <t>991002118299702656</t>
        </is>
      </c>
      <c r="AZ542" t="inlineStr">
        <is>
          <t>991002118299702656</t>
        </is>
      </c>
      <c r="BA542" t="inlineStr">
        <is>
          <t>2255579860002656</t>
        </is>
      </c>
      <c r="BB542" t="inlineStr">
        <is>
          <t>BOOK</t>
        </is>
      </c>
      <c r="BD542" t="inlineStr">
        <is>
          <t>9780065009033</t>
        </is>
      </c>
      <c r="BE542" t="inlineStr">
        <is>
          <t>32285002003266</t>
        </is>
      </c>
      <c r="BF542" t="inlineStr">
        <is>
          <t>893523218</t>
        </is>
      </c>
    </row>
    <row r="543">
      <c r="B543" t="inlineStr">
        <is>
          <t>CURAL</t>
        </is>
      </c>
      <c r="C543" t="inlineStr">
        <is>
          <t>SHELVES</t>
        </is>
      </c>
      <c r="D543" t="inlineStr">
        <is>
          <t>QP44 .T672</t>
        </is>
      </c>
      <c r="E543" t="inlineStr">
        <is>
          <t>0                      QP 0044000T  672</t>
        </is>
      </c>
      <c r="F543" t="inlineStr">
        <is>
          <t>Laboratory exercises in anatomy and physiology with cat dissections / Gerard J. Tortora, Nicholas P. Anagnostakos.</t>
        </is>
      </c>
      <c r="H543" t="inlineStr">
        <is>
          <t>No</t>
        </is>
      </c>
      <c r="I543" t="inlineStr">
        <is>
          <t>1</t>
        </is>
      </c>
      <c r="J543" t="inlineStr">
        <is>
          <t>No</t>
        </is>
      </c>
      <c r="K543" t="inlineStr">
        <is>
          <t>No</t>
        </is>
      </c>
      <c r="L543" t="inlineStr">
        <is>
          <t>0</t>
        </is>
      </c>
      <c r="M543" t="inlineStr">
        <is>
          <t>Tortora, Gerard J.</t>
        </is>
      </c>
      <c r="N543" t="inlineStr">
        <is>
          <t>Minneapolis, Mn. : Burgess Publishing, 1980.</t>
        </is>
      </c>
      <c r="O543" t="inlineStr">
        <is>
          <t>1980</t>
        </is>
      </c>
      <c r="Q543" t="inlineStr">
        <is>
          <t>eng</t>
        </is>
      </c>
      <c r="R543" t="inlineStr">
        <is>
          <t>mnu</t>
        </is>
      </c>
      <c r="T543" t="inlineStr">
        <is>
          <t xml:space="preserve">QP </t>
        </is>
      </c>
      <c r="U543" t="n">
        <v>6</v>
      </c>
      <c r="V543" t="n">
        <v>6</v>
      </c>
      <c r="W543" t="inlineStr">
        <is>
          <t>1994-11-08</t>
        </is>
      </c>
      <c r="X543" t="inlineStr">
        <is>
          <t>1994-11-08</t>
        </is>
      </c>
      <c r="Y543" t="inlineStr">
        <is>
          <t>1993-02-24</t>
        </is>
      </c>
      <c r="Z543" t="inlineStr">
        <is>
          <t>1993-02-24</t>
        </is>
      </c>
      <c r="AA543" t="n">
        <v>42</v>
      </c>
      <c r="AB543" t="n">
        <v>38</v>
      </c>
      <c r="AC543" t="n">
        <v>152</v>
      </c>
      <c r="AD543" t="n">
        <v>1</v>
      </c>
      <c r="AE543" t="n">
        <v>1</v>
      </c>
      <c r="AF543" t="n">
        <v>0</v>
      </c>
      <c r="AG543" t="n">
        <v>1</v>
      </c>
      <c r="AH543" t="n">
        <v>0</v>
      </c>
      <c r="AI543" t="n">
        <v>0</v>
      </c>
      <c r="AJ543" t="n">
        <v>0</v>
      </c>
      <c r="AK543" t="n">
        <v>0</v>
      </c>
      <c r="AL543" t="n">
        <v>0</v>
      </c>
      <c r="AM543" t="n">
        <v>1</v>
      </c>
      <c r="AN543" t="n">
        <v>0</v>
      </c>
      <c r="AO543" t="n">
        <v>0</v>
      </c>
      <c r="AP543" t="n">
        <v>0</v>
      </c>
      <c r="AQ543" t="n">
        <v>0</v>
      </c>
      <c r="AR543" t="inlineStr">
        <is>
          <t>No</t>
        </is>
      </c>
      <c r="AS543" t="inlineStr">
        <is>
          <t>No</t>
        </is>
      </c>
      <c r="AU543">
        <f>HYPERLINK("https://creighton-primo.hosted.exlibrisgroup.com/primo-explore/search?tab=default_tab&amp;search_scope=EVERYTHING&amp;vid=01CRU&amp;lang=en_US&amp;offset=0&amp;query=any,contains,991005078729702656","Catalog Record")</f>
        <v/>
      </c>
      <c r="AV543">
        <f>HYPERLINK("http://www.worldcat.org/oclc/7165685","WorldCat Record")</f>
        <v/>
      </c>
      <c r="AW543" t="inlineStr">
        <is>
          <t>324975:eng</t>
        </is>
      </c>
      <c r="AX543" t="inlineStr">
        <is>
          <t>7165685</t>
        </is>
      </c>
      <c r="AY543" t="inlineStr">
        <is>
          <t>991005078729702656</t>
        </is>
      </c>
      <c r="AZ543" t="inlineStr">
        <is>
          <t>991005078729702656</t>
        </is>
      </c>
      <c r="BA543" t="inlineStr">
        <is>
          <t>2269481000002656</t>
        </is>
      </c>
      <c r="BB543" t="inlineStr">
        <is>
          <t>BOOK</t>
        </is>
      </c>
      <c r="BD543" t="inlineStr">
        <is>
          <t>9780808736097</t>
        </is>
      </c>
      <c r="BE543" t="inlineStr">
        <is>
          <t>32285001549061</t>
        </is>
      </c>
      <c r="BF543" t="inlineStr">
        <is>
          <t>893883297</t>
        </is>
      </c>
    </row>
    <row r="544">
      <c r="B544" t="inlineStr">
        <is>
          <t>CURAL</t>
        </is>
      </c>
      <c r="C544" t="inlineStr">
        <is>
          <t>SHELVES</t>
        </is>
      </c>
      <c r="D544" t="inlineStr">
        <is>
          <t>QP441 .A3</t>
        </is>
      </c>
      <c r="E544" t="inlineStr">
        <is>
          <t>0                      QP 0441000A  3</t>
        </is>
      </c>
      <c r="F544" t="inlineStr">
        <is>
          <t>Perception, consciousness, memory : reflections of a biologist / G. Ádám ; translated by K. Takácsi-Nagy.</t>
        </is>
      </c>
      <c r="H544" t="inlineStr">
        <is>
          <t>No</t>
        </is>
      </c>
      <c r="I544" t="inlineStr">
        <is>
          <t>1</t>
        </is>
      </c>
      <c r="J544" t="inlineStr">
        <is>
          <t>No</t>
        </is>
      </c>
      <c r="K544" t="inlineStr">
        <is>
          <t>No</t>
        </is>
      </c>
      <c r="L544" t="inlineStr">
        <is>
          <t>0</t>
        </is>
      </c>
      <c r="M544" t="inlineStr">
        <is>
          <t>Ádám, György, 1922-2013.</t>
        </is>
      </c>
      <c r="N544" t="inlineStr">
        <is>
          <t>New York : Plenum ; Budapest : Akadémiai Kiadó, 1980.</t>
        </is>
      </c>
      <c r="O544" t="inlineStr">
        <is>
          <t>1980</t>
        </is>
      </c>
      <c r="Q544" t="inlineStr">
        <is>
          <t>eng</t>
        </is>
      </c>
      <c r="R544" t="inlineStr">
        <is>
          <t>nyu</t>
        </is>
      </c>
      <c r="T544" t="inlineStr">
        <is>
          <t xml:space="preserve">QP </t>
        </is>
      </c>
      <c r="U544" t="n">
        <v>3</v>
      </c>
      <c r="V544" t="n">
        <v>3</v>
      </c>
      <c r="W544" t="inlineStr">
        <is>
          <t>1996-09-18</t>
        </is>
      </c>
      <c r="X544" t="inlineStr">
        <is>
          <t>1996-09-18</t>
        </is>
      </c>
      <c r="Y544" t="inlineStr">
        <is>
          <t>1993-03-04</t>
        </is>
      </c>
      <c r="Z544" t="inlineStr">
        <is>
          <t>1993-03-04</t>
        </is>
      </c>
      <c r="AA544" t="n">
        <v>386</v>
      </c>
      <c r="AB544" t="n">
        <v>301</v>
      </c>
      <c r="AC544" t="n">
        <v>313</v>
      </c>
      <c r="AD544" t="n">
        <v>2</v>
      </c>
      <c r="AE544" t="n">
        <v>2</v>
      </c>
      <c r="AF544" t="n">
        <v>16</v>
      </c>
      <c r="AG544" t="n">
        <v>16</v>
      </c>
      <c r="AH544" t="n">
        <v>7</v>
      </c>
      <c r="AI544" t="n">
        <v>7</v>
      </c>
      <c r="AJ544" t="n">
        <v>4</v>
      </c>
      <c r="AK544" t="n">
        <v>4</v>
      </c>
      <c r="AL544" t="n">
        <v>9</v>
      </c>
      <c r="AM544" t="n">
        <v>9</v>
      </c>
      <c r="AN544" t="n">
        <v>1</v>
      </c>
      <c r="AO544" t="n">
        <v>1</v>
      </c>
      <c r="AP544" t="n">
        <v>0</v>
      </c>
      <c r="AQ544" t="n">
        <v>0</v>
      </c>
      <c r="AR544" t="inlineStr">
        <is>
          <t>No</t>
        </is>
      </c>
      <c r="AS544" t="inlineStr">
        <is>
          <t>No</t>
        </is>
      </c>
      <c r="AU544">
        <f>HYPERLINK("https://creighton-primo.hosted.exlibrisgroup.com/primo-explore/search?tab=default_tab&amp;search_scope=EVERYTHING&amp;vid=01CRU&amp;lang=en_US&amp;offset=0&amp;query=any,contains,991005034549702656","Catalog Record")</f>
        <v/>
      </c>
      <c r="AV544">
        <f>HYPERLINK("http://www.worldcat.org/oclc/6742131","WorldCat Record")</f>
        <v/>
      </c>
      <c r="AW544" t="inlineStr">
        <is>
          <t>436238:eng</t>
        </is>
      </c>
      <c r="AX544" t="inlineStr">
        <is>
          <t>6742131</t>
        </is>
      </c>
      <c r="AY544" t="inlineStr">
        <is>
          <t>991005034549702656</t>
        </is>
      </c>
      <c r="AZ544" t="inlineStr">
        <is>
          <t>991005034549702656</t>
        </is>
      </c>
      <c r="BA544" t="inlineStr">
        <is>
          <t>2265140380002656</t>
        </is>
      </c>
      <c r="BB544" t="inlineStr">
        <is>
          <t>BOOK</t>
        </is>
      </c>
      <c r="BD544" t="inlineStr">
        <is>
          <t>9780306307768</t>
        </is>
      </c>
      <c r="BE544" t="inlineStr">
        <is>
          <t>32285001562361</t>
        </is>
      </c>
      <c r="BF544" t="inlineStr">
        <is>
          <t>893700940</t>
        </is>
      </c>
    </row>
    <row r="545">
      <c r="B545" t="inlineStr">
        <is>
          <t>CURAL</t>
        </is>
      </c>
      <c r="C545" t="inlineStr">
        <is>
          <t>SHELVES</t>
        </is>
      </c>
      <c r="D545" t="inlineStr">
        <is>
          <t>QP45 .F72 1992</t>
        </is>
      </c>
      <c r="E545" t="inlineStr">
        <is>
          <t>0                      QP 0045000F  72          1992</t>
        </is>
      </c>
      <c r="F545" t="inlineStr">
        <is>
          <t>Vivisection and dissection in the classroom : a guide to conscientious objection / Gary L. Francione, Anna E. Charlton.</t>
        </is>
      </c>
      <c r="H545" t="inlineStr">
        <is>
          <t>No</t>
        </is>
      </c>
      <c r="I545" t="inlineStr">
        <is>
          <t>1</t>
        </is>
      </c>
      <c r="J545" t="inlineStr">
        <is>
          <t>No</t>
        </is>
      </c>
      <c r="K545" t="inlineStr">
        <is>
          <t>No</t>
        </is>
      </c>
      <c r="L545" t="inlineStr">
        <is>
          <t>0</t>
        </is>
      </c>
      <c r="M545" t="inlineStr">
        <is>
          <t>Francione, Gary L. (Gary Lawrence), 1954-</t>
        </is>
      </c>
      <c r="N545" t="inlineStr">
        <is>
          <t>Jenkintown, Pa. : American Anti-Vivisection Society, 1992.</t>
        </is>
      </c>
      <c r="O545" t="inlineStr">
        <is>
          <t>1992</t>
        </is>
      </c>
      <c r="Q545" t="inlineStr">
        <is>
          <t>eng</t>
        </is>
      </c>
      <c r="R545" t="inlineStr">
        <is>
          <t>pau</t>
        </is>
      </c>
      <c r="T545" t="inlineStr">
        <is>
          <t xml:space="preserve">QP </t>
        </is>
      </c>
      <c r="U545" t="n">
        <v>3</v>
      </c>
      <c r="V545" t="n">
        <v>3</v>
      </c>
      <c r="W545" t="inlineStr">
        <is>
          <t>1994-02-20</t>
        </is>
      </c>
      <c r="X545" t="inlineStr">
        <is>
          <t>1994-02-20</t>
        </is>
      </c>
      <c r="Y545" t="inlineStr">
        <is>
          <t>1993-02-09</t>
        </is>
      </c>
      <c r="Z545" t="inlineStr">
        <is>
          <t>1993-02-09</t>
        </is>
      </c>
      <c r="AA545" t="n">
        <v>155</v>
      </c>
      <c r="AB545" t="n">
        <v>121</v>
      </c>
      <c r="AC545" t="n">
        <v>128</v>
      </c>
      <c r="AD545" t="n">
        <v>2</v>
      </c>
      <c r="AE545" t="n">
        <v>2</v>
      </c>
      <c r="AF545" t="n">
        <v>7</v>
      </c>
      <c r="AG545" t="n">
        <v>7</v>
      </c>
      <c r="AH545" t="n">
        <v>0</v>
      </c>
      <c r="AI545" t="n">
        <v>0</v>
      </c>
      <c r="AJ545" t="n">
        <v>0</v>
      </c>
      <c r="AK545" t="n">
        <v>0</v>
      </c>
      <c r="AL545" t="n">
        <v>1</v>
      </c>
      <c r="AM545" t="n">
        <v>1</v>
      </c>
      <c r="AN545" t="n">
        <v>1</v>
      </c>
      <c r="AO545" t="n">
        <v>1</v>
      </c>
      <c r="AP545" t="n">
        <v>5</v>
      </c>
      <c r="AQ545" t="n">
        <v>5</v>
      </c>
      <c r="AR545" t="inlineStr">
        <is>
          <t>No</t>
        </is>
      </c>
      <c r="AS545" t="inlineStr">
        <is>
          <t>Yes</t>
        </is>
      </c>
      <c r="AT545">
        <f>HYPERLINK("http://catalog.hathitrust.org/Record/005667371","HathiTrust Record")</f>
        <v/>
      </c>
      <c r="AU545">
        <f>HYPERLINK("https://creighton-primo.hosted.exlibrisgroup.com/primo-explore/search?tab=default_tab&amp;search_scope=EVERYTHING&amp;vid=01CRU&amp;lang=en_US&amp;offset=0&amp;query=any,contains,991002075689702656","Catalog Record")</f>
        <v/>
      </c>
      <c r="AV545">
        <f>HYPERLINK("http://www.worldcat.org/oclc/26611042","WorldCat Record")</f>
        <v/>
      </c>
      <c r="AW545" t="inlineStr">
        <is>
          <t>28742643:eng</t>
        </is>
      </c>
      <c r="AX545" t="inlineStr">
        <is>
          <t>26611042</t>
        </is>
      </c>
      <c r="AY545" t="inlineStr">
        <is>
          <t>991002075689702656</t>
        </is>
      </c>
      <c r="AZ545" t="inlineStr">
        <is>
          <t>991002075689702656</t>
        </is>
      </c>
      <c r="BA545" t="inlineStr">
        <is>
          <t>2259604620002656</t>
        </is>
      </c>
      <c r="BB545" t="inlineStr">
        <is>
          <t>BOOK</t>
        </is>
      </c>
      <c r="BE545" t="inlineStr">
        <is>
          <t>32285001495141</t>
        </is>
      </c>
      <c r="BF545" t="inlineStr">
        <is>
          <t>893596999</t>
        </is>
      </c>
    </row>
    <row r="546">
      <c r="B546" t="inlineStr">
        <is>
          <t>CURAL</t>
        </is>
      </c>
      <c r="C546" t="inlineStr">
        <is>
          <t>SHELVES</t>
        </is>
      </c>
      <c r="D546" t="inlineStr">
        <is>
          <t>QP451 .I5 1966</t>
        </is>
      </c>
      <c r="E546" t="inlineStr">
        <is>
          <t>0                      QP 0451000I  5           1966</t>
        </is>
      </c>
      <c r="F546" t="inlineStr">
        <is>
          <t>The skin senses; proceedings. Compiled and edited by Dan R. Kenshalo.</t>
        </is>
      </c>
      <c r="H546" t="inlineStr">
        <is>
          <t>No</t>
        </is>
      </c>
      <c r="I546" t="inlineStr">
        <is>
          <t>1</t>
        </is>
      </c>
      <c r="J546" t="inlineStr">
        <is>
          <t>No</t>
        </is>
      </c>
      <c r="K546" t="inlineStr">
        <is>
          <t>No</t>
        </is>
      </c>
      <c r="L546" t="inlineStr">
        <is>
          <t>0</t>
        </is>
      </c>
      <c r="M546" t="inlineStr">
        <is>
          <t>International Symposium on Skin Senses (1st : 1966 : Florida State University)</t>
        </is>
      </c>
      <c r="N546" t="inlineStr">
        <is>
          <t>Springfield, Ill., Thomas [1968]</t>
        </is>
      </c>
      <c r="O546" t="inlineStr">
        <is>
          <t>1968</t>
        </is>
      </c>
      <c r="Q546" t="inlineStr">
        <is>
          <t>eng</t>
        </is>
      </c>
      <c r="R546" t="inlineStr">
        <is>
          <t>ilu</t>
        </is>
      </c>
      <c r="T546" t="inlineStr">
        <is>
          <t xml:space="preserve">QP </t>
        </is>
      </c>
      <c r="U546" t="n">
        <v>1</v>
      </c>
      <c r="V546" t="n">
        <v>1</v>
      </c>
      <c r="W546" t="inlineStr">
        <is>
          <t>2000-10-25</t>
        </is>
      </c>
      <c r="X546" t="inlineStr">
        <is>
          <t>2000-10-25</t>
        </is>
      </c>
      <c r="Y546" t="inlineStr">
        <is>
          <t>1997-08-06</t>
        </is>
      </c>
      <c r="Z546" t="inlineStr">
        <is>
          <t>1997-08-06</t>
        </is>
      </c>
      <c r="AA546" t="n">
        <v>370</v>
      </c>
      <c r="AB546" t="n">
        <v>316</v>
      </c>
      <c r="AC546" t="n">
        <v>323</v>
      </c>
      <c r="AD546" t="n">
        <v>2</v>
      </c>
      <c r="AE546" t="n">
        <v>2</v>
      </c>
      <c r="AF546" t="n">
        <v>11</v>
      </c>
      <c r="AG546" t="n">
        <v>11</v>
      </c>
      <c r="AH546" t="n">
        <v>2</v>
      </c>
      <c r="AI546" t="n">
        <v>2</v>
      </c>
      <c r="AJ546" t="n">
        <v>4</v>
      </c>
      <c r="AK546" t="n">
        <v>4</v>
      </c>
      <c r="AL546" t="n">
        <v>8</v>
      </c>
      <c r="AM546" t="n">
        <v>8</v>
      </c>
      <c r="AN546" t="n">
        <v>1</v>
      </c>
      <c r="AO546" t="n">
        <v>1</v>
      </c>
      <c r="AP546" t="n">
        <v>0</v>
      </c>
      <c r="AQ546" t="n">
        <v>0</v>
      </c>
      <c r="AR546" t="inlineStr">
        <is>
          <t>No</t>
        </is>
      </c>
      <c r="AS546" t="inlineStr">
        <is>
          <t>Yes</t>
        </is>
      </c>
      <c r="AT546">
        <f>HYPERLINK("http://catalog.hathitrust.org/Record/001555004","HathiTrust Record")</f>
        <v/>
      </c>
      <c r="AU546">
        <f>HYPERLINK("https://creighton-primo.hosted.exlibrisgroup.com/primo-explore/search?tab=default_tab&amp;search_scope=EVERYTHING&amp;vid=01CRU&amp;lang=en_US&amp;offset=0&amp;query=any,contains,991001899799702656","Catalog Record")</f>
        <v/>
      </c>
      <c r="AV546">
        <f>HYPERLINK("http://www.worldcat.org/oclc/239118","WorldCat Record")</f>
        <v/>
      </c>
      <c r="AW546" t="inlineStr">
        <is>
          <t>3901229283:eng</t>
        </is>
      </c>
      <c r="AX546" t="inlineStr">
        <is>
          <t>239118</t>
        </is>
      </c>
      <c r="AY546" t="inlineStr">
        <is>
          <t>991001899799702656</t>
        </is>
      </c>
      <c r="AZ546" t="inlineStr">
        <is>
          <t>991001899799702656</t>
        </is>
      </c>
      <c r="BA546" t="inlineStr">
        <is>
          <t>2256989950002656</t>
        </is>
      </c>
      <c r="BB546" t="inlineStr">
        <is>
          <t>BOOK</t>
        </is>
      </c>
      <c r="BE546" t="inlineStr">
        <is>
          <t>32285003080016</t>
        </is>
      </c>
      <c r="BF546" t="inlineStr">
        <is>
          <t>893352047</t>
        </is>
      </c>
    </row>
    <row r="547">
      <c r="B547" t="inlineStr">
        <is>
          <t>CURAL</t>
        </is>
      </c>
      <c r="C547" t="inlineStr">
        <is>
          <t>SHELVES</t>
        </is>
      </c>
      <c r="D547" t="inlineStr">
        <is>
          <t>QP455 .S95 1976</t>
        </is>
      </c>
      <c r="E547" t="inlineStr">
        <is>
          <t>0                      QP 0455000S  95          1976</t>
        </is>
      </c>
      <c r="F547" t="inlineStr">
        <is>
          <t>Chemical signals in vertebrates / edited by Dietland Müller-Schwarze and Maxwell M. Mozell.</t>
        </is>
      </c>
      <c r="H547" t="inlineStr">
        <is>
          <t>No</t>
        </is>
      </c>
      <c r="I547" t="inlineStr">
        <is>
          <t>1</t>
        </is>
      </c>
      <c r="J547" t="inlineStr">
        <is>
          <t>No</t>
        </is>
      </c>
      <c r="K547" t="inlineStr">
        <is>
          <t>No</t>
        </is>
      </c>
      <c r="L547" t="inlineStr">
        <is>
          <t>0</t>
        </is>
      </c>
      <c r="M547" t="inlineStr">
        <is>
          <t>Symposium on Chemical Signals in Vertebrates (1976 : Saratoga Springs, N.Y.)</t>
        </is>
      </c>
      <c r="N547" t="inlineStr">
        <is>
          <t>New York : Plenum Press, c1977.</t>
        </is>
      </c>
      <c r="O547" t="inlineStr">
        <is>
          <t>1977</t>
        </is>
      </c>
      <c r="Q547" t="inlineStr">
        <is>
          <t>eng</t>
        </is>
      </c>
      <c r="R547" t="inlineStr">
        <is>
          <t>nyu</t>
        </is>
      </c>
      <c r="T547" t="inlineStr">
        <is>
          <t xml:space="preserve">QP </t>
        </is>
      </c>
      <c r="U547" t="n">
        <v>3</v>
      </c>
      <c r="V547" t="n">
        <v>3</v>
      </c>
      <c r="W547" t="inlineStr">
        <is>
          <t>2007-02-22</t>
        </is>
      </c>
      <c r="X547" t="inlineStr">
        <is>
          <t>2007-02-22</t>
        </is>
      </c>
      <c r="Y547" t="inlineStr">
        <is>
          <t>1997-08-06</t>
        </is>
      </c>
      <c r="Z547" t="inlineStr">
        <is>
          <t>1997-08-06</t>
        </is>
      </c>
      <c r="AA547" t="n">
        <v>357</v>
      </c>
      <c r="AB547" t="n">
        <v>268</v>
      </c>
      <c r="AC547" t="n">
        <v>290</v>
      </c>
      <c r="AD547" t="n">
        <v>3</v>
      </c>
      <c r="AE547" t="n">
        <v>3</v>
      </c>
      <c r="AF547" t="n">
        <v>8</v>
      </c>
      <c r="AG547" t="n">
        <v>9</v>
      </c>
      <c r="AH547" t="n">
        <v>2</v>
      </c>
      <c r="AI547" t="n">
        <v>3</v>
      </c>
      <c r="AJ547" t="n">
        <v>2</v>
      </c>
      <c r="AK547" t="n">
        <v>2</v>
      </c>
      <c r="AL547" t="n">
        <v>3</v>
      </c>
      <c r="AM547" t="n">
        <v>4</v>
      </c>
      <c r="AN547" t="n">
        <v>2</v>
      </c>
      <c r="AO547" t="n">
        <v>2</v>
      </c>
      <c r="AP547" t="n">
        <v>0</v>
      </c>
      <c r="AQ547" t="n">
        <v>0</v>
      </c>
      <c r="AR547" t="inlineStr">
        <is>
          <t>No</t>
        </is>
      </c>
      <c r="AS547" t="inlineStr">
        <is>
          <t>Yes</t>
        </is>
      </c>
      <c r="AT547">
        <f>HYPERLINK("http://catalog.hathitrust.org/Record/002063971","HathiTrust Record")</f>
        <v/>
      </c>
      <c r="AU547">
        <f>HYPERLINK("https://creighton-primo.hosted.exlibrisgroup.com/primo-explore/search?tab=default_tab&amp;search_scope=EVERYTHING&amp;vid=01CRU&amp;lang=en_US&amp;offset=0&amp;query=any,contains,991004254319702656","Catalog Record")</f>
        <v/>
      </c>
      <c r="AV547">
        <f>HYPERLINK("http://www.worldcat.org/oclc/2818690","WorldCat Record")</f>
        <v/>
      </c>
      <c r="AW547" t="inlineStr">
        <is>
          <t>42352837:eng</t>
        </is>
      </c>
      <c r="AX547" t="inlineStr">
        <is>
          <t>2818690</t>
        </is>
      </c>
      <c r="AY547" t="inlineStr">
        <is>
          <t>991004254319702656</t>
        </is>
      </c>
      <c r="AZ547" t="inlineStr">
        <is>
          <t>991004254319702656</t>
        </is>
      </c>
      <c r="BA547" t="inlineStr">
        <is>
          <t>2267750290002656</t>
        </is>
      </c>
      <c r="BB547" t="inlineStr">
        <is>
          <t>BOOK</t>
        </is>
      </c>
      <c r="BD547" t="inlineStr">
        <is>
          <t>9780306310324</t>
        </is>
      </c>
      <c r="BE547" t="inlineStr">
        <is>
          <t>32285003080032</t>
        </is>
      </c>
      <c r="BF547" t="inlineStr">
        <is>
          <t>893229122</t>
        </is>
      </c>
    </row>
    <row r="548">
      <c r="B548" t="inlineStr">
        <is>
          <t>CURAL</t>
        </is>
      </c>
      <c r="C548" t="inlineStr">
        <is>
          <t>SHELVES</t>
        </is>
      </c>
      <c r="D548" t="inlineStr">
        <is>
          <t>QP456 .H3 1967</t>
        </is>
      </c>
      <c r="E548" t="inlineStr">
        <is>
          <t>0                      QP 0456000H  3           1967</t>
        </is>
      </c>
      <c r="F548" t="inlineStr">
        <is>
          <t>Olfaction and taste II : proceedings of the second international symposium held in Tokyo, September, 1965 / edited by T. Hayashi.</t>
        </is>
      </c>
      <c r="H548" t="inlineStr">
        <is>
          <t>No</t>
        </is>
      </c>
      <c r="I548" t="inlineStr">
        <is>
          <t>1</t>
        </is>
      </c>
      <c r="J548" t="inlineStr">
        <is>
          <t>No</t>
        </is>
      </c>
      <c r="K548" t="inlineStr">
        <is>
          <t>No</t>
        </is>
      </c>
      <c r="L548" t="inlineStr">
        <is>
          <t>0</t>
        </is>
      </c>
      <c r="M548" t="inlineStr">
        <is>
          <t>Hayashi, Takashi, 1897-1969 editor.</t>
        </is>
      </c>
      <c r="N548" t="inlineStr">
        <is>
          <t>Oxford ; New York : Symposium Publications Division, Pergamon Press, [1967]</t>
        </is>
      </c>
      <c r="O548" t="inlineStr">
        <is>
          <t>1967</t>
        </is>
      </c>
      <c r="P548" t="inlineStr">
        <is>
          <t>[1st ed.]</t>
        </is>
      </c>
      <c r="Q548" t="inlineStr">
        <is>
          <t>eng</t>
        </is>
      </c>
      <c r="R548" t="inlineStr">
        <is>
          <t>enk</t>
        </is>
      </c>
      <c r="S548" t="inlineStr">
        <is>
          <t>Wenner-Gren Center international symposium series ; v. 8</t>
        </is>
      </c>
      <c r="T548" t="inlineStr">
        <is>
          <t xml:space="preserve">QP </t>
        </is>
      </c>
      <c r="U548" t="n">
        <v>2</v>
      </c>
      <c r="V548" t="n">
        <v>2</v>
      </c>
      <c r="W548" t="inlineStr">
        <is>
          <t>2002-10-06</t>
        </is>
      </c>
      <c r="X548" t="inlineStr">
        <is>
          <t>2002-10-06</t>
        </is>
      </c>
      <c r="Y548" t="inlineStr">
        <is>
          <t>1994-07-20</t>
        </is>
      </c>
      <c r="Z548" t="inlineStr">
        <is>
          <t>1994-07-20</t>
        </is>
      </c>
      <c r="AA548" t="n">
        <v>232</v>
      </c>
      <c r="AB548" t="n">
        <v>184</v>
      </c>
      <c r="AC548" t="n">
        <v>242</v>
      </c>
      <c r="AD548" t="n">
        <v>2</v>
      </c>
      <c r="AE548" t="n">
        <v>3</v>
      </c>
      <c r="AF548" t="n">
        <v>6</v>
      </c>
      <c r="AG548" t="n">
        <v>9</v>
      </c>
      <c r="AH548" t="n">
        <v>1</v>
      </c>
      <c r="AI548" t="n">
        <v>2</v>
      </c>
      <c r="AJ548" t="n">
        <v>3</v>
      </c>
      <c r="AK548" t="n">
        <v>4</v>
      </c>
      <c r="AL548" t="n">
        <v>3</v>
      </c>
      <c r="AM548" t="n">
        <v>3</v>
      </c>
      <c r="AN548" t="n">
        <v>1</v>
      </c>
      <c r="AO548" t="n">
        <v>2</v>
      </c>
      <c r="AP548" t="n">
        <v>0</v>
      </c>
      <c r="AQ548" t="n">
        <v>0</v>
      </c>
      <c r="AR548" t="inlineStr">
        <is>
          <t>No</t>
        </is>
      </c>
      <c r="AS548" t="inlineStr">
        <is>
          <t>Yes</t>
        </is>
      </c>
      <c r="AT548">
        <f>HYPERLINK("http://catalog.hathitrust.org/Record/009173652","HathiTrust Record")</f>
        <v/>
      </c>
      <c r="AU548">
        <f>HYPERLINK("https://creighton-primo.hosted.exlibrisgroup.com/primo-explore/search?tab=default_tab&amp;search_scope=EVERYTHING&amp;vid=01CRU&amp;lang=en_US&amp;offset=0&amp;query=any,contains,991002999409702656","Catalog Record")</f>
        <v/>
      </c>
      <c r="AV548">
        <f>HYPERLINK("http://www.worldcat.org/oclc/567583","WorldCat Record")</f>
        <v/>
      </c>
      <c r="AW548" t="inlineStr">
        <is>
          <t>1658597:eng</t>
        </is>
      </c>
      <c r="AX548" t="inlineStr">
        <is>
          <t>567583</t>
        </is>
      </c>
      <c r="AY548" t="inlineStr">
        <is>
          <t>991002999409702656</t>
        </is>
      </c>
      <c r="AZ548" t="inlineStr">
        <is>
          <t>991002999409702656</t>
        </is>
      </c>
      <c r="BA548" t="inlineStr">
        <is>
          <t>2257694470002656</t>
        </is>
      </c>
      <c r="BB548" t="inlineStr">
        <is>
          <t>BOOK</t>
        </is>
      </c>
      <c r="BE548" t="inlineStr">
        <is>
          <t>32285001936862</t>
        </is>
      </c>
      <c r="BF548" t="inlineStr">
        <is>
          <t>893721746</t>
        </is>
      </c>
    </row>
    <row r="549">
      <c r="B549" t="inlineStr">
        <is>
          <t>CURAL</t>
        </is>
      </c>
      <c r="C549" t="inlineStr">
        <is>
          <t>SHELVES</t>
        </is>
      </c>
      <c r="D549" t="inlineStr">
        <is>
          <t>QP456 .S96 1969</t>
        </is>
      </c>
      <c r="E549" t="inlineStr">
        <is>
          <t>0                      QP 0456000S  96          1969</t>
        </is>
      </c>
      <c r="F549" t="inlineStr">
        <is>
          <t>Taste and smell in vertebrates / edited by G. E. W. Wolstenholme and Julie Knight.</t>
        </is>
      </c>
      <c r="H549" t="inlineStr">
        <is>
          <t>No</t>
        </is>
      </c>
      <c r="I549" t="inlineStr">
        <is>
          <t>1</t>
        </is>
      </c>
      <c r="J549" t="inlineStr">
        <is>
          <t>No</t>
        </is>
      </c>
      <c r="K549" t="inlineStr">
        <is>
          <t>No</t>
        </is>
      </c>
      <c r="L549" t="inlineStr">
        <is>
          <t>0</t>
        </is>
      </c>
      <c r="M549" t="inlineStr">
        <is>
          <t>Symposium on Taste and Smell in Vertebrates (1969 : London, England)</t>
        </is>
      </c>
      <c r="N549" t="inlineStr">
        <is>
          <t>London : Churchill, 1970.</t>
        </is>
      </c>
      <c r="O549" t="inlineStr">
        <is>
          <t>1970</t>
        </is>
      </c>
      <c r="Q549" t="inlineStr">
        <is>
          <t>eng</t>
        </is>
      </c>
      <c r="R549" t="inlineStr">
        <is>
          <t>enk</t>
        </is>
      </c>
      <c r="T549" t="inlineStr">
        <is>
          <t xml:space="preserve">QP </t>
        </is>
      </c>
      <c r="U549" t="n">
        <v>1</v>
      </c>
      <c r="V549" t="n">
        <v>1</v>
      </c>
      <c r="W549" t="inlineStr">
        <is>
          <t>2002-10-06</t>
        </is>
      </c>
      <c r="X549" t="inlineStr">
        <is>
          <t>2002-10-06</t>
        </is>
      </c>
      <c r="Y549" t="inlineStr">
        <is>
          <t>1994-11-28</t>
        </is>
      </c>
      <c r="Z549" t="inlineStr">
        <is>
          <t>1994-11-28</t>
        </is>
      </c>
      <c r="AA549" t="n">
        <v>356</v>
      </c>
      <c r="AB549" t="n">
        <v>252</v>
      </c>
      <c r="AC549" t="n">
        <v>308</v>
      </c>
      <c r="AD549" t="n">
        <v>3</v>
      </c>
      <c r="AE549" t="n">
        <v>3</v>
      </c>
      <c r="AF549" t="n">
        <v>6</v>
      </c>
      <c r="AG549" t="n">
        <v>6</v>
      </c>
      <c r="AH549" t="n">
        <v>2</v>
      </c>
      <c r="AI549" t="n">
        <v>2</v>
      </c>
      <c r="AJ549" t="n">
        <v>0</v>
      </c>
      <c r="AK549" t="n">
        <v>0</v>
      </c>
      <c r="AL549" t="n">
        <v>3</v>
      </c>
      <c r="AM549" t="n">
        <v>3</v>
      </c>
      <c r="AN549" t="n">
        <v>1</v>
      </c>
      <c r="AO549" t="n">
        <v>1</v>
      </c>
      <c r="AP549" t="n">
        <v>0</v>
      </c>
      <c r="AQ549" t="n">
        <v>0</v>
      </c>
      <c r="AR549" t="inlineStr">
        <is>
          <t>No</t>
        </is>
      </c>
      <c r="AS549" t="inlineStr">
        <is>
          <t>Yes</t>
        </is>
      </c>
      <c r="AT549">
        <f>HYPERLINK("http://catalog.hathitrust.org/Record/001555010","HathiTrust Record")</f>
        <v/>
      </c>
      <c r="AU549">
        <f>HYPERLINK("https://creighton-primo.hosted.exlibrisgroup.com/primo-explore/search?tab=default_tab&amp;search_scope=EVERYTHING&amp;vid=01CRU&amp;lang=en_US&amp;offset=0&amp;query=any,contains,991005264699702656","Catalog Record")</f>
        <v/>
      </c>
      <c r="AV549">
        <f>HYPERLINK("http://www.worldcat.org/oclc/113207","WorldCat Record")</f>
        <v/>
      </c>
      <c r="AW549" t="inlineStr">
        <is>
          <t>1228404:eng</t>
        </is>
      </c>
      <c r="AX549" t="inlineStr">
        <is>
          <t>113207</t>
        </is>
      </c>
      <c r="AY549" t="inlineStr">
        <is>
          <t>991005264699702656</t>
        </is>
      </c>
      <c r="AZ549" t="inlineStr">
        <is>
          <t>991005264699702656</t>
        </is>
      </c>
      <c r="BA549" t="inlineStr">
        <is>
          <t>2265534960002656</t>
        </is>
      </c>
      <c r="BB549" t="inlineStr">
        <is>
          <t>BOOK</t>
        </is>
      </c>
      <c r="BD549" t="inlineStr">
        <is>
          <t>9780700014545</t>
        </is>
      </c>
      <c r="BE549" t="inlineStr">
        <is>
          <t>32285001967503</t>
        </is>
      </c>
      <c r="BF549" t="inlineStr">
        <is>
          <t>893877221</t>
        </is>
      </c>
    </row>
    <row r="550">
      <c r="B550" t="inlineStr">
        <is>
          <t>CURAL</t>
        </is>
      </c>
      <c r="C550" t="inlineStr">
        <is>
          <t>SHELVES</t>
        </is>
      </c>
      <c r="D550" t="inlineStr">
        <is>
          <t>QP458 .A46</t>
        </is>
      </c>
      <c r="E550" t="inlineStr">
        <is>
          <t>0                      QP 0458000A  46</t>
        </is>
      </c>
      <c r="F550" t="inlineStr">
        <is>
          <t>Molecular basis of odor / by John E. Amoore.</t>
        </is>
      </c>
      <c r="H550" t="inlineStr">
        <is>
          <t>No</t>
        </is>
      </c>
      <c r="I550" t="inlineStr">
        <is>
          <t>1</t>
        </is>
      </c>
      <c r="J550" t="inlineStr">
        <is>
          <t>No</t>
        </is>
      </c>
      <c r="K550" t="inlineStr">
        <is>
          <t>No</t>
        </is>
      </c>
      <c r="L550" t="inlineStr">
        <is>
          <t>0</t>
        </is>
      </c>
      <c r="M550" t="inlineStr">
        <is>
          <t>Amoore, John E., 1930-</t>
        </is>
      </c>
      <c r="N550" t="inlineStr">
        <is>
          <t>Springfield, Ill. : Thomas, [1970]</t>
        </is>
      </c>
      <c r="O550" t="inlineStr">
        <is>
          <t>1970</t>
        </is>
      </c>
      <c r="Q550" t="inlineStr">
        <is>
          <t>eng</t>
        </is>
      </c>
      <c r="R550" t="inlineStr">
        <is>
          <t>ilu</t>
        </is>
      </c>
      <c r="S550" t="inlineStr">
        <is>
          <t>American lecture series, publication no. 773. A monograph in the Bannerstone division of American lectures in living chemistry</t>
        </is>
      </c>
      <c r="T550" t="inlineStr">
        <is>
          <t xml:space="preserve">QP </t>
        </is>
      </c>
      <c r="U550" t="n">
        <v>2</v>
      </c>
      <c r="V550" t="n">
        <v>2</v>
      </c>
      <c r="W550" t="inlineStr">
        <is>
          <t>2002-10-06</t>
        </is>
      </c>
      <c r="X550" t="inlineStr">
        <is>
          <t>2002-10-06</t>
        </is>
      </c>
      <c r="Y550" t="inlineStr">
        <is>
          <t>2000-02-02</t>
        </is>
      </c>
      <c r="Z550" t="inlineStr">
        <is>
          <t>2000-02-02</t>
        </is>
      </c>
      <c r="AA550" t="n">
        <v>428</v>
      </c>
      <c r="AB550" t="n">
        <v>356</v>
      </c>
      <c r="AC550" t="n">
        <v>362</v>
      </c>
      <c r="AD550" t="n">
        <v>5</v>
      </c>
      <c r="AE550" t="n">
        <v>5</v>
      </c>
      <c r="AF550" t="n">
        <v>12</v>
      </c>
      <c r="AG550" t="n">
        <v>12</v>
      </c>
      <c r="AH550" t="n">
        <v>4</v>
      </c>
      <c r="AI550" t="n">
        <v>4</v>
      </c>
      <c r="AJ550" t="n">
        <v>1</v>
      </c>
      <c r="AK550" t="n">
        <v>1</v>
      </c>
      <c r="AL550" t="n">
        <v>7</v>
      </c>
      <c r="AM550" t="n">
        <v>7</v>
      </c>
      <c r="AN550" t="n">
        <v>4</v>
      </c>
      <c r="AO550" t="n">
        <v>4</v>
      </c>
      <c r="AP550" t="n">
        <v>0</v>
      </c>
      <c r="AQ550" t="n">
        <v>0</v>
      </c>
      <c r="AR550" t="inlineStr">
        <is>
          <t>No</t>
        </is>
      </c>
      <c r="AS550" t="inlineStr">
        <is>
          <t>Yes</t>
        </is>
      </c>
      <c r="AT550">
        <f>HYPERLINK("http://catalog.hathitrust.org/Record/000866815","HathiTrust Record")</f>
        <v/>
      </c>
      <c r="AU550">
        <f>HYPERLINK("https://creighton-primo.hosted.exlibrisgroup.com/primo-explore/search?tab=default_tab&amp;search_scope=EVERYTHING&amp;vid=01CRU&amp;lang=en_US&amp;offset=0&amp;query=any,contains,991000586399702656","Catalog Record")</f>
        <v/>
      </c>
      <c r="AV550">
        <f>HYPERLINK("http://www.worldcat.org/oclc/96117","WorldCat Record")</f>
        <v/>
      </c>
      <c r="AW550" t="inlineStr">
        <is>
          <t>1320395:eng</t>
        </is>
      </c>
      <c r="AX550" t="inlineStr">
        <is>
          <t>96117</t>
        </is>
      </c>
      <c r="AY550" t="inlineStr">
        <is>
          <t>991000586399702656</t>
        </is>
      </c>
      <c r="AZ550" t="inlineStr">
        <is>
          <t>991000586399702656</t>
        </is>
      </c>
      <c r="BA550" t="inlineStr">
        <is>
          <t>2271230080002656</t>
        </is>
      </c>
      <c r="BB550" t="inlineStr">
        <is>
          <t>BOOK</t>
        </is>
      </c>
      <c r="BE550" t="inlineStr">
        <is>
          <t>32285003658209</t>
        </is>
      </c>
      <c r="BF550" t="inlineStr">
        <is>
          <t>893589583</t>
        </is>
      </c>
    </row>
    <row r="551">
      <c r="B551" t="inlineStr">
        <is>
          <t>CURAL</t>
        </is>
      </c>
      <c r="C551" t="inlineStr">
        <is>
          <t>SHELVES</t>
        </is>
      </c>
      <c r="D551" t="inlineStr">
        <is>
          <t>QP458 .B84</t>
        </is>
      </c>
      <c r="E551" t="inlineStr">
        <is>
          <t>0                      QP 0458000B  84</t>
        </is>
      </c>
      <c r="F551" t="inlineStr">
        <is>
          <t>The language of smell / Robert Burton.</t>
        </is>
      </c>
      <c r="H551" t="inlineStr">
        <is>
          <t>No</t>
        </is>
      </c>
      <c r="I551" t="inlineStr">
        <is>
          <t>1</t>
        </is>
      </c>
      <c r="J551" t="inlineStr">
        <is>
          <t>No</t>
        </is>
      </c>
      <c r="K551" t="inlineStr">
        <is>
          <t>No</t>
        </is>
      </c>
      <c r="L551" t="inlineStr">
        <is>
          <t>0</t>
        </is>
      </c>
      <c r="M551" t="inlineStr">
        <is>
          <t>Burton, Robert, 1941-</t>
        </is>
      </c>
      <c r="N551" t="inlineStr">
        <is>
          <t>London ; Boston : Routledge &amp; Kegan Paul, 1976.</t>
        </is>
      </c>
      <c r="O551" t="inlineStr">
        <is>
          <t>1976</t>
        </is>
      </c>
      <c r="Q551" t="inlineStr">
        <is>
          <t>eng</t>
        </is>
      </c>
      <c r="R551" t="inlineStr">
        <is>
          <t>enk</t>
        </is>
      </c>
      <c r="T551" t="inlineStr">
        <is>
          <t xml:space="preserve">QP </t>
        </is>
      </c>
      <c r="U551" t="n">
        <v>2</v>
      </c>
      <c r="V551" t="n">
        <v>2</v>
      </c>
      <c r="W551" t="inlineStr">
        <is>
          <t>2002-10-06</t>
        </is>
      </c>
      <c r="X551" t="inlineStr">
        <is>
          <t>2002-10-06</t>
        </is>
      </c>
      <c r="Y551" t="inlineStr">
        <is>
          <t>1997-08-06</t>
        </is>
      </c>
      <c r="Z551" t="inlineStr">
        <is>
          <t>1997-08-06</t>
        </is>
      </c>
      <c r="AA551" t="n">
        <v>509</v>
      </c>
      <c r="AB551" t="n">
        <v>415</v>
      </c>
      <c r="AC551" t="n">
        <v>422</v>
      </c>
      <c r="AD551" t="n">
        <v>4</v>
      </c>
      <c r="AE551" t="n">
        <v>4</v>
      </c>
      <c r="AF551" t="n">
        <v>14</v>
      </c>
      <c r="AG551" t="n">
        <v>14</v>
      </c>
      <c r="AH551" t="n">
        <v>5</v>
      </c>
      <c r="AI551" t="n">
        <v>5</v>
      </c>
      <c r="AJ551" t="n">
        <v>4</v>
      </c>
      <c r="AK551" t="n">
        <v>4</v>
      </c>
      <c r="AL551" t="n">
        <v>6</v>
      </c>
      <c r="AM551" t="n">
        <v>6</v>
      </c>
      <c r="AN551" t="n">
        <v>3</v>
      </c>
      <c r="AO551" t="n">
        <v>3</v>
      </c>
      <c r="AP551" t="n">
        <v>0</v>
      </c>
      <c r="AQ551" t="n">
        <v>0</v>
      </c>
      <c r="AR551" t="inlineStr">
        <is>
          <t>No</t>
        </is>
      </c>
      <c r="AS551" t="inlineStr">
        <is>
          <t>Yes</t>
        </is>
      </c>
      <c r="AT551">
        <f>HYPERLINK("http://catalog.hathitrust.org/Record/004418958","HathiTrust Record")</f>
        <v/>
      </c>
      <c r="AU551">
        <f>HYPERLINK("https://creighton-primo.hosted.exlibrisgroup.com/primo-explore/search?tab=default_tab&amp;search_scope=EVERYTHING&amp;vid=01CRU&amp;lang=en_US&amp;offset=0&amp;query=any,contains,991004210819702656","Catalog Record")</f>
        <v/>
      </c>
      <c r="AV551">
        <f>HYPERLINK("http://www.worldcat.org/oclc/2681251","WorldCat Record")</f>
        <v/>
      </c>
      <c r="AW551" t="inlineStr">
        <is>
          <t>5857869:eng</t>
        </is>
      </c>
      <c r="AX551" t="inlineStr">
        <is>
          <t>2681251</t>
        </is>
      </c>
      <c r="AY551" t="inlineStr">
        <is>
          <t>991004210819702656</t>
        </is>
      </c>
      <c r="AZ551" t="inlineStr">
        <is>
          <t>991004210819702656</t>
        </is>
      </c>
      <c r="BA551" t="inlineStr">
        <is>
          <t>2265632410002656</t>
        </is>
      </c>
      <c r="BB551" t="inlineStr">
        <is>
          <t>BOOK</t>
        </is>
      </c>
      <c r="BD551" t="inlineStr">
        <is>
          <t>9780710084293</t>
        </is>
      </c>
      <c r="BE551" t="inlineStr">
        <is>
          <t>32285003080057</t>
        </is>
      </c>
      <c r="BF551" t="inlineStr">
        <is>
          <t>893525793</t>
        </is>
      </c>
    </row>
    <row r="552">
      <c r="B552" t="inlineStr">
        <is>
          <t>CURAL</t>
        </is>
      </c>
      <c r="C552" t="inlineStr">
        <is>
          <t>SHELVES</t>
        </is>
      </c>
      <c r="D552" t="inlineStr">
        <is>
          <t>QP458 .H3</t>
        </is>
      </c>
      <c r="E552" t="inlineStr">
        <is>
          <t>0                      QP 0458000H  3</t>
        </is>
      </c>
      <c r="F552" t="inlineStr">
        <is>
          <t>Odour description and odour classification; a multidisciplinary examination, by R. Harper, E. C. Bate Smith and D. G. Land.</t>
        </is>
      </c>
      <c r="H552" t="inlineStr">
        <is>
          <t>No</t>
        </is>
      </c>
      <c r="I552" t="inlineStr">
        <is>
          <t>1</t>
        </is>
      </c>
      <c r="J552" t="inlineStr">
        <is>
          <t>No</t>
        </is>
      </c>
      <c r="K552" t="inlineStr">
        <is>
          <t>No</t>
        </is>
      </c>
      <c r="L552" t="inlineStr">
        <is>
          <t>0</t>
        </is>
      </c>
      <c r="M552" t="inlineStr">
        <is>
          <t>Harper, Roland, 1916-</t>
        </is>
      </c>
      <c r="N552" t="inlineStr">
        <is>
          <t>New York, American Elsevier Pub. Co. [1968]</t>
        </is>
      </c>
      <c r="O552" t="inlineStr">
        <is>
          <t>1968</t>
        </is>
      </c>
      <c r="Q552" t="inlineStr">
        <is>
          <t>eng</t>
        </is>
      </c>
      <c r="R552" t="inlineStr">
        <is>
          <t>nyu</t>
        </is>
      </c>
      <c r="T552" t="inlineStr">
        <is>
          <t xml:space="preserve">QP </t>
        </is>
      </c>
      <c r="U552" t="n">
        <v>1</v>
      </c>
      <c r="V552" t="n">
        <v>1</v>
      </c>
      <c r="W552" t="inlineStr">
        <is>
          <t>2000-09-21</t>
        </is>
      </c>
      <c r="X552" t="inlineStr">
        <is>
          <t>2000-09-21</t>
        </is>
      </c>
      <c r="Y552" t="inlineStr">
        <is>
          <t>1997-08-06</t>
        </is>
      </c>
      <c r="Z552" t="inlineStr">
        <is>
          <t>1997-08-06</t>
        </is>
      </c>
      <c r="AA552" t="n">
        <v>249</v>
      </c>
      <c r="AB552" t="n">
        <v>225</v>
      </c>
      <c r="AC552" t="n">
        <v>273</v>
      </c>
      <c r="AD552" t="n">
        <v>3</v>
      </c>
      <c r="AE552" t="n">
        <v>3</v>
      </c>
      <c r="AF552" t="n">
        <v>10</v>
      </c>
      <c r="AG552" t="n">
        <v>15</v>
      </c>
      <c r="AH552" t="n">
        <v>4</v>
      </c>
      <c r="AI552" t="n">
        <v>6</v>
      </c>
      <c r="AJ552" t="n">
        <v>2</v>
      </c>
      <c r="AK552" t="n">
        <v>3</v>
      </c>
      <c r="AL552" t="n">
        <v>4</v>
      </c>
      <c r="AM552" t="n">
        <v>7</v>
      </c>
      <c r="AN552" t="n">
        <v>2</v>
      </c>
      <c r="AO552" t="n">
        <v>2</v>
      </c>
      <c r="AP552" t="n">
        <v>0</v>
      </c>
      <c r="AQ552" t="n">
        <v>0</v>
      </c>
      <c r="AR552" t="inlineStr">
        <is>
          <t>No</t>
        </is>
      </c>
      <c r="AS552" t="inlineStr">
        <is>
          <t>No</t>
        </is>
      </c>
      <c r="AU552">
        <f>HYPERLINK("https://creighton-primo.hosted.exlibrisgroup.com/primo-explore/search?tab=default_tab&amp;search_scope=EVERYTHING&amp;vid=01CRU&amp;lang=en_US&amp;offset=0&amp;query=any,contains,991002549219702656","Catalog Record")</f>
        <v/>
      </c>
      <c r="AV552">
        <f>HYPERLINK("http://www.worldcat.org/oclc/369203","WorldCat Record")</f>
        <v/>
      </c>
      <c r="AW552" t="inlineStr">
        <is>
          <t>1437979:eng</t>
        </is>
      </c>
      <c r="AX552" t="inlineStr">
        <is>
          <t>369203</t>
        </is>
      </c>
      <c r="AY552" t="inlineStr">
        <is>
          <t>991002549219702656</t>
        </is>
      </c>
      <c r="AZ552" t="inlineStr">
        <is>
          <t>991002549219702656</t>
        </is>
      </c>
      <c r="BA552" t="inlineStr">
        <is>
          <t>2265218320002656</t>
        </is>
      </c>
      <c r="BB552" t="inlineStr">
        <is>
          <t>BOOK</t>
        </is>
      </c>
      <c r="BE552" t="inlineStr">
        <is>
          <t>32285003080065</t>
        </is>
      </c>
      <c r="BF552" t="inlineStr">
        <is>
          <t>893616258</t>
        </is>
      </c>
    </row>
    <row r="553">
      <c r="B553" t="inlineStr">
        <is>
          <t>CURAL</t>
        </is>
      </c>
      <c r="C553" t="inlineStr">
        <is>
          <t>SHELVES</t>
        </is>
      </c>
      <c r="D553" t="inlineStr">
        <is>
          <t>QP458 .M28</t>
        </is>
      </c>
      <c r="E553" t="inlineStr">
        <is>
          <t>0                      QP 0458000M  28</t>
        </is>
      </c>
      <c r="F553" t="inlineStr">
        <is>
          <t>Olfaction and odours : an osphrésiological essay / William McCartney.</t>
        </is>
      </c>
      <c r="H553" t="inlineStr">
        <is>
          <t>No</t>
        </is>
      </c>
      <c r="I553" t="inlineStr">
        <is>
          <t>1</t>
        </is>
      </c>
      <c r="J553" t="inlineStr">
        <is>
          <t>No</t>
        </is>
      </c>
      <c r="K553" t="inlineStr">
        <is>
          <t>No</t>
        </is>
      </c>
      <c r="L553" t="inlineStr">
        <is>
          <t>0</t>
        </is>
      </c>
      <c r="M553" t="inlineStr">
        <is>
          <t>McCartney, William.</t>
        </is>
      </c>
      <c r="N553" t="inlineStr">
        <is>
          <t>Berlin ; New York : Springer-Verlag, 1968.</t>
        </is>
      </c>
      <c r="O553" t="inlineStr">
        <is>
          <t>1968</t>
        </is>
      </c>
      <c r="Q553" t="inlineStr">
        <is>
          <t>eng</t>
        </is>
      </c>
      <c r="R553" t="inlineStr">
        <is>
          <t xml:space="preserve">gw </t>
        </is>
      </c>
      <c r="T553" t="inlineStr">
        <is>
          <t xml:space="preserve">QP </t>
        </is>
      </c>
      <c r="U553" t="n">
        <v>1</v>
      </c>
      <c r="V553" t="n">
        <v>1</v>
      </c>
      <c r="W553" t="inlineStr">
        <is>
          <t>2000-09-21</t>
        </is>
      </c>
      <c r="X553" t="inlineStr">
        <is>
          <t>2000-09-21</t>
        </is>
      </c>
      <c r="Y553" t="inlineStr">
        <is>
          <t>1995-08-09</t>
        </is>
      </c>
      <c r="Z553" t="inlineStr">
        <is>
          <t>1995-08-09</t>
        </is>
      </c>
      <c r="AA553" t="n">
        <v>282</v>
      </c>
      <c r="AB553" t="n">
        <v>193</v>
      </c>
      <c r="AC553" t="n">
        <v>216</v>
      </c>
      <c r="AD553" t="n">
        <v>3</v>
      </c>
      <c r="AE553" t="n">
        <v>3</v>
      </c>
      <c r="AF553" t="n">
        <v>6</v>
      </c>
      <c r="AG553" t="n">
        <v>7</v>
      </c>
      <c r="AH553" t="n">
        <v>0</v>
      </c>
      <c r="AI553" t="n">
        <v>1</v>
      </c>
      <c r="AJ553" t="n">
        <v>2</v>
      </c>
      <c r="AK553" t="n">
        <v>2</v>
      </c>
      <c r="AL553" t="n">
        <v>3</v>
      </c>
      <c r="AM553" t="n">
        <v>4</v>
      </c>
      <c r="AN553" t="n">
        <v>2</v>
      </c>
      <c r="AO553" t="n">
        <v>2</v>
      </c>
      <c r="AP553" t="n">
        <v>0</v>
      </c>
      <c r="AQ553" t="n">
        <v>0</v>
      </c>
      <c r="AR553" t="inlineStr">
        <is>
          <t>No</t>
        </is>
      </c>
      <c r="AS553" t="inlineStr">
        <is>
          <t>Yes</t>
        </is>
      </c>
      <c r="AT553">
        <f>HYPERLINK("http://catalog.hathitrust.org/Record/001555015","HathiTrust Record")</f>
        <v/>
      </c>
      <c r="AU553">
        <f>HYPERLINK("https://creighton-primo.hosted.exlibrisgroup.com/primo-explore/search?tab=default_tab&amp;search_scope=EVERYTHING&amp;vid=01CRU&amp;lang=en_US&amp;offset=0&amp;query=any,contains,991002802749702656","Catalog Record")</f>
        <v/>
      </c>
      <c r="AV553">
        <f>HYPERLINK("http://www.worldcat.org/oclc/448292","WorldCat Record")</f>
        <v/>
      </c>
      <c r="AW553" t="inlineStr">
        <is>
          <t>198457045:eng</t>
        </is>
      </c>
      <c r="AX553" t="inlineStr">
        <is>
          <t>448292</t>
        </is>
      </c>
      <c r="AY553" t="inlineStr">
        <is>
          <t>991002802749702656</t>
        </is>
      </c>
      <c r="AZ553" t="inlineStr">
        <is>
          <t>991002802749702656</t>
        </is>
      </c>
      <c r="BA553" t="inlineStr">
        <is>
          <t>2266657280002656</t>
        </is>
      </c>
      <c r="BB553" t="inlineStr">
        <is>
          <t>BOOK</t>
        </is>
      </c>
      <c r="BE553" t="inlineStr">
        <is>
          <t>32285002063005</t>
        </is>
      </c>
      <c r="BF553" t="inlineStr">
        <is>
          <t>893716930</t>
        </is>
      </c>
    </row>
    <row r="554">
      <c r="B554" t="inlineStr">
        <is>
          <t>CURAL</t>
        </is>
      </c>
      <c r="C554" t="inlineStr">
        <is>
          <t>SHELVES</t>
        </is>
      </c>
      <c r="D554" t="inlineStr">
        <is>
          <t>QP460 .S95 1974</t>
        </is>
      </c>
      <c r="E554" t="inlineStr">
        <is>
          <t>0                      QP 0460000S  95          1974</t>
        </is>
      </c>
      <c r="F554" t="inlineStr">
        <is>
          <t>Facts and models in hearing; proceedings. Edited by E. Zwicker and E. Terhardt.</t>
        </is>
      </c>
      <c r="H554" t="inlineStr">
        <is>
          <t>No</t>
        </is>
      </c>
      <c r="I554" t="inlineStr">
        <is>
          <t>1</t>
        </is>
      </c>
      <c r="J554" t="inlineStr">
        <is>
          <t>No</t>
        </is>
      </c>
      <c r="K554" t="inlineStr">
        <is>
          <t>No</t>
        </is>
      </c>
      <c r="L554" t="inlineStr">
        <is>
          <t>0</t>
        </is>
      </c>
      <c r="M554" t="inlineStr">
        <is>
          <t>Symposium on Psychophysical Models and Physiological Facts in Hearing (1974 : Tutzing, Germany)</t>
        </is>
      </c>
      <c r="N554" t="inlineStr">
        <is>
          <t>Berlin, New York, Springer-Verlag, 1974.</t>
        </is>
      </c>
      <c r="O554" t="inlineStr">
        <is>
          <t>1974</t>
        </is>
      </c>
      <c r="Q554" t="inlineStr">
        <is>
          <t>eng</t>
        </is>
      </c>
      <c r="R554" t="inlineStr">
        <is>
          <t xml:space="preserve">gw </t>
        </is>
      </c>
      <c r="S554" t="inlineStr">
        <is>
          <t>Communication and cybernetics, v. 8</t>
        </is>
      </c>
      <c r="T554" t="inlineStr">
        <is>
          <t xml:space="preserve">QP </t>
        </is>
      </c>
      <c r="U554" t="n">
        <v>2</v>
      </c>
      <c r="V554" t="n">
        <v>2</v>
      </c>
      <c r="W554" t="inlineStr">
        <is>
          <t>2002-02-19</t>
        </is>
      </c>
      <c r="X554" t="inlineStr">
        <is>
          <t>2002-02-19</t>
        </is>
      </c>
      <c r="Y554" t="inlineStr">
        <is>
          <t>1997-08-06</t>
        </is>
      </c>
      <c r="Z554" t="inlineStr">
        <is>
          <t>1997-08-06</t>
        </is>
      </c>
      <c r="AA554" t="n">
        <v>224</v>
      </c>
      <c r="AB554" t="n">
        <v>164</v>
      </c>
      <c r="AC554" t="n">
        <v>186</v>
      </c>
      <c r="AD554" t="n">
        <v>3</v>
      </c>
      <c r="AE554" t="n">
        <v>3</v>
      </c>
      <c r="AF554" t="n">
        <v>9</v>
      </c>
      <c r="AG554" t="n">
        <v>10</v>
      </c>
      <c r="AH554" t="n">
        <v>3</v>
      </c>
      <c r="AI554" t="n">
        <v>4</v>
      </c>
      <c r="AJ554" t="n">
        <v>3</v>
      </c>
      <c r="AK554" t="n">
        <v>3</v>
      </c>
      <c r="AL554" t="n">
        <v>3</v>
      </c>
      <c r="AM554" t="n">
        <v>4</v>
      </c>
      <c r="AN554" t="n">
        <v>1</v>
      </c>
      <c r="AO554" t="n">
        <v>1</v>
      </c>
      <c r="AP554" t="n">
        <v>0</v>
      </c>
      <c r="AQ554" t="n">
        <v>0</v>
      </c>
      <c r="AR554" t="inlineStr">
        <is>
          <t>No</t>
        </is>
      </c>
      <c r="AS554" t="inlineStr">
        <is>
          <t>Yes</t>
        </is>
      </c>
      <c r="AT554">
        <f>HYPERLINK("http://catalog.hathitrust.org/Record/006257909","HathiTrust Record")</f>
        <v/>
      </c>
      <c r="AU554">
        <f>HYPERLINK("https://creighton-primo.hosted.exlibrisgroup.com/primo-explore/search?tab=default_tab&amp;search_scope=EVERYTHING&amp;vid=01CRU&amp;lang=en_US&amp;offset=0&amp;query=any,contains,991003409819702656","Catalog Record")</f>
        <v/>
      </c>
      <c r="AV554">
        <f>HYPERLINK("http://www.worldcat.org/oclc/948107","WorldCat Record")</f>
        <v/>
      </c>
      <c r="AW554" t="inlineStr">
        <is>
          <t>189877220:eng</t>
        </is>
      </c>
      <c r="AX554" t="inlineStr">
        <is>
          <t>948107</t>
        </is>
      </c>
      <c r="AY554" t="inlineStr">
        <is>
          <t>991003409819702656</t>
        </is>
      </c>
      <c r="AZ554" t="inlineStr">
        <is>
          <t>991003409819702656</t>
        </is>
      </c>
      <c r="BA554" t="inlineStr">
        <is>
          <t>2264876670002656</t>
        </is>
      </c>
      <c r="BB554" t="inlineStr">
        <is>
          <t>BOOK</t>
        </is>
      </c>
      <c r="BD554" t="inlineStr">
        <is>
          <t>9780387068268</t>
        </is>
      </c>
      <c r="BE554" t="inlineStr">
        <is>
          <t>32285003080099</t>
        </is>
      </c>
      <c r="BF554" t="inlineStr">
        <is>
          <t>893422545</t>
        </is>
      </c>
    </row>
    <row r="555">
      <c r="B555" t="inlineStr">
        <is>
          <t>CURAL</t>
        </is>
      </c>
      <c r="C555" t="inlineStr">
        <is>
          <t>SHELVES</t>
        </is>
      </c>
      <c r="D555" t="inlineStr">
        <is>
          <t>QP461 .B57 1983</t>
        </is>
      </c>
      <c r="E555" t="inlineStr">
        <is>
          <t>0                      QP 0461000B  57          1983</t>
        </is>
      </c>
      <c r="F555" t="inlineStr">
        <is>
          <t>Bioacoustics, a comparative approach / edited by Brian Lewis.</t>
        </is>
      </c>
      <c r="H555" t="inlineStr">
        <is>
          <t>No</t>
        </is>
      </c>
      <c r="I555" t="inlineStr">
        <is>
          <t>1</t>
        </is>
      </c>
      <c r="J555" t="inlineStr">
        <is>
          <t>No</t>
        </is>
      </c>
      <c r="K555" t="inlineStr">
        <is>
          <t>No</t>
        </is>
      </c>
      <c r="L555" t="inlineStr">
        <is>
          <t>0</t>
        </is>
      </c>
      <c r="N555" t="inlineStr">
        <is>
          <t>London ; New York : Academic Press, 1983.</t>
        </is>
      </c>
      <c r="O555" t="inlineStr">
        <is>
          <t>1983</t>
        </is>
      </c>
      <c r="Q555" t="inlineStr">
        <is>
          <t>eng</t>
        </is>
      </c>
      <c r="R555" t="inlineStr">
        <is>
          <t>enk</t>
        </is>
      </c>
      <c r="T555" t="inlineStr">
        <is>
          <t xml:space="preserve">QP </t>
        </is>
      </c>
      <c r="U555" t="n">
        <v>4</v>
      </c>
      <c r="V555" t="n">
        <v>4</v>
      </c>
      <c r="W555" t="inlineStr">
        <is>
          <t>2001-08-03</t>
        </is>
      </c>
      <c r="X555" t="inlineStr">
        <is>
          <t>2001-08-03</t>
        </is>
      </c>
      <c r="Y555" t="inlineStr">
        <is>
          <t>1993-03-04</t>
        </is>
      </c>
      <c r="Z555" t="inlineStr">
        <is>
          <t>1993-03-04</t>
        </is>
      </c>
      <c r="AA555" t="n">
        <v>390</v>
      </c>
      <c r="AB555" t="n">
        <v>293</v>
      </c>
      <c r="AC555" t="n">
        <v>295</v>
      </c>
      <c r="AD555" t="n">
        <v>1</v>
      </c>
      <c r="AE555" t="n">
        <v>1</v>
      </c>
      <c r="AF555" t="n">
        <v>7</v>
      </c>
      <c r="AG555" t="n">
        <v>7</v>
      </c>
      <c r="AH555" t="n">
        <v>5</v>
      </c>
      <c r="AI555" t="n">
        <v>5</v>
      </c>
      <c r="AJ555" t="n">
        <v>2</v>
      </c>
      <c r="AK555" t="n">
        <v>2</v>
      </c>
      <c r="AL555" t="n">
        <v>2</v>
      </c>
      <c r="AM555" t="n">
        <v>2</v>
      </c>
      <c r="AN555" t="n">
        <v>0</v>
      </c>
      <c r="AO555" t="n">
        <v>0</v>
      </c>
      <c r="AP555" t="n">
        <v>0</v>
      </c>
      <c r="AQ555" t="n">
        <v>0</v>
      </c>
      <c r="AR555" t="inlineStr">
        <is>
          <t>No</t>
        </is>
      </c>
      <c r="AS555" t="inlineStr">
        <is>
          <t>Yes</t>
        </is>
      </c>
      <c r="AT555">
        <f>HYPERLINK("http://catalog.hathitrust.org/Record/000314563","HathiTrust Record")</f>
        <v/>
      </c>
      <c r="AU555">
        <f>HYPERLINK("https://creighton-primo.hosted.exlibrisgroup.com/primo-explore/search?tab=default_tab&amp;search_scope=EVERYTHING&amp;vid=01CRU&amp;lang=en_US&amp;offset=0&amp;query=any,contains,991000270899702656","Catalog Record")</f>
        <v/>
      </c>
      <c r="AV555">
        <f>HYPERLINK("http://www.worldcat.org/oclc/9854193","WorldCat Record")</f>
        <v/>
      </c>
      <c r="AW555" t="inlineStr">
        <is>
          <t>43786421:eng</t>
        </is>
      </c>
      <c r="AX555" t="inlineStr">
        <is>
          <t>9854193</t>
        </is>
      </c>
      <c r="AY555" t="inlineStr">
        <is>
          <t>991000270899702656</t>
        </is>
      </c>
      <c r="AZ555" t="inlineStr">
        <is>
          <t>991000270899702656</t>
        </is>
      </c>
      <c r="BA555" t="inlineStr">
        <is>
          <t>2261402430002656</t>
        </is>
      </c>
      <c r="BB555" t="inlineStr">
        <is>
          <t>BOOK</t>
        </is>
      </c>
      <c r="BD555" t="inlineStr">
        <is>
          <t>9780124465503</t>
        </is>
      </c>
      <c r="BE555" t="inlineStr">
        <is>
          <t>32285001562403</t>
        </is>
      </c>
      <c r="BF555" t="inlineStr">
        <is>
          <t>893255304</t>
        </is>
      </c>
    </row>
    <row r="556">
      <c r="B556" t="inlineStr">
        <is>
          <t>CURAL</t>
        </is>
      </c>
      <c r="C556" t="inlineStr">
        <is>
          <t>SHELVES</t>
        </is>
      </c>
      <c r="D556" t="inlineStr">
        <is>
          <t>QP461 .F39 1988</t>
        </is>
      </c>
      <c r="E556" t="inlineStr">
        <is>
          <t>0                      QP 0461000F  39          1988</t>
        </is>
      </c>
      <c r="F556" t="inlineStr">
        <is>
          <t>Hearing in vertebrates : a psychophysics databook / Richard R. Fay.</t>
        </is>
      </c>
      <c r="H556" t="inlineStr">
        <is>
          <t>No</t>
        </is>
      </c>
      <c r="I556" t="inlineStr">
        <is>
          <t>1</t>
        </is>
      </c>
      <c r="J556" t="inlineStr">
        <is>
          <t>No</t>
        </is>
      </c>
      <c r="K556" t="inlineStr">
        <is>
          <t>No</t>
        </is>
      </c>
      <c r="L556" t="inlineStr">
        <is>
          <t>0</t>
        </is>
      </c>
      <c r="M556" t="inlineStr">
        <is>
          <t>Fay, Richard R.</t>
        </is>
      </c>
      <c r="N556" t="inlineStr">
        <is>
          <t>Winnetka, Ill. : Hill-Fay Associates, c1988.</t>
        </is>
      </c>
      <c r="O556" t="inlineStr">
        <is>
          <t>1988</t>
        </is>
      </c>
      <c r="Q556" t="inlineStr">
        <is>
          <t>eng</t>
        </is>
      </c>
      <c r="R556" t="inlineStr">
        <is>
          <t>ilu</t>
        </is>
      </c>
      <c r="T556" t="inlineStr">
        <is>
          <t xml:space="preserve">QP </t>
        </is>
      </c>
      <c r="U556" t="n">
        <v>3</v>
      </c>
      <c r="V556" t="n">
        <v>3</v>
      </c>
      <c r="W556" t="inlineStr">
        <is>
          <t>1996-03-07</t>
        </is>
      </c>
      <c r="X556" t="inlineStr">
        <is>
          <t>1996-03-07</t>
        </is>
      </c>
      <c r="Y556" t="inlineStr">
        <is>
          <t>1990-04-20</t>
        </is>
      </c>
      <c r="Z556" t="inlineStr">
        <is>
          <t>1990-04-20</t>
        </is>
      </c>
      <c r="AA556" t="n">
        <v>109</v>
      </c>
      <c r="AB556" t="n">
        <v>90</v>
      </c>
      <c r="AC556" t="n">
        <v>90</v>
      </c>
      <c r="AD556" t="n">
        <v>2</v>
      </c>
      <c r="AE556" t="n">
        <v>2</v>
      </c>
      <c r="AF556" t="n">
        <v>5</v>
      </c>
      <c r="AG556" t="n">
        <v>5</v>
      </c>
      <c r="AH556" t="n">
        <v>2</v>
      </c>
      <c r="AI556" t="n">
        <v>2</v>
      </c>
      <c r="AJ556" t="n">
        <v>0</v>
      </c>
      <c r="AK556" t="n">
        <v>0</v>
      </c>
      <c r="AL556" t="n">
        <v>3</v>
      </c>
      <c r="AM556" t="n">
        <v>3</v>
      </c>
      <c r="AN556" t="n">
        <v>1</v>
      </c>
      <c r="AO556" t="n">
        <v>1</v>
      </c>
      <c r="AP556" t="n">
        <v>0</v>
      </c>
      <c r="AQ556" t="n">
        <v>0</v>
      </c>
      <c r="AR556" t="inlineStr">
        <is>
          <t>No</t>
        </is>
      </c>
      <c r="AS556" t="inlineStr">
        <is>
          <t>No</t>
        </is>
      </c>
      <c r="AU556">
        <f>HYPERLINK("https://creighton-primo.hosted.exlibrisgroup.com/primo-explore/search?tab=default_tab&amp;search_scope=EVERYTHING&amp;vid=01CRU&amp;lang=en_US&amp;offset=0&amp;query=any,contains,991001463119702656","Catalog Record")</f>
        <v/>
      </c>
      <c r="AV556">
        <f>HYPERLINK("http://www.worldcat.org/oclc/19457617","WorldCat Record")</f>
        <v/>
      </c>
      <c r="AW556" t="inlineStr">
        <is>
          <t>196491533:eng</t>
        </is>
      </c>
      <c r="AX556" t="inlineStr">
        <is>
          <t>19457617</t>
        </is>
      </c>
      <c r="AY556" t="inlineStr">
        <is>
          <t>991001463119702656</t>
        </is>
      </c>
      <c r="AZ556" t="inlineStr">
        <is>
          <t>991001463119702656</t>
        </is>
      </c>
      <c r="BA556" t="inlineStr">
        <is>
          <t>2267384160002656</t>
        </is>
      </c>
      <c r="BB556" t="inlineStr">
        <is>
          <t>BOOK</t>
        </is>
      </c>
      <c r="BD556" t="inlineStr">
        <is>
          <t>9780961855901</t>
        </is>
      </c>
      <c r="BE556" t="inlineStr">
        <is>
          <t>32285000104421</t>
        </is>
      </c>
      <c r="BF556" t="inlineStr">
        <is>
          <t>893340464</t>
        </is>
      </c>
    </row>
    <row r="557">
      <c r="B557" t="inlineStr">
        <is>
          <t>CURAL</t>
        </is>
      </c>
      <c r="C557" t="inlineStr">
        <is>
          <t>SHELVES</t>
        </is>
      </c>
      <c r="D557" t="inlineStr">
        <is>
          <t>QP461 .G83 1989</t>
        </is>
      </c>
      <c r="E557" t="inlineStr">
        <is>
          <t>0                      QP 0461000G  83          1989</t>
        </is>
      </c>
      <c r="F557" t="inlineStr">
        <is>
          <t>Hearing : physiological acoustics, neural coding, and psychoacoustics / W. Lawrence Gulick, George A. Gescheider, Robert D. Frisina.</t>
        </is>
      </c>
      <c r="H557" t="inlineStr">
        <is>
          <t>No</t>
        </is>
      </c>
      <c r="I557" t="inlineStr">
        <is>
          <t>1</t>
        </is>
      </c>
      <c r="J557" t="inlineStr">
        <is>
          <t>No</t>
        </is>
      </c>
      <c r="K557" t="inlineStr">
        <is>
          <t>No</t>
        </is>
      </c>
      <c r="L557" t="inlineStr">
        <is>
          <t>0</t>
        </is>
      </c>
      <c r="M557" t="inlineStr">
        <is>
          <t>Gulick, W. Lawrence (Walter Lawrence), 1927-</t>
        </is>
      </c>
      <c r="N557" t="inlineStr">
        <is>
          <t>New York : Oxford University Press, 1989.</t>
        </is>
      </c>
      <c r="O557" t="inlineStr">
        <is>
          <t>1989</t>
        </is>
      </c>
      <c r="Q557" t="inlineStr">
        <is>
          <t>eng</t>
        </is>
      </c>
      <c r="R557" t="inlineStr">
        <is>
          <t>nyu</t>
        </is>
      </c>
      <c r="T557" t="inlineStr">
        <is>
          <t xml:space="preserve">QP </t>
        </is>
      </c>
      <c r="U557" t="n">
        <v>12</v>
      </c>
      <c r="V557" t="n">
        <v>12</v>
      </c>
      <c r="W557" t="inlineStr">
        <is>
          <t>2003-04-11</t>
        </is>
      </c>
      <c r="X557" t="inlineStr">
        <is>
          <t>2003-04-11</t>
        </is>
      </c>
      <c r="Y557" t="inlineStr">
        <is>
          <t>1991-07-18</t>
        </is>
      </c>
      <c r="Z557" t="inlineStr">
        <is>
          <t>1991-07-18</t>
        </is>
      </c>
      <c r="AA557" t="n">
        <v>376</v>
      </c>
      <c r="AB557" t="n">
        <v>284</v>
      </c>
      <c r="AC557" t="n">
        <v>284</v>
      </c>
      <c r="AD557" t="n">
        <v>2</v>
      </c>
      <c r="AE557" t="n">
        <v>2</v>
      </c>
      <c r="AF557" t="n">
        <v>9</v>
      </c>
      <c r="AG557" t="n">
        <v>9</v>
      </c>
      <c r="AH557" t="n">
        <v>4</v>
      </c>
      <c r="AI557" t="n">
        <v>4</v>
      </c>
      <c r="AJ557" t="n">
        <v>2</v>
      </c>
      <c r="AK557" t="n">
        <v>2</v>
      </c>
      <c r="AL557" t="n">
        <v>5</v>
      </c>
      <c r="AM557" t="n">
        <v>5</v>
      </c>
      <c r="AN557" t="n">
        <v>1</v>
      </c>
      <c r="AO557" t="n">
        <v>1</v>
      </c>
      <c r="AP557" t="n">
        <v>0</v>
      </c>
      <c r="AQ557" t="n">
        <v>0</v>
      </c>
      <c r="AR557" t="inlineStr">
        <is>
          <t>No</t>
        </is>
      </c>
      <c r="AS557" t="inlineStr">
        <is>
          <t>No</t>
        </is>
      </c>
      <c r="AU557">
        <f>HYPERLINK("https://creighton-primo.hosted.exlibrisgroup.com/primo-explore/search?tab=default_tab&amp;search_scope=EVERYTHING&amp;vid=01CRU&amp;lang=en_US&amp;offset=0&amp;query=any,contains,991001419839702656","Catalog Record")</f>
        <v/>
      </c>
      <c r="AV557">
        <f>HYPERLINK("http://www.worldcat.org/oclc/18962393","WorldCat Record")</f>
        <v/>
      </c>
      <c r="AW557" t="inlineStr">
        <is>
          <t>3856217914:eng</t>
        </is>
      </c>
      <c r="AX557" t="inlineStr">
        <is>
          <t>18962393</t>
        </is>
      </c>
      <c r="AY557" t="inlineStr">
        <is>
          <t>991001419839702656</t>
        </is>
      </c>
      <c r="AZ557" t="inlineStr">
        <is>
          <t>991001419839702656</t>
        </is>
      </c>
      <c r="BA557" t="inlineStr">
        <is>
          <t>2263934100002656</t>
        </is>
      </c>
      <c r="BB557" t="inlineStr">
        <is>
          <t>BOOK</t>
        </is>
      </c>
      <c r="BD557" t="inlineStr">
        <is>
          <t>9780195043075</t>
        </is>
      </c>
      <c r="BE557" t="inlineStr">
        <is>
          <t>32285000676204</t>
        </is>
      </c>
      <c r="BF557" t="inlineStr">
        <is>
          <t>893351894</t>
        </is>
      </c>
    </row>
    <row r="558">
      <c r="B558" t="inlineStr">
        <is>
          <t>CURAL</t>
        </is>
      </c>
      <c r="C558" t="inlineStr">
        <is>
          <t>SHELVES</t>
        </is>
      </c>
      <c r="D558" t="inlineStr">
        <is>
          <t>QP461 .L5 1965</t>
        </is>
      </c>
      <c r="E558" t="inlineStr">
        <is>
          <t>0                      QP 0461000L  5           1965</t>
        </is>
      </c>
      <c r="F558" t="inlineStr">
        <is>
          <t>The physics of the ear / by T.S. Littler.</t>
        </is>
      </c>
      <c r="H558" t="inlineStr">
        <is>
          <t>No</t>
        </is>
      </c>
      <c r="I558" t="inlineStr">
        <is>
          <t>1</t>
        </is>
      </c>
      <c r="J558" t="inlineStr">
        <is>
          <t>No</t>
        </is>
      </c>
      <c r="K558" t="inlineStr">
        <is>
          <t>No</t>
        </is>
      </c>
      <c r="L558" t="inlineStr">
        <is>
          <t>0</t>
        </is>
      </c>
      <c r="M558" t="inlineStr">
        <is>
          <t>Littler, T. S.</t>
        </is>
      </c>
      <c r="N558" t="inlineStr">
        <is>
          <t>Oxford ; New York : Pergamon Press ; [distributed in the Western Hemisphere by Macmillan, New York, 1965]</t>
        </is>
      </c>
      <c r="O558" t="inlineStr">
        <is>
          <t>1965</t>
        </is>
      </c>
      <c r="P558" t="inlineStr">
        <is>
          <t>[1st ed.].</t>
        </is>
      </c>
      <c r="Q558" t="inlineStr">
        <is>
          <t>eng</t>
        </is>
      </c>
      <c r="R558" t="inlineStr">
        <is>
          <t>enk</t>
        </is>
      </c>
      <c r="S558" t="inlineStr">
        <is>
          <t>International series of monographs on physics ; v. 3</t>
        </is>
      </c>
      <c r="T558" t="inlineStr">
        <is>
          <t xml:space="preserve">QP </t>
        </is>
      </c>
      <c r="U558" t="n">
        <v>10</v>
      </c>
      <c r="V558" t="n">
        <v>10</v>
      </c>
      <c r="W558" t="inlineStr">
        <is>
          <t>2007-04-24</t>
        </is>
      </c>
      <c r="X558" t="inlineStr">
        <is>
          <t>2007-04-24</t>
        </is>
      </c>
      <c r="Y558" t="inlineStr">
        <is>
          <t>1994-12-20</t>
        </is>
      </c>
      <c r="Z558" t="inlineStr">
        <is>
          <t>1994-12-20</t>
        </is>
      </c>
      <c r="AA558" t="n">
        <v>403</v>
      </c>
      <c r="AB558" t="n">
        <v>273</v>
      </c>
      <c r="AC558" t="n">
        <v>333</v>
      </c>
      <c r="AD558" t="n">
        <v>6</v>
      </c>
      <c r="AE558" t="n">
        <v>6</v>
      </c>
      <c r="AF558" t="n">
        <v>16</v>
      </c>
      <c r="AG558" t="n">
        <v>18</v>
      </c>
      <c r="AH558" t="n">
        <v>5</v>
      </c>
      <c r="AI558" t="n">
        <v>7</v>
      </c>
      <c r="AJ558" t="n">
        <v>2</v>
      </c>
      <c r="AK558" t="n">
        <v>3</v>
      </c>
      <c r="AL558" t="n">
        <v>6</v>
      </c>
      <c r="AM558" t="n">
        <v>6</v>
      </c>
      <c r="AN558" t="n">
        <v>5</v>
      </c>
      <c r="AO558" t="n">
        <v>5</v>
      </c>
      <c r="AP558" t="n">
        <v>0</v>
      </c>
      <c r="AQ558" t="n">
        <v>0</v>
      </c>
      <c r="AR558" t="inlineStr">
        <is>
          <t>No</t>
        </is>
      </c>
      <c r="AS558" t="inlineStr">
        <is>
          <t>Yes</t>
        </is>
      </c>
      <c r="AT558">
        <f>HYPERLINK("http://catalog.hathitrust.org/Record/001555026","HathiTrust Record")</f>
        <v/>
      </c>
      <c r="AU558">
        <f>HYPERLINK("https://creighton-primo.hosted.exlibrisgroup.com/primo-explore/search?tab=default_tab&amp;search_scope=EVERYTHING&amp;vid=01CRU&amp;lang=en_US&amp;offset=0&amp;query=any,contains,991002662789702656","Catalog Record")</f>
        <v/>
      </c>
      <c r="AV558">
        <f>HYPERLINK("http://www.worldcat.org/oclc/392026","WorldCat Record")</f>
        <v/>
      </c>
      <c r="AW558" t="inlineStr">
        <is>
          <t>1528382:eng</t>
        </is>
      </c>
      <c r="AX558" t="inlineStr">
        <is>
          <t>392026</t>
        </is>
      </c>
      <c r="AY558" t="inlineStr">
        <is>
          <t>991002662789702656</t>
        </is>
      </c>
      <c r="AZ558" t="inlineStr">
        <is>
          <t>991002662789702656</t>
        </is>
      </c>
      <c r="BA558" t="inlineStr">
        <is>
          <t>2263177400002656</t>
        </is>
      </c>
      <c r="BB558" t="inlineStr">
        <is>
          <t>BOOK</t>
        </is>
      </c>
      <c r="BE558" t="inlineStr">
        <is>
          <t>32285001984276</t>
        </is>
      </c>
      <c r="BF558" t="inlineStr">
        <is>
          <t>893603844</t>
        </is>
      </c>
    </row>
    <row r="559">
      <c r="B559" t="inlineStr">
        <is>
          <t>CURAL</t>
        </is>
      </c>
      <c r="C559" t="inlineStr">
        <is>
          <t>SHELVES</t>
        </is>
      </c>
      <c r="D559" t="inlineStr">
        <is>
          <t>QP461 .R5</t>
        </is>
      </c>
      <c r="E559" t="inlineStr">
        <is>
          <t>0                      QP 0461000R  5</t>
        </is>
      </c>
      <c r="F559" t="inlineStr">
        <is>
          <t>Basic experimentation in psychoacoustics / Alan M. Richards.</t>
        </is>
      </c>
      <c r="H559" t="inlineStr">
        <is>
          <t>No</t>
        </is>
      </c>
      <c r="I559" t="inlineStr">
        <is>
          <t>1</t>
        </is>
      </c>
      <c r="J559" t="inlineStr">
        <is>
          <t>No</t>
        </is>
      </c>
      <c r="K559" t="inlineStr">
        <is>
          <t>No</t>
        </is>
      </c>
      <c r="L559" t="inlineStr">
        <is>
          <t>0</t>
        </is>
      </c>
      <c r="M559" t="inlineStr">
        <is>
          <t>Richards, Alan M.</t>
        </is>
      </c>
      <c r="N559" t="inlineStr">
        <is>
          <t>Baltimore : University Park Press, c1976.</t>
        </is>
      </c>
      <c r="O559" t="inlineStr">
        <is>
          <t>1976</t>
        </is>
      </c>
      <c r="Q559" t="inlineStr">
        <is>
          <t>eng</t>
        </is>
      </c>
      <c r="R559" t="inlineStr">
        <is>
          <t>mdu</t>
        </is>
      </c>
      <c r="T559" t="inlineStr">
        <is>
          <t xml:space="preserve">QP </t>
        </is>
      </c>
      <c r="U559" t="n">
        <v>2</v>
      </c>
      <c r="V559" t="n">
        <v>2</v>
      </c>
      <c r="W559" t="inlineStr">
        <is>
          <t>1995-04-12</t>
        </is>
      </c>
      <c r="X559" t="inlineStr">
        <is>
          <t>1995-04-12</t>
        </is>
      </c>
      <c r="Y559" t="inlineStr">
        <is>
          <t>1990-02-21</t>
        </is>
      </c>
      <c r="Z559" t="inlineStr">
        <is>
          <t>1990-02-21</t>
        </is>
      </c>
      <c r="AA559" t="n">
        <v>423</v>
      </c>
      <c r="AB559" t="n">
        <v>347</v>
      </c>
      <c r="AC559" t="n">
        <v>349</v>
      </c>
      <c r="AD559" t="n">
        <v>3</v>
      </c>
      <c r="AE559" t="n">
        <v>3</v>
      </c>
      <c r="AF559" t="n">
        <v>13</v>
      </c>
      <c r="AG559" t="n">
        <v>13</v>
      </c>
      <c r="AH559" t="n">
        <v>5</v>
      </c>
      <c r="AI559" t="n">
        <v>5</v>
      </c>
      <c r="AJ559" t="n">
        <v>4</v>
      </c>
      <c r="AK559" t="n">
        <v>4</v>
      </c>
      <c r="AL559" t="n">
        <v>4</v>
      </c>
      <c r="AM559" t="n">
        <v>4</v>
      </c>
      <c r="AN559" t="n">
        <v>2</v>
      </c>
      <c r="AO559" t="n">
        <v>2</v>
      </c>
      <c r="AP559" t="n">
        <v>0</v>
      </c>
      <c r="AQ559" t="n">
        <v>0</v>
      </c>
      <c r="AR559" t="inlineStr">
        <is>
          <t>No</t>
        </is>
      </c>
      <c r="AS559" t="inlineStr">
        <is>
          <t>Yes</t>
        </is>
      </c>
      <c r="AT559">
        <f>HYPERLINK("http://catalog.hathitrust.org/Record/000723412","HathiTrust Record")</f>
        <v/>
      </c>
      <c r="AU559">
        <f>HYPERLINK("https://creighton-primo.hosted.exlibrisgroup.com/primo-explore/search?tab=default_tab&amp;search_scope=EVERYTHING&amp;vid=01CRU&amp;lang=en_US&amp;offset=0&amp;query=any,contains,991004009769702656","Catalog Record")</f>
        <v/>
      </c>
      <c r="AV559">
        <f>HYPERLINK("http://www.worldcat.org/oclc/2089747","WorldCat Record")</f>
        <v/>
      </c>
      <c r="AW559" t="inlineStr">
        <is>
          <t>4183666:eng</t>
        </is>
      </c>
      <c r="AX559" t="inlineStr">
        <is>
          <t>2089747</t>
        </is>
      </c>
      <c r="AY559" t="inlineStr">
        <is>
          <t>991004009769702656</t>
        </is>
      </c>
      <c r="AZ559" t="inlineStr">
        <is>
          <t>991004009769702656</t>
        </is>
      </c>
      <c r="BA559" t="inlineStr">
        <is>
          <t>2263343950002656</t>
        </is>
      </c>
      <c r="BB559" t="inlineStr">
        <is>
          <t>BOOK</t>
        </is>
      </c>
      <c r="BD559" t="inlineStr">
        <is>
          <t>9780839108849</t>
        </is>
      </c>
      <c r="BE559" t="inlineStr">
        <is>
          <t>32285000057777</t>
        </is>
      </c>
      <c r="BF559" t="inlineStr">
        <is>
          <t>893247046</t>
        </is>
      </c>
    </row>
    <row r="560">
      <c r="B560" t="inlineStr">
        <is>
          <t>CURAL</t>
        </is>
      </c>
      <c r="C560" t="inlineStr">
        <is>
          <t>SHELVES</t>
        </is>
      </c>
      <c r="D560" t="inlineStr">
        <is>
          <t>QP461 .S68 1983</t>
        </is>
      </c>
      <c r="E560" t="inlineStr">
        <is>
          <t>0                      QP 0461000S  68          1983</t>
        </is>
      </c>
      <c r="F560" t="inlineStr">
        <is>
          <t>The acoustic sense of animals / William C. Stebbins.</t>
        </is>
      </c>
      <c r="H560" t="inlineStr">
        <is>
          <t>No</t>
        </is>
      </c>
      <c r="I560" t="inlineStr">
        <is>
          <t>1</t>
        </is>
      </c>
      <c r="J560" t="inlineStr">
        <is>
          <t>No</t>
        </is>
      </c>
      <c r="K560" t="inlineStr">
        <is>
          <t>No</t>
        </is>
      </c>
      <c r="L560" t="inlineStr">
        <is>
          <t>0</t>
        </is>
      </c>
      <c r="M560" t="inlineStr">
        <is>
          <t>Stebbins, William C., 1929-</t>
        </is>
      </c>
      <c r="N560" t="inlineStr">
        <is>
          <t>Cambridge, Mass. ; London, England : Harvard University Press, 1983.</t>
        </is>
      </c>
      <c r="O560" t="inlineStr">
        <is>
          <t>1983</t>
        </is>
      </c>
      <c r="Q560" t="inlineStr">
        <is>
          <t>eng</t>
        </is>
      </c>
      <c r="R560" t="inlineStr">
        <is>
          <t>mau</t>
        </is>
      </c>
      <c r="T560" t="inlineStr">
        <is>
          <t xml:space="preserve">QP </t>
        </is>
      </c>
      <c r="U560" t="n">
        <v>2</v>
      </c>
      <c r="V560" t="n">
        <v>2</v>
      </c>
      <c r="W560" t="inlineStr">
        <is>
          <t>1996-03-07</t>
        </is>
      </c>
      <c r="X560" t="inlineStr">
        <is>
          <t>1996-03-07</t>
        </is>
      </c>
      <c r="Y560" t="inlineStr">
        <is>
          <t>1993-03-04</t>
        </is>
      </c>
      <c r="Z560" t="inlineStr">
        <is>
          <t>1993-03-04</t>
        </is>
      </c>
      <c r="AA560" t="n">
        <v>553</v>
      </c>
      <c r="AB560" t="n">
        <v>451</v>
      </c>
      <c r="AC560" t="n">
        <v>459</v>
      </c>
      <c r="AD560" t="n">
        <v>5</v>
      </c>
      <c r="AE560" t="n">
        <v>5</v>
      </c>
      <c r="AF560" t="n">
        <v>21</v>
      </c>
      <c r="AG560" t="n">
        <v>21</v>
      </c>
      <c r="AH560" t="n">
        <v>7</v>
      </c>
      <c r="AI560" t="n">
        <v>7</v>
      </c>
      <c r="AJ560" t="n">
        <v>5</v>
      </c>
      <c r="AK560" t="n">
        <v>5</v>
      </c>
      <c r="AL560" t="n">
        <v>11</v>
      </c>
      <c r="AM560" t="n">
        <v>11</v>
      </c>
      <c r="AN560" t="n">
        <v>4</v>
      </c>
      <c r="AO560" t="n">
        <v>4</v>
      </c>
      <c r="AP560" t="n">
        <v>0</v>
      </c>
      <c r="AQ560" t="n">
        <v>0</v>
      </c>
      <c r="AR560" t="inlineStr">
        <is>
          <t>No</t>
        </is>
      </c>
      <c r="AS560" t="inlineStr">
        <is>
          <t>No</t>
        </is>
      </c>
      <c r="AU560">
        <f>HYPERLINK("https://creighton-primo.hosted.exlibrisgroup.com/primo-explore/search?tab=default_tab&amp;search_scope=EVERYTHING&amp;vid=01CRU&amp;lang=en_US&amp;offset=0&amp;query=any,contains,991000112319702656","Catalog Record")</f>
        <v/>
      </c>
      <c r="AV560">
        <f>HYPERLINK("http://www.worldcat.org/oclc/9016864","WorldCat Record")</f>
        <v/>
      </c>
      <c r="AW560" t="inlineStr">
        <is>
          <t>2675708:eng</t>
        </is>
      </c>
      <c r="AX560" t="inlineStr">
        <is>
          <t>9016864</t>
        </is>
      </c>
      <c r="AY560" t="inlineStr">
        <is>
          <t>991000112319702656</t>
        </is>
      </c>
      <c r="AZ560" t="inlineStr">
        <is>
          <t>991000112319702656</t>
        </is>
      </c>
      <c r="BA560" t="inlineStr">
        <is>
          <t>2257465190002656</t>
        </is>
      </c>
      <c r="BB560" t="inlineStr">
        <is>
          <t>BOOK</t>
        </is>
      </c>
      <c r="BD560" t="inlineStr">
        <is>
          <t>9780674003262</t>
        </is>
      </c>
      <c r="BE560" t="inlineStr">
        <is>
          <t>32285001562411</t>
        </is>
      </c>
      <c r="BF560" t="inlineStr">
        <is>
          <t>893345394</t>
        </is>
      </c>
    </row>
    <row r="561">
      <c r="B561" t="inlineStr">
        <is>
          <t>CURAL</t>
        </is>
      </c>
      <c r="C561" t="inlineStr">
        <is>
          <t>SHELVES</t>
        </is>
      </c>
      <c r="D561" t="inlineStr">
        <is>
          <t>QP461 .S7</t>
        </is>
      </c>
      <c r="E561" t="inlineStr">
        <is>
          <t>0                      QP 0461000S  7</t>
        </is>
      </c>
      <c r="F561" t="inlineStr">
        <is>
          <t>Hearing, its psychology and physiology / by Stanley Smith Stevens and Hallowell Davis.</t>
        </is>
      </c>
      <c r="H561" t="inlineStr">
        <is>
          <t>No</t>
        </is>
      </c>
      <c r="I561" t="inlineStr">
        <is>
          <t>1</t>
        </is>
      </c>
      <c r="J561" t="inlineStr">
        <is>
          <t>No</t>
        </is>
      </c>
      <c r="K561" t="inlineStr">
        <is>
          <t>No</t>
        </is>
      </c>
      <c r="L561" t="inlineStr">
        <is>
          <t>0</t>
        </is>
      </c>
      <c r="M561" t="inlineStr">
        <is>
          <t>Stevens, S. S. (Stanley Smith), 1906-1973.</t>
        </is>
      </c>
      <c r="N561" t="inlineStr">
        <is>
          <t>New York : J. Wiley &amp; Sons, inc. ; London : Chapman &amp; Hall, limited, 1938.</t>
        </is>
      </c>
      <c r="O561" t="inlineStr">
        <is>
          <t>1938</t>
        </is>
      </c>
      <c r="Q561" t="inlineStr">
        <is>
          <t>eng</t>
        </is>
      </c>
      <c r="R561" t="inlineStr">
        <is>
          <t>nyu</t>
        </is>
      </c>
      <c r="T561" t="inlineStr">
        <is>
          <t xml:space="preserve">QP </t>
        </is>
      </c>
      <c r="U561" t="n">
        <v>3</v>
      </c>
      <c r="V561" t="n">
        <v>3</v>
      </c>
      <c r="W561" t="inlineStr">
        <is>
          <t>1995-03-31</t>
        </is>
      </c>
      <c r="X561" t="inlineStr">
        <is>
          <t>1995-03-31</t>
        </is>
      </c>
      <c r="Y561" t="inlineStr">
        <is>
          <t>1993-05-05</t>
        </is>
      </c>
      <c r="Z561" t="inlineStr">
        <is>
          <t>1993-05-05</t>
        </is>
      </c>
      <c r="AA561" t="n">
        <v>511</v>
      </c>
      <c r="AB561" t="n">
        <v>438</v>
      </c>
      <c r="AC561" t="n">
        <v>501</v>
      </c>
      <c r="AD561" t="n">
        <v>5</v>
      </c>
      <c r="AE561" t="n">
        <v>5</v>
      </c>
      <c r="AF561" t="n">
        <v>17</v>
      </c>
      <c r="AG561" t="n">
        <v>19</v>
      </c>
      <c r="AH561" t="n">
        <v>7</v>
      </c>
      <c r="AI561" t="n">
        <v>8</v>
      </c>
      <c r="AJ561" t="n">
        <v>1</v>
      </c>
      <c r="AK561" t="n">
        <v>1</v>
      </c>
      <c r="AL561" t="n">
        <v>7</v>
      </c>
      <c r="AM561" t="n">
        <v>8</v>
      </c>
      <c r="AN561" t="n">
        <v>4</v>
      </c>
      <c r="AO561" t="n">
        <v>4</v>
      </c>
      <c r="AP561" t="n">
        <v>0</v>
      </c>
      <c r="AQ561" t="n">
        <v>0</v>
      </c>
      <c r="AR561" t="inlineStr">
        <is>
          <t>No</t>
        </is>
      </c>
      <c r="AS561" t="inlineStr">
        <is>
          <t>Yes</t>
        </is>
      </c>
      <c r="AT561">
        <f>HYPERLINK("http://catalog.hathitrust.org/Record/001555030","HathiTrust Record")</f>
        <v/>
      </c>
      <c r="AU561">
        <f>HYPERLINK("https://creighton-primo.hosted.exlibrisgroup.com/primo-explore/search?tab=default_tab&amp;search_scope=EVERYTHING&amp;vid=01CRU&amp;lang=en_US&amp;offset=0&amp;query=any,contains,991002996599702656","Catalog Record")</f>
        <v/>
      </c>
      <c r="AV561">
        <f>HYPERLINK("http://www.worldcat.org/oclc/565037","WorldCat Record")</f>
        <v/>
      </c>
      <c r="AW561" t="inlineStr">
        <is>
          <t>1650135:eng</t>
        </is>
      </c>
      <c r="AX561" t="inlineStr">
        <is>
          <t>565037</t>
        </is>
      </c>
      <c r="AY561" t="inlineStr">
        <is>
          <t>991002996599702656</t>
        </is>
      </c>
      <c r="AZ561" t="inlineStr">
        <is>
          <t>991002996599702656</t>
        </is>
      </c>
      <c r="BA561" t="inlineStr">
        <is>
          <t>2258785470002656</t>
        </is>
      </c>
      <c r="BB561" t="inlineStr">
        <is>
          <t>BOOK</t>
        </is>
      </c>
      <c r="BE561" t="inlineStr">
        <is>
          <t>32285001633774</t>
        </is>
      </c>
      <c r="BF561" t="inlineStr">
        <is>
          <t>893518041</t>
        </is>
      </c>
    </row>
    <row r="562">
      <c r="B562" t="inlineStr">
        <is>
          <t>CURAL</t>
        </is>
      </c>
      <c r="C562" t="inlineStr">
        <is>
          <t>SHELVES</t>
        </is>
      </c>
      <c r="D562" t="inlineStr">
        <is>
          <t>QP461 .S72</t>
        </is>
      </c>
      <c r="E562" t="inlineStr">
        <is>
          <t>0                      QP 0461000S  72</t>
        </is>
      </c>
      <c r="F562" t="inlineStr">
        <is>
          <t>Sound and hearing / by S. S. Stevens, Fred Warshofsky, and the editors of Life.</t>
        </is>
      </c>
      <c r="H562" t="inlineStr">
        <is>
          <t>No</t>
        </is>
      </c>
      <c r="I562" t="inlineStr">
        <is>
          <t>1</t>
        </is>
      </c>
      <c r="J562" t="inlineStr">
        <is>
          <t>No</t>
        </is>
      </c>
      <c r="K562" t="inlineStr">
        <is>
          <t>No</t>
        </is>
      </c>
      <c r="L562" t="inlineStr">
        <is>
          <t>0</t>
        </is>
      </c>
      <c r="M562" t="inlineStr">
        <is>
          <t>Stevens, S. S. (Stanley Smith), 1906-1973.</t>
        </is>
      </c>
      <c r="N562" t="inlineStr">
        <is>
          <t>New York : Time, inc., [1965]</t>
        </is>
      </c>
      <c r="O562" t="inlineStr">
        <is>
          <t>1965</t>
        </is>
      </c>
      <c r="Q562" t="inlineStr">
        <is>
          <t>eng</t>
        </is>
      </c>
      <c r="R562" t="inlineStr">
        <is>
          <t>nyu</t>
        </is>
      </c>
      <c r="S562" t="inlineStr">
        <is>
          <t>Life science library</t>
        </is>
      </c>
      <c r="T562" t="inlineStr">
        <is>
          <t xml:space="preserve">QP </t>
        </is>
      </c>
      <c r="U562" t="n">
        <v>15</v>
      </c>
      <c r="V562" t="n">
        <v>15</v>
      </c>
      <c r="W562" t="inlineStr">
        <is>
          <t>2003-06-09</t>
        </is>
      </c>
      <c r="X562" t="inlineStr">
        <is>
          <t>2003-06-09</t>
        </is>
      </c>
      <c r="Y562" t="inlineStr">
        <is>
          <t>1990-02-21</t>
        </is>
      </c>
      <c r="Z562" t="inlineStr">
        <is>
          <t>1990-02-21</t>
        </is>
      </c>
      <c r="AA562" t="n">
        <v>1188</v>
      </c>
      <c r="AB562" t="n">
        <v>1106</v>
      </c>
      <c r="AC562" t="n">
        <v>1385</v>
      </c>
      <c r="AD562" t="n">
        <v>13</v>
      </c>
      <c r="AE562" t="n">
        <v>16</v>
      </c>
      <c r="AF562" t="n">
        <v>23</v>
      </c>
      <c r="AG562" t="n">
        <v>29</v>
      </c>
      <c r="AH562" t="n">
        <v>6</v>
      </c>
      <c r="AI562" t="n">
        <v>8</v>
      </c>
      <c r="AJ562" t="n">
        <v>2</v>
      </c>
      <c r="AK562" t="n">
        <v>3</v>
      </c>
      <c r="AL562" t="n">
        <v>13</v>
      </c>
      <c r="AM562" t="n">
        <v>16</v>
      </c>
      <c r="AN562" t="n">
        <v>7</v>
      </c>
      <c r="AO562" t="n">
        <v>8</v>
      </c>
      <c r="AP562" t="n">
        <v>0</v>
      </c>
      <c r="AQ562" t="n">
        <v>0</v>
      </c>
      <c r="AR562" t="inlineStr">
        <is>
          <t>No</t>
        </is>
      </c>
      <c r="AS562" t="inlineStr">
        <is>
          <t>Yes</t>
        </is>
      </c>
      <c r="AT562">
        <f>HYPERLINK("http://catalog.hathitrust.org/Record/004419219","HathiTrust Record")</f>
        <v/>
      </c>
      <c r="AU562">
        <f>HYPERLINK("https://creighton-primo.hosted.exlibrisgroup.com/primo-explore/search?tab=default_tab&amp;search_scope=EVERYTHING&amp;vid=01CRU&amp;lang=en_US&amp;offset=0&amp;query=any,contains,991005264719702656","Catalog Record")</f>
        <v/>
      </c>
      <c r="AV562">
        <f>HYPERLINK("http://www.worldcat.org/oclc/505471","WorldCat Record")</f>
        <v/>
      </c>
      <c r="AW562" t="inlineStr">
        <is>
          <t>1448530:eng</t>
        </is>
      </c>
      <c r="AX562" t="inlineStr">
        <is>
          <t>505471</t>
        </is>
      </c>
      <c r="AY562" t="inlineStr">
        <is>
          <t>991005264719702656</t>
        </is>
      </c>
      <c r="AZ562" t="inlineStr">
        <is>
          <t>991005264719702656</t>
        </is>
      </c>
      <c r="BA562" t="inlineStr">
        <is>
          <t>2263583490002656</t>
        </is>
      </c>
      <c r="BB562" t="inlineStr">
        <is>
          <t>BOOK</t>
        </is>
      </c>
      <c r="BE562" t="inlineStr">
        <is>
          <t>32285000057819</t>
        </is>
      </c>
      <c r="BF562" t="inlineStr">
        <is>
          <t>893446688</t>
        </is>
      </c>
    </row>
    <row r="563">
      <c r="B563" t="inlineStr">
        <is>
          <t>CURAL</t>
        </is>
      </c>
      <c r="C563" t="inlineStr">
        <is>
          <t>SHELVES</t>
        </is>
      </c>
      <c r="D563" t="inlineStr">
        <is>
          <t>QP461 .S9 1967</t>
        </is>
      </c>
      <c r="E563" t="inlineStr">
        <is>
          <t>0                      QP 0461000S  9           1967</t>
        </is>
      </c>
      <c r="F563" t="inlineStr">
        <is>
          <t>Hearing mechanisms in vertebrates : a Ciba Foundation symposium / edited by A. V. S. De Reuck and Julie Knight.</t>
        </is>
      </c>
      <c r="H563" t="inlineStr">
        <is>
          <t>No</t>
        </is>
      </c>
      <c r="I563" t="inlineStr">
        <is>
          <t>1</t>
        </is>
      </c>
      <c r="J563" t="inlineStr">
        <is>
          <t>No</t>
        </is>
      </c>
      <c r="K563" t="inlineStr">
        <is>
          <t>No</t>
        </is>
      </c>
      <c r="L563" t="inlineStr">
        <is>
          <t>0</t>
        </is>
      </c>
      <c r="M563" t="inlineStr">
        <is>
          <t>Symposium on Hearing Mechanisms in Vertebrates (1967 : London, England)</t>
        </is>
      </c>
      <c r="N563" t="inlineStr">
        <is>
          <t>Boston : Little, Brown, 1968.</t>
        </is>
      </c>
      <c r="O563" t="inlineStr">
        <is>
          <t>1968</t>
        </is>
      </c>
      <c r="Q563" t="inlineStr">
        <is>
          <t>eng</t>
        </is>
      </c>
      <c r="R563" t="inlineStr">
        <is>
          <t>mau</t>
        </is>
      </c>
      <c r="T563" t="inlineStr">
        <is>
          <t xml:space="preserve">QP </t>
        </is>
      </c>
      <c r="U563" t="n">
        <v>3</v>
      </c>
      <c r="V563" t="n">
        <v>3</v>
      </c>
      <c r="W563" t="inlineStr">
        <is>
          <t>2003-06-11</t>
        </is>
      </c>
      <c r="X563" t="inlineStr">
        <is>
          <t>2003-06-11</t>
        </is>
      </c>
      <c r="Y563" t="inlineStr">
        <is>
          <t>1995-04-12</t>
        </is>
      </c>
      <c r="Z563" t="inlineStr">
        <is>
          <t>1995-04-12</t>
        </is>
      </c>
      <c r="AA563" t="n">
        <v>216</v>
      </c>
      <c r="AB563" t="n">
        <v>203</v>
      </c>
      <c r="AC563" t="n">
        <v>331</v>
      </c>
      <c r="AD563" t="n">
        <v>3</v>
      </c>
      <c r="AE563" t="n">
        <v>5</v>
      </c>
      <c r="AF563" t="n">
        <v>9</v>
      </c>
      <c r="AG563" t="n">
        <v>11</v>
      </c>
      <c r="AH563" t="n">
        <v>4</v>
      </c>
      <c r="AI563" t="n">
        <v>5</v>
      </c>
      <c r="AJ563" t="n">
        <v>2</v>
      </c>
      <c r="AK563" t="n">
        <v>2</v>
      </c>
      <c r="AL563" t="n">
        <v>3</v>
      </c>
      <c r="AM563" t="n">
        <v>4</v>
      </c>
      <c r="AN563" t="n">
        <v>1</v>
      </c>
      <c r="AO563" t="n">
        <v>2</v>
      </c>
      <c r="AP563" t="n">
        <v>0</v>
      </c>
      <c r="AQ563" t="n">
        <v>0</v>
      </c>
      <c r="AR563" t="inlineStr">
        <is>
          <t>No</t>
        </is>
      </c>
      <c r="AS563" t="inlineStr">
        <is>
          <t>Yes</t>
        </is>
      </c>
      <c r="AT563">
        <f>HYPERLINK("http://catalog.hathitrust.org/Record/001555032","HathiTrust Record")</f>
        <v/>
      </c>
      <c r="AU563">
        <f>HYPERLINK("https://creighton-primo.hosted.exlibrisgroup.com/primo-explore/search?tab=default_tab&amp;search_scope=EVERYTHING&amp;vid=01CRU&amp;lang=en_US&amp;offset=0&amp;query=any,contains,991005264729702656","Catalog Record")</f>
        <v/>
      </c>
      <c r="AV563">
        <f>HYPERLINK("http://www.worldcat.org/oclc/434708","WorldCat Record")</f>
        <v/>
      </c>
      <c r="AW563" t="inlineStr">
        <is>
          <t>890902214:eng</t>
        </is>
      </c>
      <c r="AX563" t="inlineStr">
        <is>
          <t>434708</t>
        </is>
      </c>
      <c r="AY563" t="inlineStr">
        <is>
          <t>991005264729702656</t>
        </is>
      </c>
      <c r="AZ563" t="inlineStr">
        <is>
          <t>991005264729702656</t>
        </is>
      </c>
      <c r="BA563" t="inlineStr">
        <is>
          <t>2267245580002656</t>
        </is>
      </c>
      <c r="BB563" t="inlineStr">
        <is>
          <t>BOOK</t>
        </is>
      </c>
      <c r="BD563" t="inlineStr">
        <is>
          <t>9780700013609</t>
        </is>
      </c>
      <c r="BE563" t="inlineStr">
        <is>
          <t>32285002026606</t>
        </is>
      </c>
      <c r="BF563" t="inlineStr">
        <is>
          <t>893870788</t>
        </is>
      </c>
    </row>
    <row r="564">
      <c r="B564" t="inlineStr">
        <is>
          <t>CURAL</t>
        </is>
      </c>
      <c r="C564" t="inlineStr">
        <is>
          <t>SHELVES</t>
        </is>
      </c>
      <c r="D564" t="inlineStr">
        <is>
          <t>QP461 .V3</t>
        </is>
      </c>
      <c r="E564" t="inlineStr">
        <is>
          <t>0                      QP 0461000V  3</t>
        </is>
      </c>
      <c r="F564" t="inlineStr">
        <is>
          <t>Waves and the ear / [by] Willem A. van Bergeijk, John R. Pierce, and Edward E. David, Jr.</t>
        </is>
      </c>
      <c r="H564" t="inlineStr">
        <is>
          <t>No</t>
        </is>
      </c>
      <c r="I564" t="inlineStr">
        <is>
          <t>2</t>
        </is>
      </c>
      <c r="J564" t="inlineStr">
        <is>
          <t>No</t>
        </is>
      </c>
      <c r="K564" t="inlineStr">
        <is>
          <t>No</t>
        </is>
      </c>
      <c r="L564" t="inlineStr">
        <is>
          <t>0</t>
        </is>
      </c>
      <c r="M564" t="inlineStr">
        <is>
          <t>Van Bergeijk, Willem André Maria, 1929-</t>
        </is>
      </c>
      <c r="N564" t="inlineStr">
        <is>
          <t>Garden City, N.Y. : Anchor Books, 1960.</t>
        </is>
      </c>
      <c r="O564" t="inlineStr">
        <is>
          <t>1960</t>
        </is>
      </c>
      <c r="P564" t="inlineStr">
        <is>
          <t>[1st ed.]</t>
        </is>
      </c>
      <c r="Q564" t="inlineStr">
        <is>
          <t>eng</t>
        </is>
      </c>
      <c r="R564" t="inlineStr">
        <is>
          <t>nyu</t>
        </is>
      </c>
      <c r="S564" t="inlineStr">
        <is>
          <t>Science study series ; S9</t>
        </is>
      </c>
      <c r="T564" t="inlineStr">
        <is>
          <t xml:space="preserve">QP </t>
        </is>
      </c>
      <c r="U564" t="n">
        <v>4</v>
      </c>
      <c r="V564" t="n">
        <v>4</v>
      </c>
      <c r="W564" t="inlineStr">
        <is>
          <t>2003-06-11</t>
        </is>
      </c>
      <c r="X564" t="inlineStr">
        <is>
          <t>2003-06-11</t>
        </is>
      </c>
      <c r="Y564" t="inlineStr">
        <is>
          <t>1995-04-11</t>
        </is>
      </c>
      <c r="Z564" t="inlineStr">
        <is>
          <t>1995-04-11</t>
        </is>
      </c>
      <c r="AA564" t="n">
        <v>821</v>
      </c>
      <c r="AB564" t="n">
        <v>740</v>
      </c>
      <c r="AC564" t="n">
        <v>770</v>
      </c>
      <c r="AD564" t="n">
        <v>10</v>
      </c>
      <c r="AE564" t="n">
        <v>10</v>
      </c>
      <c r="AF564" t="n">
        <v>28</v>
      </c>
      <c r="AG564" t="n">
        <v>28</v>
      </c>
      <c r="AH564" t="n">
        <v>11</v>
      </c>
      <c r="AI564" t="n">
        <v>11</v>
      </c>
      <c r="AJ564" t="n">
        <v>3</v>
      </c>
      <c r="AK564" t="n">
        <v>3</v>
      </c>
      <c r="AL564" t="n">
        <v>12</v>
      </c>
      <c r="AM564" t="n">
        <v>12</v>
      </c>
      <c r="AN564" t="n">
        <v>7</v>
      </c>
      <c r="AO564" t="n">
        <v>7</v>
      </c>
      <c r="AP564" t="n">
        <v>0</v>
      </c>
      <c r="AQ564" t="n">
        <v>0</v>
      </c>
      <c r="AR564" t="inlineStr">
        <is>
          <t>No</t>
        </is>
      </c>
      <c r="AS564" t="inlineStr">
        <is>
          <t>Yes</t>
        </is>
      </c>
      <c r="AT564">
        <f>HYPERLINK("http://catalog.hathitrust.org/Record/001555033","HathiTrust Record")</f>
        <v/>
      </c>
      <c r="AU564">
        <f>HYPERLINK("https://creighton-primo.hosted.exlibrisgroup.com/primo-explore/search?tab=default_tab&amp;search_scope=EVERYTHING&amp;vid=01CRU&amp;lang=en_US&amp;offset=0&amp;query=any,contains,991001331489702656","Catalog Record")</f>
        <v/>
      </c>
      <c r="AV564">
        <f>HYPERLINK("http://www.worldcat.org/oclc/221097","WorldCat Record")</f>
        <v/>
      </c>
      <c r="AW564" t="inlineStr">
        <is>
          <t>18635216:eng</t>
        </is>
      </c>
      <c r="AX564" t="inlineStr">
        <is>
          <t>221097</t>
        </is>
      </c>
      <c r="AY564" t="inlineStr">
        <is>
          <t>991001331489702656</t>
        </is>
      </c>
      <c r="AZ564" t="inlineStr">
        <is>
          <t>991001331489702656</t>
        </is>
      </c>
      <c r="BA564" t="inlineStr">
        <is>
          <t>2258269240002656</t>
        </is>
      </c>
      <c r="BB564" t="inlineStr">
        <is>
          <t>BOOK</t>
        </is>
      </c>
      <c r="BE564" t="inlineStr">
        <is>
          <t>32285002026598</t>
        </is>
      </c>
      <c r="BF564" t="inlineStr">
        <is>
          <t>893408042</t>
        </is>
      </c>
    </row>
    <row r="565">
      <c r="B565" t="inlineStr">
        <is>
          <t>CURAL</t>
        </is>
      </c>
      <c r="C565" t="inlineStr">
        <is>
          <t>SHELVES</t>
        </is>
      </c>
      <c r="D565" t="inlineStr">
        <is>
          <t>QP464 .D33 1976</t>
        </is>
      </c>
      <c r="E565" t="inlineStr">
        <is>
          <t>0                      QP 0464000D  33          1976</t>
        </is>
      </c>
      <c r="F565" t="inlineStr">
        <is>
          <t>Recognition of complex acoustic signals : report of the Dahlem Workshop on Recognition of Complex Acoustic Signals, Berlin 1976, September 27 to October 2 / Theodore H. Bullock, ed. ; rapporteurs, E. F. Evans ... [et al.].</t>
        </is>
      </c>
      <c r="H565" t="inlineStr">
        <is>
          <t>No</t>
        </is>
      </c>
      <c r="I565" t="inlineStr">
        <is>
          <t>1</t>
        </is>
      </c>
      <c r="J565" t="inlineStr">
        <is>
          <t>No</t>
        </is>
      </c>
      <c r="K565" t="inlineStr">
        <is>
          <t>No</t>
        </is>
      </c>
      <c r="L565" t="inlineStr">
        <is>
          <t>0</t>
        </is>
      </c>
      <c r="M565" t="inlineStr">
        <is>
          <t>Dahlem Workshop on Recognition of Complex Acoustic Signals (1976 : Berlin, Germany)</t>
        </is>
      </c>
      <c r="N565" t="inlineStr">
        <is>
          <t>Berlin : Abakon-Verlagsgesellschaft [in Komm.], 1977.</t>
        </is>
      </c>
      <c r="O565" t="inlineStr">
        <is>
          <t>1977</t>
        </is>
      </c>
      <c r="P565" t="inlineStr">
        <is>
          <t>1. Aufl.</t>
        </is>
      </c>
      <c r="Q565" t="inlineStr">
        <is>
          <t>eng</t>
        </is>
      </c>
      <c r="R565" t="inlineStr">
        <is>
          <t xml:space="preserve">gw </t>
        </is>
      </c>
      <c r="S565" t="inlineStr">
        <is>
          <t>Life sciences research report ; 5</t>
        </is>
      </c>
      <c r="T565" t="inlineStr">
        <is>
          <t xml:space="preserve">QP </t>
        </is>
      </c>
      <c r="U565" t="n">
        <v>5</v>
      </c>
      <c r="V565" t="n">
        <v>5</v>
      </c>
      <c r="W565" t="inlineStr">
        <is>
          <t>1995-04-12</t>
        </is>
      </c>
      <c r="X565" t="inlineStr">
        <is>
          <t>1995-04-12</t>
        </is>
      </c>
      <c r="Y565" t="inlineStr">
        <is>
          <t>1993-03-04</t>
        </is>
      </c>
      <c r="Z565" t="inlineStr">
        <is>
          <t>1993-03-04</t>
        </is>
      </c>
      <c r="AA565" t="n">
        <v>197</v>
      </c>
      <c r="AB565" t="n">
        <v>135</v>
      </c>
      <c r="AC565" t="n">
        <v>138</v>
      </c>
      <c r="AD565" t="n">
        <v>3</v>
      </c>
      <c r="AE565" t="n">
        <v>3</v>
      </c>
      <c r="AF565" t="n">
        <v>4</v>
      </c>
      <c r="AG565" t="n">
        <v>4</v>
      </c>
      <c r="AH565" t="n">
        <v>1</v>
      </c>
      <c r="AI565" t="n">
        <v>1</v>
      </c>
      <c r="AJ565" t="n">
        <v>2</v>
      </c>
      <c r="AK565" t="n">
        <v>2</v>
      </c>
      <c r="AL565" t="n">
        <v>1</v>
      </c>
      <c r="AM565" t="n">
        <v>1</v>
      </c>
      <c r="AN565" t="n">
        <v>1</v>
      </c>
      <c r="AO565" t="n">
        <v>1</v>
      </c>
      <c r="AP565" t="n">
        <v>0</v>
      </c>
      <c r="AQ565" t="n">
        <v>0</v>
      </c>
      <c r="AR565" t="inlineStr">
        <is>
          <t>No</t>
        </is>
      </c>
      <c r="AS565" t="inlineStr">
        <is>
          <t>Yes</t>
        </is>
      </c>
      <c r="AT565">
        <f>HYPERLINK("http://catalog.hathitrust.org/Record/000751899","HathiTrust Record")</f>
        <v/>
      </c>
      <c r="AU565">
        <f>HYPERLINK("https://creighton-primo.hosted.exlibrisgroup.com/primo-explore/search?tab=default_tab&amp;search_scope=EVERYTHING&amp;vid=01CRU&amp;lang=en_US&amp;offset=0&amp;query=any,contains,991004429069702656","Catalog Record")</f>
        <v/>
      </c>
      <c r="AV565">
        <f>HYPERLINK("http://www.worldcat.org/oclc/3414632","WorldCat Record")</f>
        <v/>
      </c>
      <c r="AW565" t="inlineStr">
        <is>
          <t>289418741:eng</t>
        </is>
      </c>
      <c r="AX565" t="inlineStr">
        <is>
          <t>3414632</t>
        </is>
      </c>
      <c r="AY565" t="inlineStr">
        <is>
          <t>991004429069702656</t>
        </is>
      </c>
      <c r="AZ565" t="inlineStr">
        <is>
          <t>991004429069702656</t>
        </is>
      </c>
      <c r="BA565" t="inlineStr">
        <is>
          <t>2260034580002656</t>
        </is>
      </c>
      <c r="BB565" t="inlineStr">
        <is>
          <t>BOOK</t>
        </is>
      </c>
      <c r="BD565" t="inlineStr">
        <is>
          <t>9783820012064</t>
        </is>
      </c>
      <c r="BE565" t="inlineStr">
        <is>
          <t>32285001562429</t>
        </is>
      </c>
      <c r="BF565" t="inlineStr">
        <is>
          <t>893782231</t>
        </is>
      </c>
    </row>
    <row r="566">
      <c r="B566" t="inlineStr">
        <is>
          <t>CURAL</t>
        </is>
      </c>
      <c r="C566" t="inlineStr">
        <is>
          <t>SHELVES</t>
        </is>
      </c>
      <c r="D566" t="inlineStr">
        <is>
          <t>QP469 .G7</t>
        </is>
      </c>
      <c r="E566" t="inlineStr">
        <is>
          <t>0                      QP 0469000G  7</t>
        </is>
      </c>
      <c r="F566" t="inlineStr">
        <is>
          <t>Echoes of bats and men.</t>
        </is>
      </c>
      <c r="H566" t="inlineStr">
        <is>
          <t>No</t>
        </is>
      </c>
      <c r="I566" t="inlineStr">
        <is>
          <t>1</t>
        </is>
      </c>
      <c r="J566" t="inlineStr">
        <is>
          <t>No</t>
        </is>
      </c>
      <c r="K566" t="inlineStr">
        <is>
          <t>No</t>
        </is>
      </c>
      <c r="L566" t="inlineStr">
        <is>
          <t>0</t>
        </is>
      </c>
      <c r="M566" t="inlineStr">
        <is>
          <t>Griffin, Donald R. (Donald Redfield), 1915-2003.</t>
        </is>
      </c>
      <c r="N566" t="inlineStr">
        <is>
          <t>Garden City, N.Y., Anchor Books, 1959.</t>
        </is>
      </c>
      <c r="O566" t="inlineStr">
        <is>
          <t>1959</t>
        </is>
      </c>
      <c r="P566" t="inlineStr">
        <is>
          <t>[1st ed.]</t>
        </is>
      </c>
      <c r="Q566" t="inlineStr">
        <is>
          <t>eng</t>
        </is>
      </c>
      <c r="R566" t="inlineStr">
        <is>
          <t>nyu</t>
        </is>
      </c>
      <c r="S566" t="inlineStr">
        <is>
          <t>Science study series ; S4</t>
        </is>
      </c>
      <c r="T566" t="inlineStr">
        <is>
          <t xml:space="preserve">QP </t>
        </is>
      </c>
      <c r="U566" t="n">
        <v>5</v>
      </c>
      <c r="V566" t="n">
        <v>5</v>
      </c>
      <c r="W566" t="inlineStr">
        <is>
          <t>2007-02-17</t>
        </is>
      </c>
      <c r="X566" t="inlineStr">
        <is>
          <t>2007-02-17</t>
        </is>
      </c>
      <c r="Y566" t="inlineStr">
        <is>
          <t>1997-08-06</t>
        </is>
      </c>
      <c r="Z566" t="inlineStr">
        <is>
          <t>1997-08-06</t>
        </is>
      </c>
      <c r="AA566" t="n">
        <v>855</v>
      </c>
      <c r="AB566" t="n">
        <v>792</v>
      </c>
      <c r="AC566" t="n">
        <v>832</v>
      </c>
      <c r="AD566" t="n">
        <v>7</v>
      </c>
      <c r="AE566" t="n">
        <v>7</v>
      </c>
      <c r="AF566" t="n">
        <v>27</v>
      </c>
      <c r="AG566" t="n">
        <v>27</v>
      </c>
      <c r="AH566" t="n">
        <v>11</v>
      </c>
      <c r="AI566" t="n">
        <v>11</v>
      </c>
      <c r="AJ566" t="n">
        <v>3</v>
      </c>
      <c r="AK566" t="n">
        <v>3</v>
      </c>
      <c r="AL566" t="n">
        <v>12</v>
      </c>
      <c r="AM566" t="n">
        <v>12</v>
      </c>
      <c r="AN566" t="n">
        <v>6</v>
      </c>
      <c r="AO566" t="n">
        <v>6</v>
      </c>
      <c r="AP566" t="n">
        <v>0</v>
      </c>
      <c r="AQ566" t="n">
        <v>0</v>
      </c>
      <c r="AR566" t="inlineStr">
        <is>
          <t>No</t>
        </is>
      </c>
      <c r="AS566" t="inlineStr">
        <is>
          <t>No</t>
        </is>
      </c>
      <c r="AT566">
        <f>HYPERLINK("http://catalog.hathitrust.org/Record/001555045","HathiTrust Record")</f>
        <v/>
      </c>
      <c r="AU566">
        <f>HYPERLINK("https://creighton-primo.hosted.exlibrisgroup.com/primo-explore/search?tab=default_tab&amp;search_scope=EVERYTHING&amp;vid=01CRU&amp;lang=en_US&amp;offset=0&amp;query=any,contains,991002991629702656","Catalog Record")</f>
        <v/>
      </c>
      <c r="AV566">
        <f>HYPERLINK("http://www.worldcat.org/oclc/561052","WorldCat Record")</f>
        <v/>
      </c>
      <c r="AW566" t="inlineStr">
        <is>
          <t>422777387:eng</t>
        </is>
      </c>
      <c r="AX566" t="inlineStr">
        <is>
          <t>561052</t>
        </is>
      </c>
      <c r="AY566" t="inlineStr">
        <is>
          <t>991002991629702656</t>
        </is>
      </c>
      <c r="AZ566" t="inlineStr">
        <is>
          <t>991002991629702656</t>
        </is>
      </c>
      <c r="BA566" t="inlineStr">
        <is>
          <t>2255257480002656</t>
        </is>
      </c>
      <c r="BB566" t="inlineStr">
        <is>
          <t>BOOK</t>
        </is>
      </c>
      <c r="BE566" t="inlineStr">
        <is>
          <t>32285003080131</t>
        </is>
      </c>
      <c r="BF566" t="inlineStr">
        <is>
          <t>893893261</t>
        </is>
      </c>
    </row>
    <row r="567">
      <c r="B567" t="inlineStr">
        <is>
          <t>CURAL</t>
        </is>
      </c>
      <c r="C567" t="inlineStr">
        <is>
          <t>SHELVES</t>
        </is>
      </c>
      <c r="D567" t="inlineStr">
        <is>
          <t>QP469 .I57 1979</t>
        </is>
      </c>
      <c r="E567" t="inlineStr">
        <is>
          <t>0                      QP 0469000I  57          1979</t>
        </is>
      </c>
      <c r="F567" t="inlineStr">
        <is>
          <t>Animal sonar systems : [proceedings of the Second International Interdisciplinary Symposium on Animal Sonar Systems, held in Jersey, Channel Islands, April 1-8, 1979] / edited by René-Guy Busnel and James F. Fish.</t>
        </is>
      </c>
      <c r="H567" t="inlineStr">
        <is>
          <t>No</t>
        </is>
      </c>
      <c r="I567" t="inlineStr">
        <is>
          <t>1</t>
        </is>
      </c>
      <c r="J567" t="inlineStr">
        <is>
          <t>No</t>
        </is>
      </c>
      <c r="K567" t="inlineStr">
        <is>
          <t>No</t>
        </is>
      </c>
      <c r="L567" t="inlineStr">
        <is>
          <t>0</t>
        </is>
      </c>
      <c r="M567" t="inlineStr">
        <is>
          <t>International Interdisciplinary Symposium on Animal Sonar Systems (2nd : 1979 : Jersey)</t>
        </is>
      </c>
      <c r="N567" t="inlineStr">
        <is>
          <t>New York : Plenum Press, c1980.</t>
        </is>
      </c>
      <c r="O567" t="inlineStr">
        <is>
          <t>1980</t>
        </is>
      </c>
      <c r="Q567" t="inlineStr">
        <is>
          <t>eng</t>
        </is>
      </c>
      <c r="R567" t="inlineStr">
        <is>
          <t>nyu</t>
        </is>
      </c>
      <c r="S567" t="inlineStr">
        <is>
          <t>NATO advanced study institutes series. Series A, Life sciences ; v. 28</t>
        </is>
      </c>
      <c r="T567" t="inlineStr">
        <is>
          <t xml:space="preserve">QP </t>
        </is>
      </c>
      <c r="U567" t="n">
        <v>6</v>
      </c>
      <c r="V567" t="n">
        <v>6</v>
      </c>
      <c r="W567" t="inlineStr">
        <is>
          <t>2007-02-17</t>
        </is>
      </c>
      <c r="X567" t="inlineStr">
        <is>
          <t>2007-02-17</t>
        </is>
      </c>
      <c r="Y567" t="inlineStr">
        <is>
          <t>1993-03-04</t>
        </is>
      </c>
      <c r="Z567" t="inlineStr">
        <is>
          <t>1993-03-04</t>
        </is>
      </c>
      <c r="AA567" t="n">
        <v>308</v>
      </c>
      <c r="AB567" t="n">
        <v>208</v>
      </c>
      <c r="AC567" t="n">
        <v>224</v>
      </c>
      <c r="AD567" t="n">
        <v>3</v>
      </c>
      <c r="AE567" t="n">
        <v>3</v>
      </c>
      <c r="AF567" t="n">
        <v>3</v>
      </c>
      <c r="AG567" t="n">
        <v>4</v>
      </c>
      <c r="AH567" t="n">
        <v>0</v>
      </c>
      <c r="AI567" t="n">
        <v>1</v>
      </c>
      <c r="AJ567" t="n">
        <v>0</v>
      </c>
      <c r="AK567" t="n">
        <v>0</v>
      </c>
      <c r="AL567" t="n">
        <v>2</v>
      </c>
      <c r="AM567" t="n">
        <v>3</v>
      </c>
      <c r="AN567" t="n">
        <v>1</v>
      </c>
      <c r="AO567" t="n">
        <v>1</v>
      </c>
      <c r="AP567" t="n">
        <v>0</v>
      </c>
      <c r="AQ567" t="n">
        <v>0</v>
      </c>
      <c r="AR567" t="inlineStr">
        <is>
          <t>No</t>
        </is>
      </c>
      <c r="AS567" t="inlineStr">
        <is>
          <t>Yes</t>
        </is>
      </c>
      <c r="AT567">
        <f>HYPERLINK("http://catalog.hathitrust.org/Record/000714454","HathiTrust Record")</f>
        <v/>
      </c>
      <c r="AU567">
        <f>HYPERLINK("https://creighton-primo.hosted.exlibrisgroup.com/primo-explore/search?tab=default_tab&amp;search_scope=EVERYTHING&amp;vid=01CRU&amp;lang=en_US&amp;offset=0&amp;query=any,contains,991004846869702656","Catalog Record")</f>
        <v/>
      </c>
      <c r="AV567">
        <f>HYPERLINK("http://www.worldcat.org/oclc/5564956","WorldCat Record")</f>
        <v/>
      </c>
      <c r="AW567" t="inlineStr">
        <is>
          <t>471549794:eng</t>
        </is>
      </c>
      <c r="AX567" t="inlineStr">
        <is>
          <t>5564956</t>
        </is>
      </c>
      <c r="AY567" t="inlineStr">
        <is>
          <t>991004846869702656</t>
        </is>
      </c>
      <c r="AZ567" t="inlineStr">
        <is>
          <t>991004846869702656</t>
        </is>
      </c>
      <c r="BA567" t="inlineStr">
        <is>
          <t>2268745630002656</t>
        </is>
      </c>
      <c r="BB567" t="inlineStr">
        <is>
          <t>BOOK</t>
        </is>
      </c>
      <c r="BD567" t="inlineStr">
        <is>
          <t>9780306403279</t>
        </is>
      </c>
      <c r="BE567" t="inlineStr">
        <is>
          <t>32285001562445</t>
        </is>
      </c>
      <c r="BF567" t="inlineStr">
        <is>
          <t>893350439</t>
        </is>
      </c>
    </row>
    <row r="568">
      <c r="B568" t="inlineStr">
        <is>
          <t>CURAL</t>
        </is>
      </c>
      <c r="C568" t="inlineStr">
        <is>
          <t>SHELVES</t>
        </is>
      </c>
      <c r="D568" t="inlineStr">
        <is>
          <t>QP474 .N46</t>
        </is>
      </c>
      <c r="E568" t="inlineStr">
        <is>
          <t>0                      QP 0474000N  46</t>
        </is>
      </c>
      <c r="F568" t="inlineStr">
        <is>
          <t>Neural mechanisms of behavior in the pigeon / edited by A. M. Granda and J. H. Maxwell.</t>
        </is>
      </c>
      <c r="H568" t="inlineStr">
        <is>
          <t>No</t>
        </is>
      </c>
      <c r="I568" t="inlineStr">
        <is>
          <t>1</t>
        </is>
      </c>
      <c r="J568" t="inlineStr">
        <is>
          <t>No</t>
        </is>
      </c>
      <c r="K568" t="inlineStr">
        <is>
          <t>No</t>
        </is>
      </c>
      <c r="L568" t="inlineStr">
        <is>
          <t>0</t>
        </is>
      </c>
      <c r="N568" t="inlineStr">
        <is>
          <t>New York : Plenum Press, c1979.</t>
        </is>
      </c>
      <c r="O568" t="inlineStr">
        <is>
          <t>1979</t>
        </is>
      </c>
      <c r="Q568" t="inlineStr">
        <is>
          <t>eng</t>
        </is>
      </c>
      <c r="R568" t="inlineStr">
        <is>
          <t>nyu</t>
        </is>
      </c>
      <c r="T568" t="inlineStr">
        <is>
          <t xml:space="preserve">QP </t>
        </is>
      </c>
      <c r="U568" t="n">
        <v>5</v>
      </c>
      <c r="V568" t="n">
        <v>5</v>
      </c>
      <c r="W568" t="inlineStr">
        <is>
          <t>2000-11-21</t>
        </is>
      </c>
      <c r="X568" t="inlineStr">
        <is>
          <t>2000-11-21</t>
        </is>
      </c>
      <c r="Y568" t="inlineStr">
        <is>
          <t>1993-03-04</t>
        </is>
      </c>
      <c r="Z568" t="inlineStr">
        <is>
          <t>1993-03-04</t>
        </is>
      </c>
      <c r="AA568" t="n">
        <v>241</v>
      </c>
      <c r="AB568" t="n">
        <v>176</v>
      </c>
      <c r="AC568" t="n">
        <v>181</v>
      </c>
      <c r="AD568" t="n">
        <v>3</v>
      </c>
      <c r="AE568" t="n">
        <v>3</v>
      </c>
      <c r="AF568" t="n">
        <v>5</v>
      </c>
      <c r="AG568" t="n">
        <v>5</v>
      </c>
      <c r="AH568" t="n">
        <v>1</v>
      </c>
      <c r="AI568" t="n">
        <v>1</v>
      </c>
      <c r="AJ568" t="n">
        <v>1</v>
      </c>
      <c r="AK568" t="n">
        <v>1</v>
      </c>
      <c r="AL568" t="n">
        <v>1</v>
      </c>
      <c r="AM568" t="n">
        <v>1</v>
      </c>
      <c r="AN568" t="n">
        <v>2</v>
      </c>
      <c r="AO568" t="n">
        <v>2</v>
      </c>
      <c r="AP568" t="n">
        <v>0</v>
      </c>
      <c r="AQ568" t="n">
        <v>0</v>
      </c>
      <c r="AR568" t="inlineStr">
        <is>
          <t>No</t>
        </is>
      </c>
      <c r="AS568" t="inlineStr">
        <is>
          <t>No</t>
        </is>
      </c>
      <c r="AU568">
        <f>HYPERLINK("https://creighton-primo.hosted.exlibrisgroup.com/primo-explore/search?tab=default_tab&amp;search_scope=EVERYTHING&amp;vid=01CRU&amp;lang=en_US&amp;offset=0&amp;query=any,contains,991004666209702656","Catalog Record")</f>
        <v/>
      </c>
      <c r="AV568">
        <f>HYPERLINK("http://www.worldcat.org/oclc/4504156","WorldCat Record")</f>
        <v/>
      </c>
      <c r="AW568" t="inlineStr">
        <is>
          <t>353766344:eng</t>
        </is>
      </c>
      <c r="AX568" t="inlineStr">
        <is>
          <t>4504156</t>
        </is>
      </c>
      <c r="AY568" t="inlineStr">
        <is>
          <t>991004666209702656</t>
        </is>
      </c>
      <c r="AZ568" t="inlineStr">
        <is>
          <t>991004666209702656</t>
        </is>
      </c>
      <c r="BA568" t="inlineStr">
        <is>
          <t>2264920570002656</t>
        </is>
      </c>
      <c r="BB568" t="inlineStr">
        <is>
          <t>BOOK</t>
        </is>
      </c>
      <c r="BD568" t="inlineStr">
        <is>
          <t>9780306400964</t>
        </is>
      </c>
      <c r="BE568" t="inlineStr">
        <is>
          <t>32285001562452</t>
        </is>
      </c>
      <c r="BF568" t="inlineStr">
        <is>
          <t>893869959</t>
        </is>
      </c>
    </row>
    <row r="569">
      <c r="B569" t="inlineStr">
        <is>
          <t>CURAL</t>
        </is>
      </c>
      <c r="C569" t="inlineStr">
        <is>
          <t>SHELVES</t>
        </is>
      </c>
      <c r="D569" t="inlineStr">
        <is>
          <t>QP475 .A8</t>
        </is>
      </c>
      <c r="E569" t="inlineStr">
        <is>
          <t>0                      QP 0475000A  8</t>
        </is>
      </c>
      <c r="F569" t="inlineStr">
        <is>
          <t>Experiments in seeing / illustrated by C. Phillipson.</t>
        </is>
      </c>
      <c r="H569" t="inlineStr">
        <is>
          <t>No</t>
        </is>
      </c>
      <c r="I569" t="inlineStr">
        <is>
          <t>1</t>
        </is>
      </c>
      <c r="J569" t="inlineStr">
        <is>
          <t>No</t>
        </is>
      </c>
      <c r="K569" t="inlineStr">
        <is>
          <t>No</t>
        </is>
      </c>
      <c r="L569" t="inlineStr">
        <is>
          <t>0</t>
        </is>
      </c>
      <c r="M569" t="inlineStr">
        <is>
          <t>Asher, Harry.</t>
        </is>
      </c>
      <c r="N569" t="inlineStr">
        <is>
          <t>New York : Basic Books, [1963, c1961]</t>
        </is>
      </c>
      <c r="O569" t="inlineStr">
        <is>
          <t>1963</t>
        </is>
      </c>
      <c r="Q569" t="inlineStr">
        <is>
          <t>eng</t>
        </is>
      </c>
      <c r="R569" t="inlineStr">
        <is>
          <t>nyu</t>
        </is>
      </c>
      <c r="S569" t="inlineStr">
        <is>
          <t>Science and discovery</t>
        </is>
      </c>
      <c r="T569" t="inlineStr">
        <is>
          <t xml:space="preserve">QP </t>
        </is>
      </c>
      <c r="U569" t="n">
        <v>9</v>
      </c>
      <c r="V569" t="n">
        <v>9</v>
      </c>
      <c r="W569" t="inlineStr">
        <is>
          <t>1998-08-31</t>
        </is>
      </c>
      <c r="X569" t="inlineStr">
        <is>
          <t>1998-08-31</t>
        </is>
      </c>
      <c r="Y569" t="inlineStr">
        <is>
          <t>1992-12-22</t>
        </is>
      </c>
      <c r="Z569" t="inlineStr">
        <is>
          <t>1992-12-22</t>
        </is>
      </c>
      <c r="AA569" t="n">
        <v>198</v>
      </c>
      <c r="AB569" t="n">
        <v>186</v>
      </c>
      <c r="AC569" t="n">
        <v>248</v>
      </c>
      <c r="AD569" t="n">
        <v>1</v>
      </c>
      <c r="AE569" t="n">
        <v>1</v>
      </c>
      <c r="AF569" t="n">
        <v>5</v>
      </c>
      <c r="AG569" t="n">
        <v>6</v>
      </c>
      <c r="AH569" t="n">
        <v>2</v>
      </c>
      <c r="AI569" t="n">
        <v>3</v>
      </c>
      <c r="AJ569" t="n">
        <v>0</v>
      </c>
      <c r="AK569" t="n">
        <v>0</v>
      </c>
      <c r="AL569" t="n">
        <v>4</v>
      </c>
      <c r="AM569" t="n">
        <v>4</v>
      </c>
      <c r="AN569" t="n">
        <v>0</v>
      </c>
      <c r="AO569" t="n">
        <v>0</v>
      </c>
      <c r="AP569" t="n">
        <v>0</v>
      </c>
      <c r="AQ569" t="n">
        <v>0</v>
      </c>
      <c r="AR569" t="inlineStr">
        <is>
          <t>No</t>
        </is>
      </c>
      <c r="AS569" t="inlineStr">
        <is>
          <t>No</t>
        </is>
      </c>
      <c r="AT569">
        <f>HYPERLINK("http://catalog.hathitrust.org/Record/102055795","HathiTrust Record")</f>
        <v/>
      </c>
      <c r="AU569">
        <f>HYPERLINK("https://creighton-primo.hosted.exlibrisgroup.com/primo-explore/search?tab=default_tab&amp;search_scope=EVERYTHING&amp;vid=01CRU&amp;lang=en_US&amp;offset=0&amp;query=any,contains,991003664179702656","Catalog Record")</f>
        <v/>
      </c>
      <c r="AV569">
        <f>HYPERLINK("http://www.worldcat.org/oclc/1276733","WorldCat Record")</f>
        <v/>
      </c>
      <c r="AW569" t="inlineStr">
        <is>
          <t>2205666:eng</t>
        </is>
      </c>
      <c r="AX569" t="inlineStr">
        <is>
          <t>1276733</t>
        </is>
      </c>
      <c r="AY569" t="inlineStr">
        <is>
          <t>991003664179702656</t>
        </is>
      </c>
      <c r="AZ569" t="inlineStr">
        <is>
          <t>991003664179702656</t>
        </is>
      </c>
      <c r="BA569" t="inlineStr">
        <is>
          <t>2259927030002656</t>
        </is>
      </c>
      <c r="BB569" t="inlineStr">
        <is>
          <t>BOOK</t>
        </is>
      </c>
      <c r="BE569" t="inlineStr">
        <is>
          <t>32285001470185</t>
        </is>
      </c>
      <c r="BF569" t="inlineStr">
        <is>
          <t>893258686</t>
        </is>
      </c>
    </row>
    <row r="570">
      <c r="B570" t="inlineStr">
        <is>
          <t>CURAL</t>
        </is>
      </c>
      <c r="C570" t="inlineStr">
        <is>
          <t>SHELVES</t>
        </is>
      </c>
      <c r="D570" t="inlineStr">
        <is>
          <t>QP475 .B43</t>
        </is>
      </c>
      <c r="E570" t="inlineStr">
        <is>
          <t>0                      QP 0475000B  43</t>
        </is>
      </c>
      <c r="F570" t="inlineStr">
        <is>
          <t>Seeing and the eye : an introduction to vision / [by] G. Hugh Begbie.</t>
        </is>
      </c>
      <c r="H570" t="inlineStr">
        <is>
          <t>No</t>
        </is>
      </c>
      <c r="I570" t="inlineStr">
        <is>
          <t>1</t>
        </is>
      </c>
      <c r="J570" t="inlineStr">
        <is>
          <t>No</t>
        </is>
      </c>
      <c r="K570" t="inlineStr">
        <is>
          <t>No</t>
        </is>
      </c>
      <c r="L570" t="inlineStr">
        <is>
          <t>0</t>
        </is>
      </c>
      <c r="M570" t="inlineStr">
        <is>
          <t>Begbie, G. Hugh.</t>
        </is>
      </c>
      <c r="N570" t="inlineStr">
        <is>
          <t>Garden City, N.Y. : Published for the American Museum of Natural History [by] the Natural History Press, 1969.</t>
        </is>
      </c>
      <c r="O570" t="inlineStr">
        <is>
          <t>1969</t>
        </is>
      </c>
      <c r="P570" t="inlineStr">
        <is>
          <t>[1st ed.]</t>
        </is>
      </c>
      <c r="Q570" t="inlineStr">
        <is>
          <t>eng</t>
        </is>
      </c>
      <c r="R570" t="inlineStr">
        <is>
          <t>nyu</t>
        </is>
      </c>
      <c r="T570" t="inlineStr">
        <is>
          <t xml:space="preserve">QP </t>
        </is>
      </c>
      <c r="U570" t="n">
        <v>12</v>
      </c>
      <c r="V570" t="n">
        <v>12</v>
      </c>
      <c r="W570" t="inlineStr">
        <is>
          <t>2002-10-05</t>
        </is>
      </c>
      <c r="X570" t="inlineStr">
        <is>
          <t>2002-10-05</t>
        </is>
      </c>
      <c r="Y570" t="inlineStr">
        <is>
          <t>1995-05-01</t>
        </is>
      </c>
      <c r="Z570" t="inlineStr">
        <is>
          <t>1995-05-01</t>
        </is>
      </c>
      <c r="AA570" t="n">
        <v>438</v>
      </c>
      <c r="AB570" t="n">
        <v>403</v>
      </c>
      <c r="AC570" t="n">
        <v>455</v>
      </c>
      <c r="AD570" t="n">
        <v>3</v>
      </c>
      <c r="AE570" t="n">
        <v>3</v>
      </c>
      <c r="AF570" t="n">
        <v>10</v>
      </c>
      <c r="AG570" t="n">
        <v>12</v>
      </c>
      <c r="AH570" t="n">
        <v>3</v>
      </c>
      <c r="AI570" t="n">
        <v>4</v>
      </c>
      <c r="AJ570" t="n">
        <v>3</v>
      </c>
      <c r="AK570" t="n">
        <v>3</v>
      </c>
      <c r="AL570" t="n">
        <v>5</v>
      </c>
      <c r="AM570" t="n">
        <v>6</v>
      </c>
      <c r="AN570" t="n">
        <v>2</v>
      </c>
      <c r="AO570" t="n">
        <v>2</v>
      </c>
      <c r="AP570" t="n">
        <v>0</v>
      </c>
      <c r="AQ570" t="n">
        <v>0</v>
      </c>
      <c r="AR570" t="inlineStr">
        <is>
          <t>No</t>
        </is>
      </c>
      <c r="AS570" t="inlineStr">
        <is>
          <t>Yes</t>
        </is>
      </c>
      <c r="AT570">
        <f>HYPERLINK("http://catalog.hathitrust.org/Record/001555054","HathiTrust Record")</f>
        <v/>
      </c>
      <c r="AU570">
        <f>HYPERLINK("https://creighton-primo.hosted.exlibrisgroup.com/primo-explore/search?tab=default_tab&amp;search_scope=EVERYTHING&amp;vid=01CRU&amp;lang=en_US&amp;offset=0&amp;query=any,contains,991000003729702656","Catalog Record")</f>
        <v/>
      </c>
      <c r="AV570">
        <f>HYPERLINK("http://www.worldcat.org/oclc/12310","WorldCat Record")</f>
        <v/>
      </c>
      <c r="AW570" t="inlineStr">
        <is>
          <t>1135251:eng</t>
        </is>
      </c>
      <c r="AX570" t="inlineStr">
        <is>
          <t>12310</t>
        </is>
      </c>
      <c r="AY570" t="inlineStr">
        <is>
          <t>991000003729702656</t>
        </is>
      </c>
      <c r="AZ570" t="inlineStr">
        <is>
          <t>991000003729702656</t>
        </is>
      </c>
      <c r="BA570" t="inlineStr">
        <is>
          <t>2264984250002656</t>
        </is>
      </c>
      <c r="BB570" t="inlineStr">
        <is>
          <t>BOOK</t>
        </is>
      </c>
      <c r="BE570" t="inlineStr">
        <is>
          <t>32285002021268</t>
        </is>
      </c>
      <c r="BF570" t="inlineStr">
        <is>
          <t>893242889</t>
        </is>
      </c>
    </row>
    <row r="571">
      <c r="B571" t="inlineStr">
        <is>
          <t>CURAL</t>
        </is>
      </c>
      <c r="C571" t="inlineStr">
        <is>
          <t>SHELVES</t>
        </is>
      </c>
      <c r="D571" t="inlineStr">
        <is>
          <t>QP475 .C33 1981</t>
        </is>
      </c>
      <c r="E571" t="inlineStr">
        <is>
          <t>0                      QP 0475000C  33          1981</t>
        </is>
      </c>
      <c r="F571" t="inlineStr">
        <is>
          <t>Visual perception : theory and practice / Terry Caelli.</t>
        </is>
      </c>
      <c r="H571" t="inlineStr">
        <is>
          <t>No</t>
        </is>
      </c>
      <c r="I571" t="inlineStr">
        <is>
          <t>1</t>
        </is>
      </c>
      <c r="J571" t="inlineStr">
        <is>
          <t>No</t>
        </is>
      </c>
      <c r="K571" t="inlineStr">
        <is>
          <t>No</t>
        </is>
      </c>
      <c r="L571" t="inlineStr">
        <is>
          <t>0</t>
        </is>
      </c>
      <c r="M571" t="inlineStr">
        <is>
          <t>Caelli, Terry.</t>
        </is>
      </c>
      <c r="N571" t="inlineStr">
        <is>
          <t>Oxford, Eng. ; New York : Pergamon, 1981.</t>
        </is>
      </c>
      <c r="O571" t="inlineStr">
        <is>
          <t>1981</t>
        </is>
      </c>
      <c r="Q571" t="inlineStr">
        <is>
          <t>eng</t>
        </is>
      </c>
      <c r="R571" t="inlineStr">
        <is>
          <t>enk</t>
        </is>
      </c>
      <c r="S571" t="inlineStr">
        <is>
          <t>Pergamon international library of science, technology, engineering, and social studies</t>
        </is>
      </c>
      <c r="T571" t="inlineStr">
        <is>
          <t xml:space="preserve">QP </t>
        </is>
      </c>
      <c r="U571" t="n">
        <v>10</v>
      </c>
      <c r="V571" t="n">
        <v>10</v>
      </c>
      <c r="W571" t="inlineStr">
        <is>
          <t>1996-11-13</t>
        </is>
      </c>
      <c r="X571" t="inlineStr">
        <is>
          <t>1996-11-13</t>
        </is>
      </c>
      <c r="Y571" t="inlineStr">
        <is>
          <t>1992-03-17</t>
        </is>
      </c>
      <c r="Z571" t="inlineStr">
        <is>
          <t>1992-03-17</t>
        </is>
      </c>
      <c r="AA571" t="n">
        <v>321</v>
      </c>
      <c r="AB571" t="n">
        <v>215</v>
      </c>
      <c r="AC571" t="n">
        <v>253</v>
      </c>
      <c r="AD571" t="n">
        <v>2</v>
      </c>
      <c r="AE571" t="n">
        <v>3</v>
      </c>
      <c r="AF571" t="n">
        <v>6</v>
      </c>
      <c r="AG571" t="n">
        <v>10</v>
      </c>
      <c r="AH571" t="n">
        <v>1</v>
      </c>
      <c r="AI571" t="n">
        <v>3</v>
      </c>
      <c r="AJ571" t="n">
        <v>2</v>
      </c>
      <c r="AK571" t="n">
        <v>4</v>
      </c>
      <c r="AL571" t="n">
        <v>5</v>
      </c>
      <c r="AM571" t="n">
        <v>5</v>
      </c>
      <c r="AN571" t="n">
        <v>1</v>
      </c>
      <c r="AO571" t="n">
        <v>2</v>
      </c>
      <c r="AP571" t="n">
        <v>0</v>
      </c>
      <c r="AQ571" t="n">
        <v>0</v>
      </c>
      <c r="AR571" t="inlineStr">
        <is>
          <t>No</t>
        </is>
      </c>
      <c r="AS571" t="inlineStr">
        <is>
          <t>Yes</t>
        </is>
      </c>
      <c r="AT571">
        <f>HYPERLINK("http://catalog.hathitrust.org/Record/000097906","HathiTrust Record")</f>
        <v/>
      </c>
      <c r="AU571">
        <f>HYPERLINK("https://creighton-primo.hosted.exlibrisgroup.com/primo-explore/search?tab=default_tab&amp;search_scope=EVERYTHING&amp;vid=01CRU&amp;lang=en_US&amp;offset=0&amp;query=any,contains,991004970589702656","Catalog Record")</f>
        <v/>
      </c>
      <c r="AV571">
        <f>HYPERLINK("http://www.worldcat.org/oclc/6357478","WorldCat Record")</f>
        <v/>
      </c>
      <c r="AW571" t="inlineStr">
        <is>
          <t>407507:eng</t>
        </is>
      </c>
      <c r="AX571" t="inlineStr">
        <is>
          <t>6357478</t>
        </is>
      </c>
      <c r="AY571" t="inlineStr">
        <is>
          <t>991004970589702656</t>
        </is>
      </c>
      <c r="AZ571" t="inlineStr">
        <is>
          <t>991004970589702656</t>
        </is>
      </c>
      <c r="BA571" t="inlineStr">
        <is>
          <t>2256130230002656</t>
        </is>
      </c>
      <c r="BB571" t="inlineStr">
        <is>
          <t>BOOK</t>
        </is>
      </c>
      <c r="BD571" t="inlineStr">
        <is>
          <t>9780080244198</t>
        </is>
      </c>
      <c r="BE571" t="inlineStr">
        <is>
          <t>32285001022507</t>
        </is>
      </c>
      <c r="BF571" t="inlineStr">
        <is>
          <t>893236116</t>
        </is>
      </c>
    </row>
    <row r="572">
      <c r="B572" t="inlineStr">
        <is>
          <t>CURAL</t>
        </is>
      </c>
      <c r="C572" t="inlineStr">
        <is>
          <t>SHELVES</t>
        </is>
      </c>
      <c r="D572" t="inlineStr">
        <is>
          <t>QP475 .D3 1972</t>
        </is>
      </c>
      <c r="E572" t="inlineStr">
        <is>
          <t>0                      QP 0475000D  3           1972</t>
        </is>
      </c>
      <c r="F572" t="inlineStr">
        <is>
          <t>The physiology of the eye.</t>
        </is>
      </c>
      <c r="H572" t="inlineStr">
        <is>
          <t>No</t>
        </is>
      </c>
      <c r="I572" t="inlineStr">
        <is>
          <t>1</t>
        </is>
      </c>
      <c r="J572" t="inlineStr">
        <is>
          <t>No</t>
        </is>
      </c>
      <c r="K572" t="inlineStr">
        <is>
          <t>No</t>
        </is>
      </c>
      <c r="L572" t="inlineStr">
        <is>
          <t>0</t>
        </is>
      </c>
      <c r="M572" t="inlineStr">
        <is>
          <t>Davson, Hugh, 1909-1996.</t>
        </is>
      </c>
      <c r="N572" t="inlineStr">
        <is>
          <t>New York, Academic Press [1972]</t>
        </is>
      </c>
      <c r="O572" t="inlineStr">
        <is>
          <t>1972</t>
        </is>
      </c>
      <c r="P572" t="inlineStr">
        <is>
          <t>3d ed.</t>
        </is>
      </c>
      <c r="Q572" t="inlineStr">
        <is>
          <t>eng</t>
        </is>
      </c>
      <c r="R572" t="inlineStr">
        <is>
          <t>nyu</t>
        </is>
      </c>
      <c r="T572" t="inlineStr">
        <is>
          <t xml:space="preserve">QP </t>
        </is>
      </c>
      <c r="U572" t="n">
        <v>13</v>
      </c>
      <c r="V572" t="n">
        <v>13</v>
      </c>
      <c r="W572" t="inlineStr">
        <is>
          <t>2007-07-23</t>
        </is>
      </c>
      <c r="X572" t="inlineStr">
        <is>
          <t>2007-07-23</t>
        </is>
      </c>
      <c r="Y572" t="inlineStr">
        <is>
          <t>1992-12-07</t>
        </is>
      </c>
      <c r="Z572" t="inlineStr">
        <is>
          <t>1992-12-07</t>
        </is>
      </c>
      <c r="AA572" t="n">
        <v>227</v>
      </c>
      <c r="AB572" t="n">
        <v>210</v>
      </c>
      <c r="AC572" t="n">
        <v>480</v>
      </c>
      <c r="AD572" t="n">
        <v>3</v>
      </c>
      <c r="AE572" t="n">
        <v>5</v>
      </c>
      <c r="AF572" t="n">
        <v>5</v>
      </c>
      <c r="AG572" t="n">
        <v>17</v>
      </c>
      <c r="AH572" t="n">
        <v>1</v>
      </c>
      <c r="AI572" t="n">
        <v>5</v>
      </c>
      <c r="AJ572" t="n">
        <v>1</v>
      </c>
      <c r="AK572" t="n">
        <v>6</v>
      </c>
      <c r="AL572" t="n">
        <v>2</v>
      </c>
      <c r="AM572" t="n">
        <v>8</v>
      </c>
      <c r="AN572" t="n">
        <v>1</v>
      </c>
      <c r="AO572" t="n">
        <v>3</v>
      </c>
      <c r="AP572" t="n">
        <v>0</v>
      </c>
      <c r="AQ572" t="n">
        <v>0</v>
      </c>
      <c r="AR572" t="inlineStr">
        <is>
          <t>No</t>
        </is>
      </c>
      <c r="AS572" t="inlineStr">
        <is>
          <t>Yes</t>
        </is>
      </c>
      <c r="AT572">
        <f>HYPERLINK("http://catalog.hathitrust.org/Record/000004758","HathiTrust Record")</f>
        <v/>
      </c>
      <c r="AU572">
        <f>HYPERLINK("https://creighton-primo.hosted.exlibrisgroup.com/primo-explore/search?tab=default_tab&amp;search_scope=EVERYTHING&amp;vid=01CRU&amp;lang=en_US&amp;offset=0&amp;query=any,contains,991005257709702656","Catalog Record")</f>
        <v/>
      </c>
      <c r="AV572">
        <f>HYPERLINK("http://www.worldcat.org/oclc/329558","WorldCat Record")</f>
        <v/>
      </c>
      <c r="AW572" t="inlineStr">
        <is>
          <t>153207282:eng</t>
        </is>
      </c>
      <c r="AX572" t="inlineStr">
        <is>
          <t>329558</t>
        </is>
      </c>
      <c r="AY572" t="inlineStr">
        <is>
          <t>991005257709702656</t>
        </is>
      </c>
      <c r="AZ572" t="inlineStr">
        <is>
          <t>991005257709702656</t>
        </is>
      </c>
      <c r="BA572" t="inlineStr">
        <is>
          <t>2267465570002656</t>
        </is>
      </c>
      <c r="BB572" t="inlineStr">
        <is>
          <t>BOOK</t>
        </is>
      </c>
      <c r="BD572" t="inlineStr">
        <is>
          <t>9780122067402</t>
        </is>
      </c>
      <c r="BE572" t="inlineStr">
        <is>
          <t>32285001439966</t>
        </is>
      </c>
      <c r="BF572" t="inlineStr">
        <is>
          <t>893254726</t>
        </is>
      </c>
    </row>
    <row r="573">
      <c r="B573" t="inlineStr">
        <is>
          <t>CURAL</t>
        </is>
      </c>
      <c r="C573" t="inlineStr">
        <is>
          <t>SHELVES</t>
        </is>
      </c>
      <c r="D573" t="inlineStr">
        <is>
          <t>QP475 .E92</t>
        </is>
      </c>
      <c r="E573" t="inlineStr">
        <is>
          <t>0                      QP 0475000E  92</t>
        </is>
      </c>
      <c r="F573" t="inlineStr">
        <is>
          <t>The Eye / edited by Hugh Davson.</t>
        </is>
      </c>
      <c r="H573" t="inlineStr">
        <is>
          <t>No</t>
        </is>
      </c>
      <c r="I573" t="inlineStr">
        <is>
          <t>1</t>
        </is>
      </c>
      <c r="J573" t="inlineStr">
        <is>
          <t>Yes</t>
        </is>
      </c>
      <c r="K573" t="inlineStr">
        <is>
          <t>No</t>
        </is>
      </c>
      <c r="L573" t="inlineStr">
        <is>
          <t>0</t>
        </is>
      </c>
      <c r="N573" t="inlineStr">
        <is>
          <t>New York : Academic Press, 1969-</t>
        </is>
      </c>
      <c r="O573" t="inlineStr">
        <is>
          <t>1969</t>
        </is>
      </c>
      <c r="P573" t="inlineStr">
        <is>
          <t>2d ed.</t>
        </is>
      </c>
      <c r="Q573" t="inlineStr">
        <is>
          <t>eng</t>
        </is>
      </c>
      <c r="R573" t="inlineStr">
        <is>
          <t>nyu</t>
        </is>
      </c>
      <c r="T573" t="inlineStr">
        <is>
          <t xml:space="preserve">QP </t>
        </is>
      </c>
      <c r="U573" t="n">
        <v>10</v>
      </c>
      <c r="V573" t="n">
        <v>27</v>
      </c>
      <c r="W573" t="inlineStr">
        <is>
          <t>1999-02-14</t>
        </is>
      </c>
      <c r="X573" t="inlineStr">
        <is>
          <t>1999-02-14</t>
        </is>
      </c>
      <c r="Y573" t="inlineStr">
        <is>
          <t>1992-12-08</t>
        </is>
      </c>
      <c r="Z573" t="inlineStr">
        <is>
          <t>1992-12-08</t>
        </is>
      </c>
      <c r="AA573" t="n">
        <v>413</v>
      </c>
      <c r="AB573" t="n">
        <v>341</v>
      </c>
      <c r="AC573" t="n">
        <v>437</v>
      </c>
      <c r="AD573" t="n">
        <v>3</v>
      </c>
      <c r="AE573" t="n">
        <v>3</v>
      </c>
      <c r="AF573" t="n">
        <v>12</v>
      </c>
      <c r="AG573" t="n">
        <v>16</v>
      </c>
      <c r="AH573" t="n">
        <v>3</v>
      </c>
      <c r="AI573" t="n">
        <v>5</v>
      </c>
      <c r="AJ573" t="n">
        <v>6</v>
      </c>
      <c r="AK573" t="n">
        <v>8</v>
      </c>
      <c r="AL573" t="n">
        <v>4</v>
      </c>
      <c r="AM573" t="n">
        <v>6</v>
      </c>
      <c r="AN573" t="n">
        <v>2</v>
      </c>
      <c r="AO573" t="n">
        <v>2</v>
      </c>
      <c r="AP573" t="n">
        <v>0</v>
      </c>
      <c r="AQ573" t="n">
        <v>0</v>
      </c>
      <c r="AR573" t="inlineStr">
        <is>
          <t>No</t>
        </is>
      </c>
      <c r="AS573" t="inlineStr">
        <is>
          <t>Yes</t>
        </is>
      </c>
      <c r="AT573">
        <f>HYPERLINK("http://catalog.hathitrust.org/Record/000279918","HathiTrust Record")</f>
        <v/>
      </c>
      <c r="AU573">
        <f>HYPERLINK("https://creighton-primo.hosted.exlibrisgroup.com/primo-explore/search?tab=default_tab&amp;search_scope=EVERYTHING&amp;vid=01CRU&amp;lang=en_US&amp;offset=0&amp;query=any,contains,991000001629702656","Catalog Record")</f>
        <v/>
      </c>
      <c r="AV573">
        <f>HYPERLINK("http://www.worldcat.org/oclc/10512","WorldCat Record")</f>
        <v/>
      </c>
      <c r="AW573" t="inlineStr">
        <is>
          <t>5574124809:eng</t>
        </is>
      </c>
      <c r="AX573" t="inlineStr">
        <is>
          <t>10512</t>
        </is>
      </c>
      <c r="AY573" t="inlineStr">
        <is>
          <t>991000001629702656</t>
        </is>
      </c>
      <c r="AZ573" t="inlineStr">
        <is>
          <t>991000001629702656</t>
        </is>
      </c>
      <c r="BA573" t="inlineStr">
        <is>
          <t>2268066720002656</t>
        </is>
      </c>
      <c r="BB573" t="inlineStr">
        <is>
          <t>BOOK</t>
        </is>
      </c>
      <c r="BD573" t="inlineStr">
        <is>
          <t>9780122067532</t>
        </is>
      </c>
      <c r="BE573" t="inlineStr">
        <is>
          <t>32285001413250</t>
        </is>
      </c>
      <c r="BF573" t="inlineStr">
        <is>
          <t>893431581</t>
        </is>
      </c>
    </row>
    <row r="574">
      <c r="B574" t="inlineStr">
        <is>
          <t>CURAL</t>
        </is>
      </c>
      <c r="C574" t="inlineStr">
        <is>
          <t>SHELVES</t>
        </is>
      </c>
      <c r="D574" t="inlineStr">
        <is>
          <t>QP475 .E92 V.3</t>
        </is>
      </c>
      <c r="E574" t="inlineStr">
        <is>
          <t>0                      QP 0475000E  92                                                      V.3</t>
        </is>
      </c>
      <c r="F574" t="inlineStr">
        <is>
          <t>The Eye / edited by Hugh Davson.</t>
        </is>
      </c>
      <c r="G574" t="inlineStr">
        <is>
          <t>V.3*</t>
        </is>
      </c>
      <c r="H574" t="inlineStr">
        <is>
          <t>No</t>
        </is>
      </c>
      <c r="I574" t="inlineStr">
        <is>
          <t>1</t>
        </is>
      </c>
      <c r="J574" t="inlineStr">
        <is>
          <t>No</t>
        </is>
      </c>
      <c r="K574" t="inlineStr">
        <is>
          <t>No</t>
        </is>
      </c>
      <c r="L574" t="inlineStr">
        <is>
          <t>0</t>
        </is>
      </c>
      <c r="N574" t="inlineStr">
        <is>
          <t>New York : Academic Press, 1969-</t>
        </is>
      </c>
      <c r="O574" t="inlineStr">
        <is>
          <t>1969</t>
        </is>
      </c>
      <c r="P574" t="inlineStr">
        <is>
          <t>2d ed.</t>
        </is>
      </c>
      <c r="Q574" t="inlineStr">
        <is>
          <t>eng</t>
        </is>
      </c>
      <c r="R574" t="inlineStr">
        <is>
          <t>nyu</t>
        </is>
      </c>
      <c r="T574" t="inlineStr">
        <is>
          <t xml:space="preserve">QP </t>
        </is>
      </c>
      <c r="U574" t="n">
        <v>17</v>
      </c>
      <c r="V574" t="n">
        <v>27</v>
      </c>
      <c r="W574" t="inlineStr">
        <is>
          <t>1998-10-06</t>
        </is>
      </c>
      <c r="X574" t="inlineStr">
        <is>
          <t>1999-02-14</t>
        </is>
      </c>
      <c r="Y574" t="inlineStr">
        <is>
          <t>1992-03-17</t>
        </is>
      </c>
      <c r="Z574" t="inlineStr">
        <is>
          <t>1992-12-08</t>
        </is>
      </c>
      <c r="AA574" t="n">
        <v>413</v>
      </c>
      <c r="AB574" t="n">
        <v>341</v>
      </c>
      <c r="AC574" t="n">
        <v>437</v>
      </c>
      <c r="AD574" t="n">
        <v>3</v>
      </c>
      <c r="AE574" t="n">
        <v>3</v>
      </c>
      <c r="AF574" t="n">
        <v>12</v>
      </c>
      <c r="AG574" t="n">
        <v>16</v>
      </c>
      <c r="AH574" t="n">
        <v>3</v>
      </c>
      <c r="AI574" t="n">
        <v>5</v>
      </c>
      <c r="AJ574" t="n">
        <v>6</v>
      </c>
      <c r="AK574" t="n">
        <v>8</v>
      </c>
      <c r="AL574" t="n">
        <v>4</v>
      </c>
      <c r="AM574" t="n">
        <v>6</v>
      </c>
      <c r="AN574" t="n">
        <v>2</v>
      </c>
      <c r="AO574" t="n">
        <v>2</v>
      </c>
      <c r="AP574" t="n">
        <v>0</v>
      </c>
      <c r="AQ574" t="n">
        <v>0</v>
      </c>
      <c r="AR574" t="inlineStr">
        <is>
          <t>No</t>
        </is>
      </c>
      <c r="AS574" t="inlineStr">
        <is>
          <t>Yes</t>
        </is>
      </c>
      <c r="AT574">
        <f>HYPERLINK("http://catalog.hathitrust.org/Record/000279918","HathiTrust Record")</f>
        <v/>
      </c>
      <c r="AU574">
        <f>HYPERLINK("https://creighton-primo.hosted.exlibrisgroup.com/primo-explore/search?tab=default_tab&amp;search_scope=EVERYTHING&amp;vid=01CRU&amp;lang=en_US&amp;offset=0&amp;query=any,contains,991000001629702656","Catalog Record")</f>
        <v/>
      </c>
      <c r="AV574">
        <f>HYPERLINK("http://www.worldcat.org/oclc/10512","WorldCat Record")</f>
        <v/>
      </c>
      <c r="AW574" t="inlineStr">
        <is>
          <t>5574124809:eng</t>
        </is>
      </c>
      <c r="AX574" t="inlineStr">
        <is>
          <t>10512</t>
        </is>
      </c>
      <c r="AY574" t="inlineStr">
        <is>
          <t>991000001629702656</t>
        </is>
      </c>
      <c r="AZ574" t="inlineStr">
        <is>
          <t>991000001629702656</t>
        </is>
      </c>
      <c r="BA574" t="inlineStr">
        <is>
          <t>2268066720002656</t>
        </is>
      </c>
      <c r="BB574" t="inlineStr">
        <is>
          <t>BOOK</t>
        </is>
      </c>
      <c r="BD574" t="inlineStr">
        <is>
          <t>9780122067532</t>
        </is>
      </c>
      <c r="BE574" t="inlineStr">
        <is>
          <t>32285001021996</t>
        </is>
      </c>
      <c r="BF574" t="inlineStr">
        <is>
          <t>893412982</t>
        </is>
      </c>
    </row>
    <row r="575">
      <c r="B575" t="inlineStr">
        <is>
          <t>CURAL</t>
        </is>
      </c>
      <c r="C575" t="inlineStr">
        <is>
          <t>SHELVES</t>
        </is>
      </c>
      <c r="D575" t="inlineStr">
        <is>
          <t>QP475 .G65</t>
        </is>
      </c>
      <c r="E575" t="inlineStr">
        <is>
          <t>0                      QP 0475000G  65</t>
        </is>
      </c>
      <c r="F575" t="inlineStr">
        <is>
          <t>Vision and visual perception / Clarence H. Graham, editor. [Contributors:] Neil R. Bartlett [and others]</t>
        </is>
      </c>
      <c r="H575" t="inlineStr">
        <is>
          <t>No</t>
        </is>
      </c>
      <c r="I575" t="inlineStr">
        <is>
          <t>1</t>
        </is>
      </c>
      <c r="J575" t="inlineStr">
        <is>
          <t>No</t>
        </is>
      </c>
      <c r="K575" t="inlineStr">
        <is>
          <t>No</t>
        </is>
      </c>
      <c r="L575" t="inlineStr">
        <is>
          <t>0</t>
        </is>
      </c>
      <c r="M575" t="inlineStr">
        <is>
          <t>Graham, Clarence H. (Clarence Henry), 1906-1971, editor.</t>
        </is>
      </c>
      <c r="N575" t="inlineStr">
        <is>
          <t>New York : Wiley, [1965]</t>
        </is>
      </c>
      <c r="O575" t="inlineStr">
        <is>
          <t>1965</t>
        </is>
      </c>
      <c r="Q575" t="inlineStr">
        <is>
          <t>eng</t>
        </is>
      </c>
      <c r="R575" t="inlineStr">
        <is>
          <t>nyu</t>
        </is>
      </c>
      <c r="T575" t="inlineStr">
        <is>
          <t xml:space="preserve">QP </t>
        </is>
      </c>
      <c r="U575" t="n">
        <v>11</v>
      </c>
      <c r="V575" t="n">
        <v>11</v>
      </c>
      <c r="W575" t="inlineStr">
        <is>
          <t>1998-11-01</t>
        </is>
      </c>
      <c r="X575" t="inlineStr">
        <is>
          <t>1998-11-01</t>
        </is>
      </c>
      <c r="Y575" t="inlineStr">
        <is>
          <t>1993-01-08</t>
        </is>
      </c>
      <c r="Z575" t="inlineStr">
        <is>
          <t>1993-01-08</t>
        </is>
      </c>
      <c r="AA575" t="n">
        <v>829</v>
      </c>
      <c r="AB575" t="n">
        <v>649</v>
      </c>
      <c r="AC575" t="n">
        <v>659</v>
      </c>
      <c r="AD575" t="n">
        <v>5</v>
      </c>
      <c r="AE575" t="n">
        <v>5</v>
      </c>
      <c r="AF575" t="n">
        <v>26</v>
      </c>
      <c r="AG575" t="n">
        <v>26</v>
      </c>
      <c r="AH575" t="n">
        <v>9</v>
      </c>
      <c r="AI575" t="n">
        <v>9</v>
      </c>
      <c r="AJ575" t="n">
        <v>7</v>
      </c>
      <c r="AK575" t="n">
        <v>7</v>
      </c>
      <c r="AL575" t="n">
        <v>12</v>
      </c>
      <c r="AM575" t="n">
        <v>12</v>
      </c>
      <c r="AN575" t="n">
        <v>4</v>
      </c>
      <c r="AO575" t="n">
        <v>4</v>
      </c>
      <c r="AP575" t="n">
        <v>0</v>
      </c>
      <c r="AQ575" t="n">
        <v>0</v>
      </c>
      <c r="AR575" t="inlineStr">
        <is>
          <t>No</t>
        </is>
      </c>
      <c r="AS575" t="inlineStr">
        <is>
          <t>Yes</t>
        </is>
      </c>
      <c r="AT575">
        <f>HYPERLINK("http://catalog.hathitrust.org/Record/001555059","HathiTrust Record")</f>
        <v/>
      </c>
      <c r="AU575">
        <f>HYPERLINK("https://creighton-primo.hosted.exlibrisgroup.com/primo-explore/search?tab=default_tab&amp;search_scope=EVERYTHING&amp;vid=01CRU&amp;lang=en_US&amp;offset=0&amp;query=any,contains,991002989299702656","Catalog Record")</f>
        <v/>
      </c>
      <c r="AV575">
        <f>HYPERLINK("http://www.worldcat.org/oclc/559625","WorldCat Record")</f>
        <v/>
      </c>
      <c r="AW575" t="inlineStr">
        <is>
          <t>160913:eng</t>
        </is>
      </c>
      <c r="AX575" t="inlineStr">
        <is>
          <t>559625</t>
        </is>
      </c>
      <c r="AY575" t="inlineStr">
        <is>
          <t>991002989299702656</t>
        </is>
      </c>
      <c r="AZ575" t="inlineStr">
        <is>
          <t>991002989299702656</t>
        </is>
      </c>
      <c r="BA575" t="inlineStr">
        <is>
          <t>2262157950002656</t>
        </is>
      </c>
      <c r="BB575" t="inlineStr">
        <is>
          <t>BOOK</t>
        </is>
      </c>
      <c r="BE575" t="inlineStr">
        <is>
          <t>32285001474492</t>
        </is>
      </c>
      <c r="BF575" t="inlineStr">
        <is>
          <t>893686055</t>
        </is>
      </c>
    </row>
    <row r="576">
      <c r="B576" t="inlineStr">
        <is>
          <t>CURAL</t>
        </is>
      </c>
      <c r="C576" t="inlineStr">
        <is>
          <t>SHELVES</t>
        </is>
      </c>
      <c r="D576" t="inlineStr">
        <is>
          <t>QP475 .H486</t>
        </is>
      </c>
      <c r="E576" t="inlineStr">
        <is>
          <t>0                      QP 0475000H  486</t>
        </is>
      </c>
      <c r="F576" t="inlineStr">
        <is>
          <t>Helmholtz's treatise on physiological optics / translated from the 3d German ed. Edited by James P. C. Southall.</t>
        </is>
      </c>
      <c r="G576" t="inlineStr">
        <is>
          <t>V.1-2</t>
        </is>
      </c>
      <c r="H576" t="inlineStr">
        <is>
          <t>Yes</t>
        </is>
      </c>
      <c r="I576" t="inlineStr">
        <is>
          <t>1</t>
        </is>
      </c>
      <c r="J576" t="inlineStr">
        <is>
          <t>No</t>
        </is>
      </c>
      <c r="K576" t="inlineStr">
        <is>
          <t>No</t>
        </is>
      </c>
      <c r="L576" t="inlineStr">
        <is>
          <t>0</t>
        </is>
      </c>
      <c r="M576" t="inlineStr">
        <is>
          <t>Helmholtz, Hermann von, 1821-1894.</t>
        </is>
      </c>
      <c r="N576" t="inlineStr">
        <is>
          <t>New York : Dover Publications, [1962]</t>
        </is>
      </c>
      <c r="O576" t="inlineStr">
        <is>
          <t>1962</t>
        </is>
      </c>
      <c r="Q576" t="inlineStr">
        <is>
          <t>eng</t>
        </is>
      </c>
      <c r="R576" t="inlineStr">
        <is>
          <t>nyu</t>
        </is>
      </c>
      <c r="T576" t="inlineStr">
        <is>
          <t xml:space="preserve">QP </t>
        </is>
      </c>
      <c r="U576" t="n">
        <v>5</v>
      </c>
      <c r="V576" t="n">
        <v>10</v>
      </c>
      <c r="W576" t="inlineStr">
        <is>
          <t>2003-02-18</t>
        </is>
      </c>
      <c r="X576" t="inlineStr">
        <is>
          <t>2003-02-18</t>
        </is>
      </c>
      <c r="Y576" t="inlineStr">
        <is>
          <t>1992-12-22</t>
        </is>
      </c>
      <c r="Z576" t="inlineStr">
        <is>
          <t>1993-03-04</t>
        </is>
      </c>
      <c r="AA576" t="n">
        <v>511</v>
      </c>
      <c r="AB576" t="n">
        <v>442</v>
      </c>
      <c r="AC576" t="n">
        <v>462</v>
      </c>
      <c r="AD576" t="n">
        <v>3</v>
      </c>
      <c r="AE576" t="n">
        <v>3</v>
      </c>
      <c r="AF576" t="n">
        <v>20</v>
      </c>
      <c r="AG576" t="n">
        <v>20</v>
      </c>
      <c r="AH576" t="n">
        <v>6</v>
      </c>
      <c r="AI576" t="n">
        <v>6</v>
      </c>
      <c r="AJ576" t="n">
        <v>3</v>
      </c>
      <c r="AK576" t="n">
        <v>3</v>
      </c>
      <c r="AL576" t="n">
        <v>9</v>
      </c>
      <c r="AM576" t="n">
        <v>9</v>
      </c>
      <c r="AN576" t="n">
        <v>2</v>
      </c>
      <c r="AO576" t="n">
        <v>2</v>
      </c>
      <c r="AP576" t="n">
        <v>1</v>
      </c>
      <c r="AQ576" t="n">
        <v>1</v>
      </c>
      <c r="AR576" t="inlineStr">
        <is>
          <t>No</t>
        </is>
      </c>
      <c r="AS576" t="inlineStr">
        <is>
          <t>Yes</t>
        </is>
      </c>
      <c r="AT576">
        <f>HYPERLINK("http://catalog.hathitrust.org/Record/001555064","HathiTrust Record")</f>
        <v/>
      </c>
      <c r="AU576">
        <f>HYPERLINK("https://creighton-primo.hosted.exlibrisgroup.com/primo-explore/search?tab=default_tab&amp;search_scope=EVERYTHING&amp;vid=01CRU&amp;lang=en_US&amp;offset=0&amp;query=any,contains,991002914079702656","Catalog Record")</f>
        <v/>
      </c>
      <c r="AV576">
        <f>HYPERLINK("http://www.worldcat.org/oclc/523553","WorldCat Record")</f>
        <v/>
      </c>
      <c r="AW576" t="inlineStr">
        <is>
          <t>907023:eng</t>
        </is>
      </c>
      <c r="AX576" t="inlineStr">
        <is>
          <t>523553</t>
        </is>
      </c>
      <c r="AY576" t="inlineStr">
        <is>
          <t>991002914079702656</t>
        </is>
      </c>
      <c r="AZ576" t="inlineStr">
        <is>
          <t>991002914079702656</t>
        </is>
      </c>
      <c r="BA576" t="inlineStr">
        <is>
          <t>2261743790002656</t>
        </is>
      </c>
      <c r="BB576" t="inlineStr">
        <is>
          <t>BOOK</t>
        </is>
      </c>
      <c r="BE576" t="inlineStr">
        <is>
          <t>32285001470177</t>
        </is>
      </c>
      <c r="BF576" t="inlineStr">
        <is>
          <t>893610463</t>
        </is>
      </c>
    </row>
    <row r="577">
      <c r="B577" t="inlineStr">
        <is>
          <t>CURAL</t>
        </is>
      </c>
      <c r="C577" t="inlineStr">
        <is>
          <t>SHELVES</t>
        </is>
      </c>
      <c r="D577" t="inlineStr">
        <is>
          <t>QP475 .H486</t>
        </is>
      </c>
      <c r="E577" t="inlineStr">
        <is>
          <t>0                      QP 0475000H  486</t>
        </is>
      </c>
      <c r="F577" t="inlineStr">
        <is>
          <t>Helmholtz's treatise on physiological optics / translated from the 3d German ed. Edited by James P. C. Southall.</t>
        </is>
      </c>
      <c r="G577" t="inlineStr">
        <is>
          <t>V.3</t>
        </is>
      </c>
      <c r="H577" t="inlineStr">
        <is>
          <t>Yes</t>
        </is>
      </c>
      <c r="I577" t="inlineStr">
        <is>
          <t>1</t>
        </is>
      </c>
      <c r="J577" t="inlineStr">
        <is>
          <t>No</t>
        </is>
      </c>
      <c r="K577" t="inlineStr">
        <is>
          <t>No</t>
        </is>
      </c>
      <c r="L577" t="inlineStr">
        <is>
          <t>0</t>
        </is>
      </c>
      <c r="M577" t="inlineStr">
        <is>
          <t>Helmholtz, Hermann von, 1821-1894.</t>
        </is>
      </c>
      <c r="N577" t="inlineStr">
        <is>
          <t>New York : Dover Publications, [1962]</t>
        </is>
      </c>
      <c r="O577" t="inlineStr">
        <is>
          <t>1962</t>
        </is>
      </c>
      <c r="Q577" t="inlineStr">
        <is>
          <t>eng</t>
        </is>
      </c>
      <c r="R577" t="inlineStr">
        <is>
          <t>nyu</t>
        </is>
      </c>
      <c r="T577" t="inlineStr">
        <is>
          <t xml:space="preserve">QP </t>
        </is>
      </c>
      <c r="U577" t="n">
        <v>5</v>
      </c>
      <c r="V577" t="n">
        <v>10</v>
      </c>
      <c r="W577" t="inlineStr">
        <is>
          <t>2003-02-18</t>
        </is>
      </c>
      <c r="X577" t="inlineStr">
        <is>
          <t>2003-02-18</t>
        </is>
      </c>
      <c r="Y577" t="inlineStr">
        <is>
          <t>1993-03-04</t>
        </is>
      </c>
      <c r="Z577" t="inlineStr">
        <is>
          <t>1993-03-04</t>
        </is>
      </c>
      <c r="AA577" t="n">
        <v>511</v>
      </c>
      <c r="AB577" t="n">
        <v>442</v>
      </c>
      <c r="AC577" t="n">
        <v>462</v>
      </c>
      <c r="AD577" t="n">
        <v>3</v>
      </c>
      <c r="AE577" t="n">
        <v>3</v>
      </c>
      <c r="AF577" t="n">
        <v>20</v>
      </c>
      <c r="AG577" t="n">
        <v>20</v>
      </c>
      <c r="AH577" t="n">
        <v>6</v>
      </c>
      <c r="AI577" t="n">
        <v>6</v>
      </c>
      <c r="AJ577" t="n">
        <v>3</v>
      </c>
      <c r="AK577" t="n">
        <v>3</v>
      </c>
      <c r="AL577" t="n">
        <v>9</v>
      </c>
      <c r="AM577" t="n">
        <v>9</v>
      </c>
      <c r="AN577" t="n">
        <v>2</v>
      </c>
      <c r="AO577" t="n">
        <v>2</v>
      </c>
      <c r="AP577" t="n">
        <v>1</v>
      </c>
      <c r="AQ577" t="n">
        <v>1</v>
      </c>
      <c r="AR577" t="inlineStr">
        <is>
          <t>No</t>
        </is>
      </c>
      <c r="AS577" t="inlineStr">
        <is>
          <t>Yes</t>
        </is>
      </c>
      <c r="AT577">
        <f>HYPERLINK("http://catalog.hathitrust.org/Record/001555064","HathiTrust Record")</f>
        <v/>
      </c>
      <c r="AU577">
        <f>HYPERLINK("https://creighton-primo.hosted.exlibrisgroup.com/primo-explore/search?tab=default_tab&amp;search_scope=EVERYTHING&amp;vid=01CRU&amp;lang=en_US&amp;offset=0&amp;query=any,contains,991002914079702656","Catalog Record")</f>
        <v/>
      </c>
      <c r="AV577">
        <f>HYPERLINK("http://www.worldcat.org/oclc/523553","WorldCat Record")</f>
        <v/>
      </c>
      <c r="AW577" t="inlineStr">
        <is>
          <t>907023:eng</t>
        </is>
      </c>
      <c r="AX577" t="inlineStr">
        <is>
          <t>523553</t>
        </is>
      </c>
      <c r="AY577" t="inlineStr">
        <is>
          <t>991002914079702656</t>
        </is>
      </c>
      <c r="AZ577" t="inlineStr">
        <is>
          <t>991002914079702656</t>
        </is>
      </c>
      <c r="BA577" t="inlineStr">
        <is>
          <t>2261743790002656</t>
        </is>
      </c>
      <c r="BB577" t="inlineStr">
        <is>
          <t>BOOK</t>
        </is>
      </c>
      <c r="BE577" t="inlineStr">
        <is>
          <t>32285001562460</t>
        </is>
      </c>
      <c r="BF577" t="inlineStr">
        <is>
          <t>893610462</t>
        </is>
      </c>
    </row>
    <row r="578">
      <c r="B578" t="inlineStr">
        <is>
          <t>CURAL</t>
        </is>
      </c>
      <c r="C578" t="inlineStr">
        <is>
          <t>SHELVES</t>
        </is>
      </c>
      <c r="D578" t="inlineStr">
        <is>
          <t>QP475 .H815 2005</t>
        </is>
      </c>
      <c r="E578" t="inlineStr">
        <is>
          <t>0                      QP 0475000H  815         2005</t>
        </is>
      </c>
      <c r="F578" t="inlineStr">
        <is>
          <t>Brain and visual perception : the story of a 25-year collaboration / David H. Hubel, Torsten N. Wiesel.</t>
        </is>
      </c>
      <c r="H578" t="inlineStr">
        <is>
          <t>No</t>
        </is>
      </c>
      <c r="I578" t="inlineStr">
        <is>
          <t>1</t>
        </is>
      </c>
      <c r="J578" t="inlineStr">
        <is>
          <t>No</t>
        </is>
      </c>
      <c r="K578" t="inlineStr">
        <is>
          <t>No</t>
        </is>
      </c>
      <c r="L578" t="inlineStr">
        <is>
          <t>0</t>
        </is>
      </c>
      <c r="M578" t="inlineStr">
        <is>
          <t>Hubel, David H.</t>
        </is>
      </c>
      <c r="N578" t="inlineStr">
        <is>
          <t>New York, N.Y. : Oxford University Press, 2005.</t>
        </is>
      </c>
      <c r="O578" t="inlineStr">
        <is>
          <t>2005</t>
        </is>
      </c>
      <c r="Q578" t="inlineStr">
        <is>
          <t>eng</t>
        </is>
      </c>
      <c r="R578" t="inlineStr">
        <is>
          <t>nyu</t>
        </is>
      </c>
      <c r="T578" t="inlineStr">
        <is>
          <t xml:space="preserve">QP </t>
        </is>
      </c>
      <c r="U578" t="n">
        <v>4</v>
      </c>
      <c r="V578" t="n">
        <v>4</v>
      </c>
      <c r="W578" t="inlineStr">
        <is>
          <t>2007-07-23</t>
        </is>
      </c>
      <c r="X578" t="inlineStr">
        <is>
          <t>2007-07-23</t>
        </is>
      </c>
      <c r="Y578" t="inlineStr">
        <is>
          <t>2005-09-12</t>
        </is>
      </c>
      <c r="Z578" t="inlineStr">
        <is>
          <t>2005-09-12</t>
        </is>
      </c>
      <c r="AA578" t="n">
        <v>416</v>
      </c>
      <c r="AB578" t="n">
        <v>318</v>
      </c>
      <c r="AC578" t="n">
        <v>862</v>
      </c>
      <c r="AD578" t="n">
        <v>2</v>
      </c>
      <c r="AE578" t="n">
        <v>14</v>
      </c>
      <c r="AF578" t="n">
        <v>10</v>
      </c>
      <c r="AG578" t="n">
        <v>36</v>
      </c>
      <c r="AH578" t="n">
        <v>3</v>
      </c>
      <c r="AI578" t="n">
        <v>10</v>
      </c>
      <c r="AJ578" t="n">
        <v>3</v>
      </c>
      <c r="AK578" t="n">
        <v>9</v>
      </c>
      <c r="AL578" t="n">
        <v>5</v>
      </c>
      <c r="AM578" t="n">
        <v>9</v>
      </c>
      <c r="AN578" t="n">
        <v>1</v>
      </c>
      <c r="AO578" t="n">
        <v>11</v>
      </c>
      <c r="AP578" t="n">
        <v>0</v>
      </c>
      <c r="AQ578" t="n">
        <v>1</v>
      </c>
      <c r="AR578" t="inlineStr">
        <is>
          <t>No</t>
        </is>
      </c>
      <c r="AS578" t="inlineStr">
        <is>
          <t>Yes</t>
        </is>
      </c>
      <c r="AT578">
        <f>HYPERLINK("http://catalog.hathitrust.org/Record/004920815","HathiTrust Record")</f>
        <v/>
      </c>
      <c r="AU578">
        <f>HYPERLINK("https://creighton-primo.hosted.exlibrisgroup.com/primo-explore/search?tab=default_tab&amp;search_scope=EVERYTHING&amp;vid=01CRU&amp;lang=en_US&amp;offset=0&amp;query=any,contains,991004629829702656","Catalog Record")</f>
        <v/>
      </c>
      <c r="AV578">
        <f>HYPERLINK("http://www.worldcat.org/oclc/55055487","WorldCat Record")</f>
        <v/>
      </c>
      <c r="AW578" t="inlineStr">
        <is>
          <t>801989616:eng</t>
        </is>
      </c>
      <c r="AX578" t="inlineStr">
        <is>
          <t>55055487</t>
        </is>
      </c>
      <c r="AY578" t="inlineStr">
        <is>
          <t>991004629829702656</t>
        </is>
      </c>
      <c r="AZ578" t="inlineStr">
        <is>
          <t>991004629829702656</t>
        </is>
      </c>
      <c r="BA578" t="inlineStr">
        <is>
          <t>2265136880002656</t>
        </is>
      </c>
      <c r="BB578" t="inlineStr">
        <is>
          <t>BOOK</t>
        </is>
      </c>
      <c r="BD578" t="inlineStr">
        <is>
          <t>9780195176186</t>
        </is>
      </c>
      <c r="BE578" t="inlineStr">
        <is>
          <t>32285005083448</t>
        </is>
      </c>
      <c r="BF578" t="inlineStr">
        <is>
          <t>893700457</t>
        </is>
      </c>
    </row>
    <row r="579">
      <c r="B579" t="inlineStr">
        <is>
          <t>CURAL</t>
        </is>
      </c>
      <c r="C579" t="inlineStr">
        <is>
          <t>SHELVES</t>
        </is>
      </c>
      <c r="D579" t="inlineStr">
        <is>
          <t>QP475 .L4713 1980</t>
        </is>
      </c>
      <c r="E579" t="inlineStr">
        <is>
          <t>0                      QP 0475000L  4713        1980</t>
        </is>
      </c>
      <c r="F579" t="inlineStr">
        <is>
          <t>Physiological optics / Y. Le Grand ; [translated by] S.G. El Hage.</t>
        </is>
      </c>
      <c r="H579" t="inlineStr">
        <is>
          <t>No</t>
        </is>
      </c>
      <c r="I579" t="inlineStr">
        <is>
          <t>1</t>
        </is>
      </c>
      <c r="J579" t="inlineStr">
        <is>
          <t>No</t>
        </is>
      </c>
      <c r="K579" t="inlineStr">
        <is>
          <t>No</t>
        </is>
      </c>
      <c r="L579" t="inlineStr">
        <is>
          <t>0</t>
        </is>
      </c>
      <c r="M579" t="inlineStr">
        <is>
          <t>Le Grand, Yves, 1908-1986.</t>
        </is>
      </c>
      <c r="N579" t="inlineStr">
        <is>
          <t>Berlin ; New York : Springer-Verlag, 1980.</t>
        </is>
      </c>
      <c r="O579" t="inlineStr">
        <is>
          <t>1980</t>
        </is>
      </c>
      <c r="Q579" t="inlineStr">
        <is>
          <t>eng</t>
        </is>
      </c>
      <c r="R579" t="inlineStr">
        <is>
          <t xml:space="preserve">gw </t>
        </is>
      </c>
      <c r="S579" t="inlineStr">
        <is>
          <t>Springer series in optical sciences ; v. 13</t>
        </is>
      </c>
      <c r="T579" t="inlineStr">
        <is>
          <t xml:space="preserve">QP </t>
        </is>
      </c>
      <c r="U579" t="n">
        <v>9</v>
      </c>
      <c r="V579" t="n">
        <v>9</v>
      </c>
      <c r="W579" t="inlineStr">
        <is>
          <t>1996-03-11</t>
        </is>
      </c>
      <c r="X579" t="inlineStr">
        <is>
          <t>1996-03-11</t>
        </is>
      </c>
      <c r="Y579" t="inlineStr">
        <is>
          <t>1992-12-15</t>
        </is>
      </c>
      <c r="Z579" t="inlineStr">
        <is>
          <t>1992-12-15</t>
        </is>
      </c>
      <c r="AA579" t="n">
        <v>219</v>
      </c>
      <c r="AB579" t="n">
        <v>125</v>
      </c>
      <c r="AC579" t="n">
        <v>140</v>
      </c>
      <c r="AD579" t="n">
        <v>2</v>
      </c>
      <c r="AE579" t="n">
        <v>2</v>
      </c>
      <c r="AF579" t="n">
        <v>4</v>
      </c>
      <c r="AG579" t="n">
        <v>4</v>
      </c>
      <c r="AH579" t="n">
        <v>1</v>
      </c>
      <c r="AI579" t="n">
        <v>1</v>
      </c>
      <c r="AJ579" t="n">
        <v>1</v>
      </c>
      <c r="AK579" t="n">
        <v>1</v>
      </c>
      <c r="AL579" t="n">
        <v>2</v>
      </c>
      <c r="AM579" t="n">
        <v>2</v>
      </c>
      <c r="AN579" t="n">
        <v>1</v>
      </c>
      <c r="AO579" t="n">
        <v>1</v>
      </c>
      <c r="AP579" t="n">
        <v>0</v>
      </c>
      <c r="AQ579" t="n">
        <v>0</v>
      </c>
      <c r="AR579" t="inlineStr">
        <is>
          <t>No</t>
        </is>
      </c>
      <c r="AS579" t="inlineStr">
        <is>
          <t>Yes</t>
        </is>
      </c>
      <c r="AT579">
        <f>HYPERLINK("http://catalog.hathitrust.org/Record/006710917","HathiTrust Record")</f>
        <v/>
      </c>
      <c r="AU579">
        <f>HYPERLINK("https://creighton-primo.hosted.exlibrisgroup.com/primo-explore/search?tab=default_tab&amp;search_scope=EVERYTHING&amp;vid=01CRU&amp;lang=en_US&amp;offset=0&amp;query=any,contains,991004943839702656","Catalog Record")</f>
        <v/>
      </c>
      <c r="AV579">
        <f>HYPERLINK("http://www.worldcat.org/oclc/6196709","WorldCat Record")</f>
        <v/>
      </c>
      <c r="AW579" t="inlineStr">
        <is>
          <t>501352389:eng</t>
        </is>
      </c>
      <c r="AX579" t="inlineStr">
        <is>
          <t>6196709</t>
        </is>
      </c>
      <c r="AY579" t="inlineStr">
        <is>
          <t>991004943839702656</t>
        </is>
      </c>
      <c r="AZ579" t="inlineStr">
        <is>
          <t>991004943839702656</t>
        </is>
      </c>
      <c r="BA579" t="inlineStr">
        <is>
          <t>2266240480002656</t>
        </is>
      </c>
      <c r="BB579" t="inlineStr">
        <is>
          <t>BOOK</t>
        </is>
      </c>
      <c r="BD579" t="inlineStr">
        <is>
          <t>9780387099194</t>
        </is>
      </c>
      <c r="BE579" t="inlineStr">
        <is>
          <t>32285001441806</t>
        </is>
      </c>
      <c r="BF579" t="inlineStr">
        <is>
          <t>893612946</t>
        </is>
      </c>
    </row>
    <row r="580">
      <c r="B580" t="inlineStr">
        <is>
          <t>CURAL</t>
        </is>
      </c>
      <c r="C580" t="inlineStr">
        <is>
          <t>SHELVES</t>
        </is>
      </c>
      <c r="D580" t="inlineStr">
        <is>
          <t>QP475 .L473 1968</t>
        </is>
      </c>
      <c r="E580" t="inlineStr">
        <is>
          <t>0                      QP 0475000L  473         1968</t>
        </is>
      </c>
      <c r="F580" t="inlineStr">
        <is>
          <t>Light, colour and vision; approved translation [from the French] by R. W. G. Hunt, J. W. T. Walsh and F. R. W. Hunt.</t>
        </is>
      </c>
      <c r="H580" t="inlineStr">
        <is>
          <t>No</t>
        </is>
      </c>
      <c r="I580" t="inlineStr">
        <is>
          <t>1</t>
        </is>
      </c>
      <c r="J580" t="inlineStr">
        <is>
          <t>No</t>
        </is>
      </c>
      <c r="K580" t="inlineStr">
        <is>
          <t>No</t>
        </is>
      </c>
      <c r="L580" t="inlineStr">
        <is>
          <t>0</t>
        </is>
      </c>
      <c r="M580" t="inlineStr">
        <is>
          <t>Le Grand, Yves, 1908-1986.</t>
        </is>
      </c>
      <c r="N580" t="inlineStr">
        <is>
          <t>London, Chapman &amp; Hall, 1968.</t>
        </is>
      </c>
      <c r="O580" t="inlineStr">
        <is>
          <t>1968</t>
        </is>
      </c>
      <c r="P580" t="inlineStr">
        <is>
          <t>English 2nd ed.</t>
        </is>
      </c>
      <c r="Q580" t="inlineStr">
        <is>
          <t>eng</t>
        </is>
      </c>
      <c r="R580" t="inlineStr">
        <is>
          <t>enk</t>
        </is>
      </c>
      <c r="T580" t="inlineStr">
        <is>
          <t xml:space="preserve">QP </t>
        </is>
      </c>
      <c r="U580" t="n">
        <v>2</v>
      </c>
      <c r="V580" t="n">
        <v>2</v>
      </c>
      <c r="W580" t="inlineStr">
        <is>
          <t>1997-02-20</t>
        </is>
      </c>
      <c r="X580" t="inlineStr">
        <is>
          <t>1997-02-20</t>
        </is>
      </c>
      <c r="Y580" t="inlineStr">
        <is>
          <t>1992-12-07</t>
        </is>
      </c>
      <c r="Z580" t="inlineStr">
        <is>
          <t>1992-12-07</t>
        </is>
      </c>
      <c r="AA580" t="n">
        <v>501</v>
      </c>
      <c r="AB580" t="n">
        <v>394</v>
      </c>
      <c r="AC580" t="n">
        <v>568</v>
      </c>
      <c r="AD580" t="n">
        <v>4</v>
      </c>
      <c r="AE580" t="n">
        <v>5</v>
      </c>
      <c r="AF580" t="n">
        <v>18</v>
      </c>
      <c r="AG580" t="n">
        <v>28</v>
      </c>
      <c r="AH580" t="n">
        <v>4</v>
      </c>
      <c r="AI580" t="n">
        <v>8</v>
      </c>
      <c r="AJ580" t="n">
        <v>5</v>
      </c>
      <c r="AK580" t="n">
        <v>6</v>
      </c>
      <c r="AL580" t="n">
        <v>10</v>
      </c>
      <c r="AM580" t="n">
        <v>15</v>
      </c>
      <c r="AN580" t="n">
        <v>3</v>
      </c>
      <c r="AO580" t="n">
        <v>4</v>
      </c>
      <c r="AP580" t="n">
        <v>0</v>
      </c>
      <c r="AQ580" t="n">
        <v>0</v>
      </c>
      <c r="AR580" t="inlineStr">
        <is>
          <t>No</t>
        </is>
      </c>
      <c r="AS580" t="inlineStr">
        <is>
          <t>Yes</t>
        </is>
      </c>
      <c r="AT580">
        <f>HYPERLINK("http://catalog.hathitrust.org/Record/001555072","HathiTrust Record")</f>
        <v/>
      </c>
      <c r="AU580">
        <f>HYPERLINK("https://creighton-primo.hosted.exlibrisgroup.com/primo-explore/search?tab=default_tab&amp;search_scope=EVERYTHING&amp;vid=01CRU&amp;lang=en_US&amp;offset=0&amp;query=any,contains,991002811399702656","Catalog Record")</f>
        <v/>
      </c>
      <c r="AV580">
        <f>HYPERLINK("http://www.worldcat.org/oclc/455533","WorldCat Record")</f>
        <v/>
      </c>
      <c r="AW580" t="inlineStr">
        <is>
          <t>4495054252:eng</t>
        </is>
      </c>
      <c r="AX580" t="inlineStr">
        <is>
          <t>455533</t>
        </is>
      </c>
      <c r="AY580" t="inlineStr">
        <is>
          <t>991002811399702656</t>
        </is>
      </c>
      <c r="AZ580" t="inlineStr">
        <is>
          <t>991002811399702656</t>
        </is>
      </c>
      <c r="BA580" t="inlineStr">
        <is>
          <t>2263524280002656</t>
        </is>
      </c>
      <c r="BB580" t="inlineStr">
        <is>
          <t>BOOK</t>
        </is>
      </c>
      <c r="BE580" t="inlineStr">
        <is>
          <t>32285001439974</t>
        </is>
      </c>
      <c r="BF580" t="inlineStr">
        <is>
          <t>893409578</t>
        </is>
      </c>
    </row>
    <row r="581">
      <c r="B581" t="inlineStr">
        <is>
          <t>CURAL</t>
        </is>
      </c>
      <c r="C581" t="inlineStr">
        <is>
          <t>SHELVES</t>
        </is>
      </c>
      <c r="D581" t="inlineStr">
        <is>
          <t>QP475 .L778</t>
        </is>
      </c>
      <c r="E581" t="inlineStr">
        <is>
          <t>0                      QP 0475000L  778</t>
        </is>
      </c>
      <c r="F581" t="inlineStr">
        <is>
          <t>Light, vision and seeing; a simplified presentation of their relationships and their importance in human efficiency and welfare.</t>
        </is>
      </c>
      <c r="H581" t="inlineStr">
        <is>
          <t>No</t>
        </is>
      </c>
      <c r="I581" t="inlineStr">
        <is>
          <t>1</t>
        </is>
      </c>
      <c r="J581" t="inlineStr">
        <is>
          <t>No</t>
        </is>
      </c>
      <c r="K581" t="inlineStr">
        <is>
          <t>No</t>
        </is>
      </c>
      <c r="L581" t="inlineStr">
        <is>
          <t>0</t>
        </is>
      </c>
      <c r="M581" t="inlineStr">
        <is>
          <t>Luckiesh, Matthew, 1883-1967.</t>
        </is>
      </c>
      <c r="N581" t="inlineStr">
        <is>
          <t>New York, Van Nostrand, 1944.</t>
        </is>
      </c>
      <c r="O581" t="inlineStr">
        <is>
          <t>1944</t>
        </is>
      </c>
      <c r="Q581" t="inlineStr">
        <is>
          <t>eng</t>
        </is>
      </c>
      <c r="R581" t="inlineStr">
        <is>
          <t>___</t>
        </is>
      </c>
      <c r="T581" t="inlineStr">
        <is>
          <t xml:space="preserve">QP </t>
        </is>
      </c>
      <c r="U581" t="n">
        <v>4</v>
      </c>
      <c r="V581" t="n">
        <v>4</v>
      </c>
      <c r="W581" t="inlineStr">
        <is>
          <t>1994-11-28</t>
        </is>
      </c>
      <c r="X581" t="inlineStr">
        <is>
          <t>1994-11-28</t>
        </is>
      </c>
      <c r="Y581" t="inlineStr">
        <is>
          <t>1992-12-20</t>
        </is>
      </c>
      <c r="Z581" t="inlineStr">
        <is>
          <t>1992-12-20</t>
        </is>
      </c>
      <c r="AA581" t="n">
        <v>272</v>
      </c>
      <c r="AB581" t="n">
        <v>235</v>
      </c>
      <c r="AC581" t="n">
        <v>244</v>
      </c>
      <c r="AD581" t="n">
        <v>4</v>
      </c>
      <c r="AE581" t="n">
        <v>4</v>
      </c>
      <c r="AF581" t="n">
        <v>8</v>
      </c>
      <c r="AG581" t="n">
        <v>8</v>
      </c>
      <c r="AH581" t="n">
        <v>2</v>
      </c>
      <c r="AI581" t="n">
        <v>2</v>
      </c>
      <c r="AJ581" t="n">
        <v>1</v>
      </c>
      <c r="AK581" t="n">
        <v>1</v>
      </c>
      <c r="AL581" t="n">
        <v>3</v>
      </c>
      <c r="AM581" t="n">
        <v>3</v>
      </c>
      <c r="AN581" t="n">
        <v>3</v>
      </c>
      <c r="AO581" t="n">
        <v>3</v>
      </c>
      <c r="AP581" t="n">
        <v>0</v>
      </c>
      <c r="AQ581" t="n">
        <v>0</v>
      </c>
      <c r="AR581" t="inlineStr">
        <is>
          <t>No</t>
        </is>
      </c>
      <c r="AS581" t="inlineStr">
        <is>
          <t>Yes</t>
        </is>
      </c>
      <c r="AT581">
        <f>HYPERLINK("http://catalog.hathitrust.org/Record/001555073","HathiTrust Record")</f>
        <v/>
      </c>
      <c r="AU581">
        <f>HYPERLINK("https://creighton-primo.hosted.exlibrisgroup.com/primo-explore/search?tab=default_tab&amp;search_scope=EVERYTHING&amp;vid=01CRU&amp;lang=en_US&amp;offset=0&amp;query=any,contains,991003437129702656","Catalog Record")</f>
        <v/>
      </c>
      <c r="AV581">
        <f>HYPERLINK("http://www.worldcat.org/oclc/972756","WorldCat Record")</f>
        <v/>
      </c>
      <c r="AW581" t="inlineStr">
        <is>
          <t>1931308:eng</t>
        </is>
      </c>
      <c r="AX581" t="inlineStr">
        <is>
          <t>972756</t>
        </is>
      </c>
      <c r="AY581" t="inlineStr">
        <is>
          <t>991003437129702656</t>
        </is>
      </c>
      <c r="AZ581" t="inlineStr">
        <is>
          <t>991003437129702656</t>
        </is>
      </c>
      <c r="BA581" t="inlineStr">
        <is>
          <t>2259015120002656</t>
        </is>
      </c>
      <c r="BB581" t="inlineStr">
        <is>
          <t>BOOK</t>
        </is>
      </c>
      <c r="BE581" t="inlineStr">
        <is>
          <t>32285001470169</t>
        </is>
      </c>
      <c r="BF581" t="inlineStr">
        <is>
          <t>893686550</t>
        </is>
      </c>
    </row>
    <row r="582">
      <c r="B582" t="inlineStr">
        <is>
          <t>CURAL</t>
        </is>
      </c>
      <c r="C582" t="inlineStr">
        <is>
          <t>SHELVES</t>
        </is>
      </c>
      <c r="D582" t="inlineStr">
        <is>
          <t>QP475 .L95</t>
        </is>
      </c>
      <c r="E582" t="inlineStr">
        <is>
          <t>0                      QP 0475000L  95</t>
        </is>
      </c>
      <c r="F582" t="inlineStr">
        <is>
          <t>The ecology of vision / J. N. Lythgoe.</t>
        </is>
      </c>
      <c r="H582" t="inlineStr">
        <is>
          <t>No</t>
        </is>
      </c>
      <c r="I582" t="inlineStr">
        <is>
          <t>1</t>
        </is>
      </c>
      <c r="J582" t="inlineStr">
        <is>
          <t>No</t>
        </is>
      </c>
      <c r="K582" t="inlineStr">
        <is>
          <t>No</t>
        </is>
      </c>
      <c r="L582" t="inlineStr">
        <is>
          <t>0</t>
        </is>
      </c>
      <c r="M582" t="inlineStr">
        <is>
          <t>Lythgoe, J. N.</t>
        </is>
      </c>
      <c r="N582" t="inlineStr">
        <is>
          <t>Oxford : Clarendon Press ; New York : Oxford University Press, 1979.</t>
        </is>
      </c>
      <c r="O582" t="inlineStr">
        <is>
          <t>1979</t>
        </is>
      </c>
      <c r="Q582" t="inlineStr">
        <is>
          <t>eng</t>
        </is>
      </c>
      <c r="R582" t="inlineStr">
        <is>
          <t>enk</t>
        </is>
      </c>
      <c r="T582" t="inlineStr">
        <is>
          <t xml:space="preserve">QP </t>
        </is>
      </c>
      <c r="U582" t="n">
        <v>4</v>
      </c>
      <c r="V582" t="n">
        <v>4</v>
      </c>
      <c r="W582" t="inlineStr">
        <is>
          <t>1996-03-09</t>
        </is>
      </c>
      <c r="X582" t="inlineStr">
        <is>
          <t>1996-03-09</t>
        </is>
      </c>
      <c r="Y582" t="inlineStr">
        <is>
          <t>1992-12-06</t>
        </is>
      </c>
      <c r="Z582" t="inlineStr">
        <is>
          <t>1992-12-06</t>
        </is>
      </c>
      <c r="AA582" t="n">
        <v>376</v>
      </c>
      <c r="AB582" t="n">
        <v>275</v>
      </c>
      <c r="AC582" t="n">
        <v>286</v>
      </c>
      <c r="AD582" t="n">
        <v>3</v>
      </c>
      <c r="AE582" t="n">
        <v>3</v>
      </c>
      <c r="AF582" t="n">
        <v>7</v>
      </c>
      <c r="AG582" t="n">
        <v>7</v>
      </c>
      <c r="AH582" t="n">
        <v>1</v>
      </c>
      <c r="AI582" t="n">
        <v>1</v>
      </c>
      <c r="AJ582" t="n">
        <v>2</v>
      </c>
      <c r="AK582" t="n">
        <v>2</v>
      </c>
      <c r="AL582" t="n">
        <v>4</v>
      </c>
      <c r="AM582" t="n">
        <v>4</v>
      </c>
      <c r="AN582" t="n">
        <v>2</v>
      </c>
      <c r="AO582" t="n">
        <v>2</v>
      </c>
      <c r="AP582" t="n">
        <v>0</v>
      </c>
      <c r="AQ582" t="n">
        <v>0</v>
      </c>
      <c r="AR582" t="inlineStr">
        <is>
          <t>No</t>
        </is>
      </c>
      <c r="AS582" t="inlineStr">
        <is>
          <t>Yes</t>
        </is>
      </c>
      <c r="AT582">
        <f>HYPERLINK("http://catalog.hathitrust.org/Record/008331317","HathiTrust Record")</f>
        <v/>
      </c>
      <c r="AU582">
        <f>HYPERLINK("https://creighton-primo.hosted.exlibrisgroup.com/primo-explore/search?tab=default_tab&amp;search_scope=EVERYTHING&amp;vid=01CRU&amp;lang=en_US&amp;offset=0&amp;query=any,contains,991004722619702656","Catalog Record")</f>
        <v/>
      </c>
      <c r="AV582">
        <f>HYPERLINK("http://www.worldcat.org/oclc/4804801","WorldCat Record")</f>
        <v/>
      </c>
      <c r="AW582" t="inlineStr">
        <is>
          <t>111161759:eng</t>
        </is>
      </c>
      <c r="AX582" t="inlineStr">
        <is>
          <t>4804801</t>
        </is>
      </c>
      <c r="AY582" t="inlineStr">
        <is>
          <t>991004722619702656</t>
        </is>
      </c>
      <c r="AZ582" t="inlineStr">
        <is>
          <t>991004722619702656</t>
        </is>
      </c>
      <c r="BA582" t="inlineStr">
        <is>
          <t>2270327690002656</t>
        </is>
      </c>
      <c r="BB582" t="inlineStr">
        <is>
          <t>BOOK</t>
        </is>
      </c>
      <c r="BD582" t="inlineStr">
        <is>
          <t>9780198545293</t>
        </is>
      </c>
      <c r="BE582" t="inlineStr">
        <is>
          <t>32285001439982</t>
        </is>
      </c>
      <c r="BF582" t="inlineStr">
        <is>
          <t>893619013</t>
        </is>
      </c>
    </row>
    <row r="583">
      <c r="B583" t="inlineStr">
        <is>
          <t>CURAL</t>
        </is>
      </c>
      <c r="C583" t="inlineStr">
        <is>
          <t>SHELVES</t>
        </is>
      </c>
      <c r="D583" t="inlineStr">
        <is>
          <t>QP475 .P24 1999</t>
        </is>
      </c>
      <c r="E583" t="inlineStr">
        <is>
          <t>0                      QP 0475000P  24          1999</t>
        </is>
      </c>
      <c r="F583" t="inlineStr">
        <is>
          <t>Vision science : photons to phenomenology / Stephen E. Palmer.</t>
        </is>
      </c>
      <c r="H583" t="inlineStr">
        <is>
          <t>No</t>
        </is>
      </c>
      <c r="I583" t="inlineStr">
        <is>
          <t>1</t>
        </is>
      </c>
      <c r="J583" t="inlineStr">
        <is>
          <t>No</t>
        </is>
      </c>
      <c r="K583" t="inlineStr">
        <is>
          <t>No</t>
        </is>
      </c>
      <c r="L583" t="inlineStr">
        <is>
          <t>0</t>
        </is>
      </c>
      <c r="M583" t="inlineStr">
        <is>
          <t>Palmer, Stephen E.</t>
        </is>
      </c>
      <c r="N583" t="inlineStr">
        <is>
          <t>Cambridge, Mass. : MIT Press, c1999.</t>
        </is>
      </c>
      <c r="O583" t="inlineStr">
        <is>
          <t>1999</t>
        </is>
      </c>
      <c r="Q583" t="inlineStr">
        <is>
          <t>eng</t>
        </is>
      </c>
      <c r="R583" t="inlineStr">
        <is>
          <t>mau</t>
        </is>
      </c>
      <c r="T583" t="inlineStr">
        <is>
          <t xml:space="preserve">QP </t>
        </is>
      </c>
      <c r="U583" t="n">
        <v>4</v>
      </c>
      <c r="V583" t="n">
        <v>4</v>
      </c>
      <c r="W583" t="inlineStr">
        <is>
          <t>2009-04-06</t>
        </is>
      </c>
      <c r="X583" t="inlineStr">
        <is>
          <t>2009-04-06</t>
        </is>
      </c>
      <c r="Y583" t="inlineStr">
        <is>
          <t>2003-11-10</t>
        </is>
      </c>
      <c r="Z583" t="inlineStr">
        <is>
          <t>2003-11-10</t>
        </is>
      </c>
      <c r="AA583" t="n">
        <v>469</v>
      </c>
      <c r="AB583" t="n">
        <v>304</v>
      </c>
      <c r="AC583" t="n">
        <v>1237</v>
      </c>
      <c r="AD583" t="n">
        <v>3</v>
      </c>
      <c r="AE583" t="n">
        <v>5</v>
      </c>
      <c r="AF583" t="n">
        <v>11</v>
      </c>
      <c r="AG583" t="n">
        <v>30</v>
      </c>
      <c r="AH583" t="n">
        <v>2</v>
      </c>
      <c r="AI583" t="n">
        <v>15</v>
      </c>
      <c r="AJ583" t="n">
        <v>2</v>
      </c>
      <c r="AK583" t="n">
        <v>5</v>
      </c>
      <c r="AL583" t="n">
        <v>8</v>
      </c>
      <c r="AM583" t="n">
        <v>15</v>
      </c>
      <c r="AN583" t="n">
        <v>2</v>
      </c>
      <c r="AO583" t="n">
        <v>3</v>
      </c>
      <c r="AP583" t="n">
        <v>0</v>
      </c>
      <c r="AQ583" t="n">
        <v>0</v>
      </c>
      <c r="AR583" t="inlineStr">
        <is>
          <t>No</t>
        </is>
      </c>
      <c r="AS583" t="inlineStr">
        <is>
          <t>No</t>
        </is>
      </c>
      <c r="AU583">
        <f>HYPERLINK("https://creighton-primo.hosted.exlibrisgroup.com/primo-explore/search?tab=default_tab&amp;search_scope=EVERYTHING&amp;vid=01CRU&amp;lang=en_US&amp;offset=0&amp;query=any,contains,991004170219702656","Catalog Record")</f>
        <v/>
      </c>
      <c r="AV583">
        <f>HYPERLINK("http://www.worldcat.org/oclc/40610519","WorldCat Record")</f>
        <v/>
      </c>
      <c r="AW583" t="inlineStr">
        <is>
          <t>799802508:eng</t>
        </is>
      </c>
      <c r="AX583" t="inlineStr">
        <is>
          <t>40610519</t>
        </is>
      </c>
      <c r="AY583" t="inlineStr">
        <is>
          <t>991004170219702656</t>
        </is>
      </c>
      <c r="AZ583" t="inlineStr">
        <is>
          <t>991004170219702656</t>
        </is>
      </c>
      <c r="BA583" t="inlineStr">
        <is>
          <t>2267774700002656</t>
        </is>
      </c>
      <c r="BB583" t="inlineStr">
        <is>
          <t>BOOK</t>
        </is>
      </c>
      <c r="BD583" t="inlineStr">
        <is>
          <t>9780262161831</t>
        </is>
      </c>
      <c r="BE583" t="inlineStr">
        <is>
          <t>32285004796214</t>
        </is>
      </c>
      <c r="BF583" t="inlineStr">
        <is>
          <t>893535848</t>
        </is>
      </c>
    </row>
    <row r="584">
      <c r="B584" t="inlineStr">
        <is>
          <t>CURAL</t>
        </is>
      </c>
      <c r="C584" t="inlineStr">
        <is>
          <t>SHELVES</t>
        </is>
      </c>
      <c r="D584" t="inlineStr">
        <is>
          <t>QP475 .P33 1998</t>
        </is>
      </c>
      <c r="E584" t="inlineStr">
        <is>
          <t>0                      QP 0475000P  33          1998</t>
        </is>
      </c>
      <c r="F584" t="inlineStr">
        <is>
          <t>Optics and vision / Leno S. Pedrotti, Frank L. Pedrotti.</t>
        </is>
      </c>
      <c r="H584" t="inlineStr">
        <is>
          <t>No</t>
        </is>
      </c>
      <c r="I584" t="inlineStr">
        <is>
          <t>1</t>
        </is>
      </c>
      <c r="J584" t="inlineStr">
        <is>
          <t>No</t>
        </is>
      </c>
      <c r="K584" t="inlineStr">
        <is>
          <t>No</t>
        </is>
      </c>
      <c r="L584" t="inlineStr">
        <is>
          <t>0</t>
        </is>
      </c>
      <c r="M584" t="inlineStr">
        <is>
          <t>Pedrotti, Leno S., 1927-</t>
        </is>
      </c>
      <c r="N584" t="inlineStr">
        <is>
          <t>Upper Saddle River, N.J. : Prentice Hall, c1998.</t>
        </is>
      </c>
      <c r="O584" t="inlineStr">
        <is>
          <t>1998</t>
        </is>
      </c>
      <c r="Q584" t="inlineStr">
        <is>
          <t>eng</t>
        </is>
      </c>
      <c r="R584" t="inlineStr">
        <is>
          <t>nju</t>
        </is>
      </c>
      <c r="T584" t="inlineStr">
        <is>
          <t xml:space="preserve">QP </t>
        </is>
      </c>
      <c r="U584" t="n">
        <v>3</v>
      </c>
      <c r="V584" t="n">
        <v>3</v>
      </c>
      <c r="W584" t="inlineStr">
        <is>
          <t>2002-10-14</t>
        </is>
      </c>
      <c r="X584" t="inlineStr">
        <is>
          <t>2002-10-14</t>
        </is>
      </c>
      <c r="Y584" t="inlineStr">
        <is>
          <t>2000-03-09</t>
        </is>
      </c>
      <c r="Z584" t="inlineStr">
        <is>
          <t>2000-03-09</t>
        </is>
      </c>
      <c r="AA584" t="n">
        <v>151</v>
      </c>
      <c r="AB584" t="n">
        <v>93</v>
      </c>
      <c r="AC584" t="n">
        <v>95</v>
      </c>
      <c r="AD584" t="n">
        <v>1</v>
      </c>
      <c r="AE584" t="n">
        <v>1</v>
      </c>
      <c r="AF584" t="n">
        <v>0</v>
      </c>
      <c r="AG584" t="n">
        <v>0</v>
      </c>
      <c r="AH584" t="n">
        <v>0</v>
      </c>
      <c r="AI584" t="n">
        <v>0</v>
      </c>
      <c r="AJ584" t="n">
        <v>0</v>
      </c>
      <c r="AK584" t="n">
        <v>0</v>
      </c>
      <c r="AL584" t="n">
        <v>0</v>
      </c>
      <c r="AM584" t="n">
        <v>0</v>
      </c>
      <c r="AN584" t="n">
        <v>0</v>
      </c>
      <c r="AO584" t="n">
        <v>0</v>
      </c>
      <c r="AP584" t="n">
        <v>0</v>
      </c>
      <c r="AQ584" t="n">
        <v>0</v>
      </c>
      <c r="AR584" t="inlineStr">
        <is>
          <t>No</t>
        </is>
      </c>
      <c r="AS584" t="inlineStr">
        <is>
          <t>No</t>
        </is>
      </c>
      <c r="AU584">
        <f>HYPERLINK("https://creighton-primo.hosted.exlibrisgroup.com/primo-explore/search?tab=default_tab&amp;search_scope=EVERYTHING&amp;vid=01CRU&amp;lang=en_US&amp;offset=0&amp;query=any,contains,991002826669702656","Catalog Record")</f>
        <v/>
      </c>
      <c r="AV584">
        <f>HYPERLINK("http://www.worldcat.org/oclc/37213957","WorldCat Record")</f>
        <v/>
      </c>
      <c r="AW584" t="inlineStr">
        <is>
          <t>592775:eng</t>
        </is>
      </c>
      <c r="AX584" t="inlineStr">
        <is>
          <t>37213957</t>
        </is>
      </c>
      <c r="AY584" t="inlineStr">
        <is>
          <t>991002826669702656</t>
        </is>
      </c>
      <c r="AZ584" t="inlineStr">
        <is>
          <t>991002826669702656</t>
        </is>
      </c>
      <c r="BA584" t="inlineStr">
        <is>
          <t>2257726400002656</t>
        </is>
      </c>
      <c r="BB584" t="inlineStr">
        <is>
          <t>BOOK</t>
        </is>
      </c>
      <c r="BD584" t="inlineStr">
        <is>
          <t>9780132422239</t>
        </is>
      </c>
      <c r="BE584" t="inlineStr">
        <is>
          <t>32285003668240</t>
        </is>
      </c>
      <c r="BF584" t="inlineStr">
        <is>
          <t>893504863</t>
        </is>
      </c>
    </row>
    <row r="585">
      <c r="B585" t="inlineStr">
        <is>
          <t>CURAL</t>
        </is>
      </c>
      <c r="C585" t="inlineStr">
        <is>
          <t>SHELVES</t>
        </is>
      </c>
      <c r="D585" t="inlineStr">
        <is>
          <t>QP475 .P38 1990</t>
        </is>
      </c>
      <c r="E585" t="inlineStr">
        <is>
          <t>0                      QP 0475000P  38          1990</t>
        </is>
      </c>
      <c r="F585" t="inlineStr">
        <is>
          <t>The Perceptual world : readings from Scientific American magazine / edited by Irvin Rock.</t>
        </is>
      </c>
      <c r="H585" t="inlineStr">
        <is>
          <t>No</t>
        </is>
      </c>
      <c r="I585" t="inlineStr">
        <is>
          <t>1</t>
        </is>
      </c>
      <c r="J585" t="inlineStr">
        <is>
          <t>No</t>
        </is>
      </c>
      <c r="K585" t="inlineStr">
        <is>
          <t>No</t>
        </is>
      </c>
      <c r="L585" t="inlineStr">
        <is>
          <t>0</t>
        </is>
      </c>
      <c r="N585" t="inlineStr">
        <is>
          <t>New York : W.H. Freeman, c1990.</t>
        </is>
      </c>
      <c r="O585" t="inlineStr">
        <is>
          <t>1990</t>
        </is>
      </c>
      <c r="Q585" t="inlineStr">
        <is>
          <t>eng</t>
        </is>
      </c>
      <c r="R585" t="inlineStr">
        <is>
          <t>nyu</t>
        </is>
      </c>
      <c r="T585" t="inlineStr">
        <is>
          <t xml:space="preserve">QP </t>
        </is>
      </c>
      <c r="U585" t="n">
        <v>6</v>
      </c>
      <c r="V585" t="n">
        <v>6</v>
      </c>
      <c r="W585" t="inlineStr">
        <is>
          <t>1997-05-02</t>
        </is>
      </c>
      <c r="X585" t="inlineStr">
        <is>
          <t>1997-05-02</t>
        </is>
      </c>
      <c r="Y585" t="inlineStr">
        <is>
          <t>1990-02-26</t>
        </is>
      </c>
      <c r="Z585" t="inlineStr">
        <is>
          <t>1990-02-26</t>
        </is>
      </c>
      <c r="AA585" t="n">
        <v>268</v>
      </c>
      <c r="AB585" t="n">
        <v>174</v>
      </c>
      <c r="AC585" t="n">
        <v>174</v>
      </c>
      <c r="AD585" t="n">
        <v>1</v>
      </c>
      <c r="AE585" t="n">
        <v>1</v>
      </c>
      <c r="AF585" t="n">
        <v>6</v>
      </c>
      <c r="AG585" t="n">
        <v>6</v>
      </c>
      <c r="AH585" t="n">
        <v>2</v>
      </c>
      <c r="AI585" t="n">
        <v>2</v>
      </c>
      <c r="AJ585" t="n">
        <v>2</v>
      </c>
      <c r="AK585" t="n">
        <v>2</v>
      </c>
      <c r="AL585" t="n">
        <v>4</v>
      </c>
      <c r="AM585" t="n">
        <v>4</v>
      </c>
      <c r="AN585" t="n">
        <v>0</v>
      </c>
      <c r="AO585" t="n">
        <v>0</v>
      </c>
      <c r="AP585" t="n">
        <v>0</v>
      </c>
      <c r="AQ585" t="n">
        <v>0</v>
      </c>
      <c r="AR585" t="inlineStr">
        <is>
          <t>No</t>
        </is>
      </c>
      <c r="AS585" t="inlineStr">
        <is>
          <t>No</t>
        </is>
      </c>
      <c r="AU585">
        <f>HYPERLINK("https://creighton-primo.hosted.exlibrisgroup.com/primo-explore/search?tab=default_tab&amp;search_scope=EVERYTHING&amp;vid=01CRU&amp;lang=en_US&amp;offset=0&amp;query=any,contains,991001543199702656","Catalog Record")</f>
        <v/>
      </c>
      <c r="AV585">
        <f>HYPERLINK("http://www.worldcat.org/oclc/20133558","WorldCat Record")</f>
        <v/>
      </c>
      <c r="AW585" t="inlineStr">
        <is>
          <t>889909523:eng</t>
        </is>
      </c>
      <c r="AX585" t="inlineStr">
        <is>
          <t>20133558</t>
        </is>
      </c>
      <c r="AY585" t="inlineStr">
        <is>
          <t>991001543199702656</t>
        </is>
      </c>
      <c r="AZ585" t="inlineStr">
        <is>
          <t>991001543199702656</t>
        </is>
      </c>
      <c r="BA585" t="inlineStr">
        <is>
          <t>2261259030002656</t>
        </is>
      </c>
      <c r="BB585" t="inlineStr">
        <is>
          <t>BOOK</t>
        </is>
      </c>
      <c r="BD585" t="inlineStr">
        <is>
          <t>9780716720683</t>
        </is>
      </c>
      <c r="BE585" t="inlineStr">
        <is>
          <t>32285000041011</t>
        </is>
      </c>
      <c r="BF585" t="inlineStr">
        <is>
          <t>893885352</t>
        </is>
      </c>
    </row>
    <row r="586">
      <c r="B586" t="inlineStr">
        <is>
          <t>CURAL</t>
        </is>
      </c>
      <c r="C586" t="inlineStr">
        <is>
          <t>SHELVES</t>
        </is>
      </c>
      <c r="D586" t="inlineStr">
        <is>
          <t>QP475 .S576 1997</t>
        </is>
      </c>
      <c r="E586" t="inlineStr">
        <is>
          <t>0                      QP 0475000S  576         1997</t>
        </is>
      </c>
      <c r="F586" t="inlineStr">
        <is>
          <t>The eye and visual optical instruments / George Smith, David A. Atchison.</t>
        </is>
      </c>
      <c r="H586" t="inlineStr">
        <is>
          <t>No</t>
        </is>
      </c>
      <c r="I586" t="inlineStr">
        <is>
          <t>1</t>
        </is>
      </c>
      <c r="J586" t="inlineStr">
        <is>
          <t>No</t>
        </is>
      </c>
      <c r="K586" t="inlineStr">
        <is>
          <t>No</t>
        </is>
      </c>
      <c r="L586" t="inlineStr">
        <is>
          <t>0</t>
        </is>
      </c>
      <c r="M586" t="inlineStr">
        <is>
          <t>Smith, George, 1941 October 19-</t>
        </is>
      </c>
      <c r="N586" t="inlineStr">
        <is>
          <t>Cambridge, U.K. ; New York, NY, USA : Cambridge University Press, 1997.</t>
        </is>
      </c>
      <c r="O586" t="inlineStr">
        <is>
          <t>1997</t>
        </is>
      </c>
      <c r="Q586" t="inlineStr">
        <is>
          <t>eng</t>
        </is>
      </c>
      <c r="R586" t="inlineStr">
        <is>
          <t>enk</t>
        </is>
      </c>
      <c r="T586" t="inlineStr">
        <is>
          <t xml:space="preserve">QP </t>
        </is>
      </c>
      <c r="U586" t="n">
        <v>7</v>
      </c>
      <c r="V586" t="n">
        <v>7</v>
      </c>
      <c r="W586" t="inlineStr">
        <is>
          <t>2002-02-19</t>
        </is>
      </c>
      <c r="X586" t="inlineStr">
        <is>
          <t>2002-02-19</t>
        </is>
      </c>
      <c r="Y586" t="inlineStr">
        <is>
          <t>1998-06-30</t>
        </is>
      </c>
      <c r="Z586" t="inlineStr">
        <is>
          <t>1998-06-30</t>
        </is>
      </c>
      <c r="AA586" t="n">
        <v>314</v>
      </c>
      <c r="AB586" t="n">
        <v>209</v>
      </c>
      <c r="AC586" t="n">
        <v>229</v>
      </c>
      <c r="AD586" t="n">
        <v>1</v>
      </c>
      <c r="AE586" t="n">
        <v>1</v>
      </c>
      <c r="AF586" t="n">
        <v>7</v>
      </c>
      <c r="AG586" t="n">
        <v>7</v>
      </c>
      <c r="AH586" t="n">
        <v>1</v>
      </c>
      <c r="AI586" t="n">
        <v>1</v>
      </c>
      <c r="AJ586" t="n">
        <v>2</v>
      </c>
      <c r="AK586" t="n">
        <v>2</v>
      </c>
      <c r="AL586" t="n">
        <v>6</v>
      </c>
      <c r="AM586" t="n">
        <v>6</v>
      </c>
      <c r="AN586" t="n">
        <v>0</v>
      </c>
      <c r="AO586" t="n">
        <v>0</v>
      </c>
      <c r="AP586" t="n">
        <v>0</v>
      </c>
      <c r="AQ586" t="n">
        <v>0</v>
      </c>
      <c r="AR586" t="inlineStr">
        <is>
          <t>No</t>
        </is>
      </c>
      <c r="AS586" t="inlineStr">
        <is>
          <t>No</t>
        </is>
      </c>
      <c r="AU586">
        <f>HYPERLINK("https://creighton-primo.hosted.exlibrisgroup.com/primo-explore/search?tab=default_tab&amp;search_scope=EVERYTHING&amp;vid=01CRU&amp;lang=en_US&amp;offset=0&amp;query=any,contains,991002660439702656","Catalog Record")</f>
        <v/>
      </c>
      <c r="AV586">
        <f>HYPERLINK("http://www.worldcat.org/oclc/34772297","WorldCat Record")</f>
        <v/>
      </c>
      <c r="AW586" t="inlineStr">
        <is>
          <t>44127666:eng</t>
        </is>
      </c>
      <c r="AX586" t="inlineStr">
        <is>
          <t>34772297</t>
        </is>
      </c>
      <c r="AY586" t="inlineStr">
        <is>
          <t>991002660439702656</t>
        </is>
      </c>
      <c r="AZ586" t="inlineStr">
        <is>
          <t>991002660439702656</t>
        </is>
      </c>
      <c r="BA586" t="inlineStr">
        <is>
          <t>2263236860002656</t>
        </is>
      </c>
      <c r="BB586" t="inlineStr">
        <is>
          <t>BOOK</t>
        </is>
      </c>
      <c r="BD586" t="inlineStr">
        <is>
          <t>9780521472524</t>
        </is>
      </c>
      <c r="BE586" t="inlineStr">
        <is>
          <t>32285003424594</t>
        </is>
      </c>
      <c r="BF586" t="inlineStr">
        <is>
          <t>893685623</t>
        </is>
      </c>
    </row>
    <row r="587">
      <c r="B587" t="inlineStr">
        <is>
          <t>CURAL</t>
        </is>
      </c>
      <c r="C587" t="inlineStr">
        <is>
          <t>SHELVES</t>
        </is>
      </c>
      <c r="D587" t="inlineStr">
        <is>
          <t>QP475 .S6 1961</t>
        </is>
      </c>
      <c r="E587" t="inlineStr">
        <is>
          <t>0                      QP 0475000S  6           1961</t>
        </is>
      </c>
      <c r="F587" t="inlineStr">
        <is>
          <t>Introduction to physiological optics.</t>
        </is>
      </c>
      <c r="H587" t="inlineStr">
        <is>
          <t>No</t>
        </is>
      </c>
      <c r="I587" t="inlineStr">
        <is>
          <t>1</t>
        </is>
      </c>
      <c r="J587" t="inlineStr">
        <is>
          <t>No</t>
        </is>
      </c>
      <c r="K587" t="inlineStr">
        <is>
          <t>No</t>
        </is>
      </c>
      <c r="L587" t="inlineStr">
        <is>
          <t>0</t>
        </is>
      </c>
      <c r="M587" t="inlineStr">
        <is>
          <t>Southall, James P. C. (James Powell Cocke), 1871-1962.</t>
        </is>
      </c>
      <c r="N587" t="inlineStr">
        <is>
          <t>New York : Dover Publications, [1961, c1937]</t>
        </is>
      </c>
      <c r="O587" t="inlineStr">
        <is>
          <t>1961</t>
        </is>
      </c>
      <c r="Q587" t="inlineStr">
        <is>
          <t>eng</t>
        </is>
      </c>
      <c r="R587" t="inlineStr">
        <is>
          <t>nyu</t>
        </is>
      </c>
      <c r="T587" t="inlineStr">
        <is>
          <t xml:space="preserve">QP </t>
        </is>
      </c>
      <c r="U587" t="n">
        <v>8</v>
      </c>
      <c r="V587" t="n">
        <v>8</v>
      </c>
      <c r="W587" t="inlineStr">
        <is>
          <t>1999-09-21</t>
        </is>
      </c>
      <c r="X587" t="inlineStr">
        <is>
          <t>1999-09-21</t>
        </is>
      </c>
      <c r="Y587" t="inlineStr">
        <is>
          <t>1992-12-23</t>
        </is>
      </c>
      <c r="Z587" t="inlineStr">
        <is>
          <t>1992-12-23</t>
        </is>
      </c>
      <c r="AA587" t="n">
        <v>175</v>
      </c>
      <c r="AB587" t="n">
        <v>160</v>
      </c>
      <c r="AC587" t="n">
        <v>331</v>
      </c>
      <c r="AD587" t="n">
        <v>4</v>
      </c>
      <c r="AE587" t="n">
        <v>4</v>
      </c>
      <c r="AF587" t="n">
        <v>12</v>
      </c>
      <c r="AG587" t="n">
        <v>15</v>
      </c>
      <c r="AH587" t="n">
        <v>3</v>
      </c>
      <c r="AI587" t="n">
        <v>4</v>
      </c>
      <c r="AJ587" t="n">
        <v>1</v>
      </c>
      <c r="AK587" t="n">
        <v>2</v>
      </c>
      <c r="AL587" t="n">
        <v>7</v>
      </c>
      <c r="AM587" t="n">
        <v>9</v>
      </c>
      <c r="AN587" t="n">
        <v>3</v>
      </c>
      <c r="AO587" t="n">
        <v>3</v>
      </c>
      <c r="AP587" t="n">
        <v>0</v>
      </c>
      <c r="AQ587" t="n">
        <v>0</v>
      </c>
      <c r="AR587" t="inlineStr">
        <is>
          <t>No</t>
        </is>
      </c>
      <c r="AS587" t="inlineStr">
        <is>
          <t>Yes</t>
        </is>
      </c>
      <c r="AT587">
        <f>HYPERLINK("http://catalog.hathitrust.org/Record/001555089","HathiTrust Record")</f>
        <v/>
      </c>
      <c r="AU587">
        <f>HYPERLINK("https://creighton-primo.hosted.exlibrisgroup.com/primo-explore/search?tab=default_tab&amp;search_scope=EVERYTHING&amp;vid=01CRU&amp;lang=en_US&amp;offset=0&amp;query=any,contains,991002989599702656","Catalog Record")</f>
        <v/>
      </c>
      <c r="AV587">
        <f>HYPERLINK("http://www.worldcat.org/oclc/14617205","WorldCat Record")</f>
        <v/>
      </c>
      <c r="AW587" t="inlineStr">
        <is>
          <t>3768514193:eng</t>
        </is>
      </c>
      <c r="AX587" t="inlineStr">
        <is>
          <t>14617205</t>
        </is>
      </c>
      <c r="AY587" t="inlineStr">
        <is>
          <t>991002989599702656</t>
        </is>
      </c>
      <c r="AZ587" t="inlineStr">
        <is>
          <t>991002989599702656</t>
        </is>
      </c>
      <c r="BA587" t="inlineStr">
        <is>
          <t>2262207910002656</t>
        </is>
      </c>
      <c r="BB587" t="inlineStr">
        <is>
          <t>BOOK</t>
        </is>
      </c>
      <c r="BE587" t="inlineStr">
        <is>
          <t>32285001404739</t>
        </is>
      </c>
      <c r="BF587" t="inlineStr">
        <is>
          <t>893686056</t>
        </is>
      </c>
    </row>
    <row r="588">
      <c r="B588" t="inlineStr">
        <is>
          <t>CURAL</t>
        </is>
      </c>
      <c r="C588" t="inlineStr">
        <is>
          <t>SHELVES</t>
        </is>
      </c>
      <c r="D588" t="inlineStr">
        <is>
          <t>QP475 .W24 1998</t>
        </is>
      </c>
      <c r="E588" t="inlineStr">
        <is>
          <t>0                      QP 0475000W  24          1998</t>
        </is>
      </c>
      <c r="F588" t="inlineStr">
        <is>
          <t>A natural history of vision / Nicholas J. Wade.</t>
        </is>
      </c>
      <c r="H588" t="inlineStr">
        <is>
          <t>No</t>
        </is>
      </c>
      <c r="I588" t="inlineStr">
        <is>
          <t>1</t>
        </is>
      </c>
      <c r="J588" t="inlineStr">
        <is>
          <t>No</t>
        </is>
      </c>
      <c r="K588" t="inlineStr">
        <is>
          <t>No</t>
        </is>
      </c>
      <c r="L588" t="inlineStr">
        <is>
          <t>0</t>
        </is>
      </c>
      <c r="M588" t="inlineStr">
        <is>
          <t>Wade, Nicholas.</t>
        </is>
      </c>
      <c r="N588" t="inlineStr">
        <is>
          <t>Cambridge, Mass. : MIT Press, c1998.</t>
        </is>
      </c>
      <c r="O588" t="inlineStr">
        <is>
          <t>1998</t>
        </is>
      </c>
      <c r="Q588" t="inlineStr">
        <is>
          <t>eng</t>
        </is>
      </c>
      <c r="R588" t="inlineStr">
        <is>
          <t>mau</t>
        </is>
      </c>
      <c r="T588" t="inlineStr">
        <is>
          <t xml:space="preserve">QP </t>
        </is>
      </c>
      <c r="U588" t="n">
        <v>5</v>
      </c>
      <c r="V588" t="n">
        <v>5</v>
      </c>
      <c r="W588" t="inlineStr">
        <is>
          <t>2009-04-28</t>
        </is>
      </c>
      <c r="X588" t="inlineStr">
        <is>
          <t>2009-04-28</t>
        </is>
      </c>
      <c r="Y588" t="inlineStr">
        <is>
          <t>1999-03-22</t>
        </is>
      </c>
      <c r="Z588" t="inlineStr">
        <is>
          <t>1999-03-22</t>
        </is>
      </c>
      <c r="AA588" t="n">
        <v>601</v>
      </c>
      <c r="AB588" t="n">
        <v>455</v>
      </c>
      <c r="AC588" t="n">
        <v>991</v>
      </c>
      <c r="AD588" t="n">
        <v>3</v>
      </c>
      <c r="AE588" t="n">
        <v>3</v>
      </c>
      <c r="AF588" t="n">
        <v>17</v>
      </c>
      <c r="AG588" t="n">
        <v>20</v>
      </c>
      <c r="AH588" t="n">
        <v>4</v>
      </c>
      <c r="AI588" t="n">
        <v>7</v>
      </c>
      <c r="AJ588" t="n">
        <v>4</v>
      </c>
      <c r="AK588" t="n">
        <v>4</v>
      </c>
      <c r="AL588" t="n">
        <v>13</v>
      </c>
      <c r="AM588" t="n">
        <v>13</v>
      </c>
      <c r="AN588" t="n">
        <v>2</v>
      </c>
      <c r="AO588" t="n">
        <v>2</v>
      </c>
      <c r="AP588" t="n">
        <v>0</v>
      </c>
      <c r="AQ588" t="n">
        <v>0</v>
      </c>
      <c r="AR588" t="inlineStr">
        <is>
          <t>No</t>
        </is>
      </c>
      <c r="AS588" t="inlineStr">
        <is>
          <t>No</t>
        </is>
      </c>
      <c r="AU588">
        <f>HYPERLINK("https://creighton-primo.hosted.exlibrisgroup.com/primo-explore/search?tab=default_tab&amp;search_scope=EVERYTHING&amp;vid=01CRU&amp;lang=en_US&amp;offset=0&amp;query=any,contains,991002829009702656","Catalog Record")</f>
        <v/>
      </c>
      <c r="AV588">
        <f>HYPERLINK("http://www.worldcat.org/oclc/37246567","WorldCat Record")</f>
        <v/>
      </c>
      <c r="AW588" t="inlineStr">
        <is>
          <t>56193105:eng</t>
        </is>
      </c>
      <c r="AX588" t="inlineStr">
        <is>
          <t>37246567</t>
        </is>
      </c>
      <c r="AY588" t="inlineStr">
        <is>
          <t>991002829009702656</t>
        </is>
      </c>
      <c r="AZ588" t="inlineStr">
        <is>
          <t>991002829009702656</t>
        </is>
      </c>
      <c r="BA588" t="inlineStr">
        <is>
          <t>2267770710002656</t>
        </is>
      </c>
      <c r="BB588" t="inlineStr">
        <is>
          <t>BOOK</t>
        </is>
      </c>
      <c r="BD588" t="inlineStr">
        <is>
          <t>9780262231947</t>
        </is>
      </c>
      <c r="BE588" t="inlineStr">
        <is>
          <t>32285003534046</t>
        </is>
      </c>
      <c r="BF588" t="inlineStr">
        <is>
          <t>893535209</t>
        </is>
      </c>
    </row>
    <row r="589">
      <c r="B589" t="inlineStr">
        <is>
          <t>CURAL</t>
        </is>
      </c>
      <c r="C589" t="inlineStr">
        <is>
          <t>SHELVES</t>
        </is>
      </c>
      <c r="D589" t="inlineStr">
        <is>
          <t>QP475 .W58 1966</t>
        </is>
      </c>
      <c r="E589" t="inlineStr">
        <is>
          <t>0                      QP 0475000W  58          1966</t>
        </is>
      </c>
      <c r="F589" t="inlineStr">
        <is>
          <t>Seeing and perceiving / by C.W. Wilman.</t>
        </is>
      </c>
      <c r="H589" t="inlineStr">
        <is>
          <t>No</t>
        </is>
      </c>
      <c r="I589" t="inlineStr">
        <is>
          <t>1</t>
        </is>
      </c>
      <c r="J589" t="inlineStr">
        <is>
          <t>No</t>
        </is>
      </c>
      <c r="K589" t="inlineStr">
        <is>
          <t>No</t>
        </is>
      </c>
      <c r="L589" t="inlineStr">
        <is>
          <t>0</t>
        </is>
      </c>
      <c r="M589" t="inlineStr">
        <is>
          <t>Wilman, C. W. (Charles Wilfred)</t>
        </is>
      </c>
      <c r="N589" t="inlineStr">
        <is>
          <t>Oxford ; New York : Pergamon, 1966.</t>
        </is>
      </c>
      <c r="O589" t="inlineStr">
        <is>
          <t>1966</t>
        </is>
      </c>
      <c r="P589" t="inlineStr">
        <is>
          <t>[1st ed.].</t>
        </is>
      </c>
      <c r="Q589" t="inlineStr">
        <is>
          <t>eng</t>
        </is>
      </c>
      <c r="R589" t="inlineStr">
        <is>
          <t>enk</t>
        </is>
      </c>
      <c r="S589" t="inlineStr">
        <is>
          <t>Commonwealth and international library. Liberal studies division</t>
        </is>
      </c>
      <c r="T589" t="inlineStr">
        <is>
          <t xml:space="preserve">QP </t>
        </is>
      </c>
      <c r="U589" t="n">
        <v>4</v>
      </c>
      <c r="V589" t="n">
        <v>4</v>
      </c>
      <c r="W589" t="inlineStr">
        <is>
          <t>1998-11-20</t>
        </is>
      </c>
      <c r="X589" t="inlineStr">
        <is>
          <t>1998-11-20</t>
        </is>
      </c>
      <c r="Y589" t="inlineStr">
        <is>
          <t>1991-08-20</t>
        </is>
      </c>
      <c r="Z589" t="inlineStr">
        <is>
          <t>1991-08-20</t>
        </is>
      </c>
      <c r="AA589" t="n">
        <v>328</v>
      </c>
      <c r="AB589" t="n">
        <v>253</v>
      </c>
      <c r="AC589" t="n">
        <v>257</v>
      </c>
      <c r="AD589" t="n">
        <v>5</v>
      </c>
      <c r="AE589" t="n">
        <v>5</v>
      </c>
      <c r="AF589" t="n">
        <v>9</v>
      </c>
      <c r="AG589" t="n">
        <v>9</v>
      </c>
      <c r="AH589" t="n">
        <v>3</v>
      </c>
      <c r="AI589" t="n">
        <v>3</v>
      </c>
      <c r="AJ589" t="n">
        <v>1</v>
      </c>
      <c r="AK589" t="n">
        <v>1</v>
      </c>
      <c r="AL589" t="n">
        <v>2</v>
      </c>
      <c r="AM589" t="n">
        <v>2</v>
      </c>
      <c r="AN589" t="n">
        <v>4</v>
      </c>
      <c r="AO589" t="n">
        <v>4</v>
      </c>
      <c r="AP589" t="n">
        <v>0</v>
      </c>
      <c r="AQ589" t="n">
        <v>0</v>
      </c>
      <c r="AR589" t="inlineStr">
        <is>
          <t>No</t>
        </is>
      </c>
      <c r="AS589" t="inlineStr">
        <is>
          <t>Yes</t>
        </is>
      </c>
      <c r="AT589">
        <f>HYPERLINK("http://catalog.hathitrust.org/Record/000853058","HathiTrust Record")</f>
        <v/>
      </c>
      <c r="AU589">
        <f>HYPERLINK("https://creighton-primo.hosted.exlibrisgroup.com/primo-explore/search?tab=default_tab&amp;search_scope=EVERYTHING&amp;vid=01CRU&amp;lang=en_US&amp;offset=0&amp;query=any,contains,991003664199702656","Catalog Record")</f>
        <v/>
      </c>
      <c r="AV589">
        <f>HYPERLINK("http://www.worldcat.org/oclc/1276758","WorldCat Record")</f>
        <v/>
      </c>
      <c r="AW589" t="inlineStr">
        <is>
          <t>2205703:eng</t>
        </is>
      </c>
      <c r="AX589" t="inlineStr">
        <is>
          <t>1276758</t>
        </is>
      </c>
      <c r="AY589" t="inlineStr">
        <is>
          <t>991003664199702656</t>
        </is>
      </c>
      <c r="AZ589" t="inlineStr">
        <is>
          <t>991003664199702656</t>
        </is>
      </c>
      <c r="BA589" t="inlineStr">
        <is>
          <t>2259939450002656</t>
        </is>
      </c>
      <c r="BB589" t="inlineStr">
        <is>
          <t>BOOK</t>
        </is>
      </c>
      <c r="BE589" t="inlineStr">
        <is>
          <t>32285000697010</t>
        </is>
      </c>
      <c r="BF589" t="inlineStr">
        <is>
          <t>893531450</t>
        </is>
      </c>
    </row>
    <row r="590">
      <c r="B590" t="inlineStr">
        <is>
          <t>CURAL</t>
        </is>
      </c>
      <c r="C590" t="inlineStr">
        <is>
          <t>SHELVES</t>
        </is>
      </c>
      <c r="D590" t="inlineStr">
        <is>
          <t>QP475.5 .M8 1966</t>
        </is>
      </c>
      <c r="E590" t="inlineStr">
        <is>
          <t>0                      QP 0475500M  8           1966</t>
        </is>
      </c>
      <c r="F590" t="inlineStr">
        <is>
          <t>Light and vision / by Conrad G. Mueller, Mae Rudolph, and the editors of Life.</t>
        </is>
      </c>
      <c r="H590" t="inlineStr">
        <is>
          <t>No</t>
        </is>
      </c>
      <c r="I590" t="inlineStr">
        <is>
          <t>1</t>
        </is>
      </c>
      <c r="J590" t="inlineStr">
        <is>
          <t>No</t>
        </is>
      </c>
      <c r="K590" t="inlineStr">
        <is>
          <t>No</t>
        </is>
      </c>
      <c r="L590" t="inlineStr">
        <is>
          <t>0</t>
        </is>
      </c>
      <c r="M590" t="inlineStr">
        <is>
          <t>Mueller, Conrad G. (Conrad George), 1920-</t>
        </is>
      </c>
      <c r="N590" t="inlineStr">
        <is>
          <t>New York : Time, inc., [1966]</t>
        </is>
      </c>
      <c r="O590" t="inlineStr">
        <is>
          <t>1966</t>
        </is>
      </c>
      <c r="Q590" t="inlineStr">
        <is>
          <t>eng</t>
        </is>
      </c>
      <c r="R590" t="inlineStr">
        <is>
          <t>nyu</t>
        </is>
      </c>
      <c r="S590" t="inlineStr">
        <is>
          <t>Life science library</t>
        </is>
      </c>
      <c r="T590" t="inlineStr">
        <is>
          <t xml:space="preserve">QP </t>
        </is>
      </c>
      <c r="U590" t="n">
        <v>4</v>
      </c>
      <c r="V590" t="n">
        <v>4</v>
      </c>
      <c r="W590" t="inlineStr">
        <is>
          <t>1998-09-13</t>
        </is>
      </c>
      <c r="X590" t="inlineStr">
        <is>
          <t>1998-09-13</t>
        </is>
      </c>
      <c r="Y590" t="inlineStr">
        <is>
          <t>1991-08-20</t>
        </is>
      </c>
      <c r="Z590" t="inlineStr">
        <is>
          <t>1991-08-20</t>
        </is>
      </c>
      <c r="AA590" t="n">
        <v>1342</v>
      </c>
      <c r="AB590" t="n">
        <v>1234</v>
      </c>
      <c r="AC590" t="n">
        <v>1277</v>
      </c>
      <c r="AD590" t="n">
        <v>11</v>
      </c>
      <c r="AE590" t="n">
        <v>11</v>
      </c>
      <c r="AF590" t="n">
        <v>25</v>
      </c>
      <c r="AG590" t="n">
        <v>27</v>
      </c>
      <c r="AH590" t="n">
        <v>11</v>
      </c>
      <c r="AI590" t="n">
        <v>12</v>
      </c>
      <c r="AJ590" t="n">
        <v>3</v>
      </c>
      <c r="AK590" t="n">
        <v>4</v>
      </c>
      <c r="AL590" t="n">
        <v>15</v>
      </c>
      <c r="AM590" t="n">
        <v>15</v>
      </c>
      <c r="AN590" t="n">
        <v>4</v>
      </c>
      <c r="AO590" t="n">
        <v>4</v>
      </c>
      <c r="AP590" t="n">
        <v>0</v>
      </c>
      <c r="AQ590" t="n">
        <v>0</v>
      </c>
      <c r="AR590" t="inlineStr">
        <is>
          <t>No</t>
        </is>
      </c>
      <c r="AS590" t="inlineStr">
        <is>
          <t>Yes</t>
        </is>
      </c>
      <c r="AT590">
        <f>HYPERLINK("http://catalog.hathitrust.org/Record/001555092","HathiTrust Record")</f>
        <v/>
      </c>
      <c r="AU590">
        <f>HYPERLINK("https://creighton-primo.hosted.exlibrisgroup.com/primo-explore/search?tab=default_tab&amp;search_scope=EVERYTHING&amp;vid=01CRU&amp;lang=en_US&amp;offset=0&amp;query=any,contains,991002878239702656","Catalog Record")</f>
        <v/>
      </c>
      <c r="AV590">
        <f>HYPERLINK("http://www.worldcat.org/oclc/504077","WorldCat Record")</f>
        <v/>
      </c>
      <c r="AW590" t="inlineStr">
        <is>
          <t>47508940:eng</t>
        </is>
      </c>
      <c r="AX590" t="inlineStr">
        <is>
          <t>504077</t>
        </is>
      </c>
      <c r="AY590" t="inlineStr">
        <is>
          <t>991002878239702656</t>
        </is>
      </c>
      <c r="AZ590" t="inlineStr">
        <is>
          <t>991002878239702656</t>
        </is>
      </c>
      <c r="BA590" t="inlineStr">
        <is>
          <t>2260888770002656</t>
        </is>
      </c>
      <c r="BB590" t="inlineStr">
        <is>
          <t>BOOK</t>
        </is>
      </c>
      <c r="BE590" t="inlineStr">
        <is>
          <t>32285000697085</t>
        </is>
      </c>
      <c r="BF590" t="inlineStr">
        <is>
          <t>893323488</t>
        </is>
      </c>
    </row>
    <row r="591">
      <c r="B591" t="inlineStr">
        <is>
          <t>CURAL</t>
        </is>
      </c>
      <c r="C591" t="inlineStr">
        <is>
          <t>SHELVES</t>
        </is>
      </c>
      <c r="D591" t="inlineStr">
        <is>
          <t>QP475.5 .R48</t>
        </is>
      </c>
      <c r="E591" t="inlineStr">
        <is>
          <t>0                      QP 0475500R  48</t>
        </is>
      </c>
      <c r="F591" t="inlineStr">
        <is>
          <t>Sportsvision : Dr. Revien's eye exercises Program for athletes / by Leon Revien &amp; Mark Gabor ; photographs by Jerry Darvin.</t>
        </is>
      </c>
      <c r="H591" t="inlineStr">
        <is>
          <t>No</t>
        </is>
      </c>
      <c r="I591" t="inlineStr">
        <is>
          <t>1</t>
        </is>
      </c>
      <c r="J591" t="inlineStr">
        <is>
          <t>No</t>
        </is>
      </c>
      <c r="K591" t="inlineStr">
        <is>
          <t>No</t>
        </is>
      </c>
      <c r="L591" t="inlineStr">
        <is>
          <t>0</t>
        </is>
      </c>
      <c r="M591" t="inlineStr">
        <is>
          <t>Revien, Leon.</t>
        </is>
      </c>
      <c r="N591" t="inlineStr">
        <is>
          <t>New York : Workman Pub., c1981.</t>
        </is>
      </c>
      <c r="O591" t="inlineStr">
        <is>
          <t>1981</t>
        </is>
      </c>
      <c r="Q591" t="inlineStr">
        <is>
          <t>eng</t>
        </is>
      </c>
      <c r="R591" t="inlineStr">
        <is>
          <t>nyu</t>
        </is>
      </c>
      <c r="T591" t="inlineStr">
        <is>
          <t xml:space="preserve">QP </t>
        </is>
      </c>
      <c r="U591" t="n">
        <v>2</v>
      </c>
      <c r="V591" t="n">
        <v>2</v>
      </c>
      <c r="W591" t="inlineStr">
        <is>
          <t>1994-11-28</t>
        </is>
      </c>
      <c r="X591" t="inlineStr">
        <is>
          <t>1994-11-28</t>
        </is>
      </c>
      <c r="Y591" t="inlineStr">
        <is>
          <t>1993-03-04</t>
        </is>
      </c>
      <c r="Z591" t="inlineStr">
        <is>
          <t>1993-03-04</t>
        </is>
      </c>
      <c r="AA591" t="n">
        <v>142</v>
      </c>
      <c r="AB591" t="n">
        <v>124</v>
      </c>
      <c r="AC591" t="n">
        <v>125</v>
      </c>
      <c r="AD591" t="n">
        <v>2</v>
      </c>
      <c r="AE591" t="n">
        <v>2</v>
      </c>
      <c r="AF591" t="n">
        <v>0</v>
      </c>
      <c r="AG591" t="n">
        <v>0</v>
      </c>
      <c r="AH591" t="n">
        <v>0</v>
      </c>
      <c r="AI591" t="n">
        <v>0</v>
      </c>
      <c r="AJ591" t="n">
        <v>0</v>
      </c>
      <c r="AK591" t="n">
        <v>0</v>
      </c>
      <c r="AL591" t="n">
        <v>0</v>
      </c>
      <c r="AM591" t="n">
        <v>0</v>
      </c>
      <c r="AN591" t="n">
        <v>0</v>
      </c>
      <c r="AO591" t="n">
        <v>0</v>
      </c>
      <c r="AP591" t="n">
        <v>0</v>
      </c>
      <c r="AQ591" t="n">
        <v>0</v>
      </c>
      <c r="AR591" t="inlineStr">
        <is>
          <t>No</t>
        </is>
      </c>
      <c r="AS591" t="inlineStr">
        <is>
          <t>Yes</t>
        </is>
      </c>
      <c r="AT591">
        <f>HYPERLINK("http://catalog.hathitrust.org/Record/101908326","HathiTrust Record")</f>
        <v/>
      </c>
      <c r="AU591">
        <f>HYPERLINK("https://creighton-primo.hosted.exlibrisgroup.com/primo-explore/search?tab=default_tab&amp;search_scope=EVERYTHING&amp;vid=01CRU&amp;lang=en_US&amp;offset=0&amp;query=any,contains,991005114619702656","Catalog Record")</f>
        <v/>
      </c>
      <c r="AV591">
        <f>HYPERLINK("http://www.worldcat.org/oclc/7461348","WorldCat Record")</f>
        <v/>
      </c>
      <c r="AW591" t="inlineStr">
        <is>
          <t>427157683:eng</t>
        </is>
      </c>
      <c r="AX591" t="inlineStr">
        <is>
          <t>7461348</t>
        </is>
      </c>
      <c r="AY591" t="inlineStr">
        <is>
          <t>991005114619702656</t>
        </is>
      </c>
      <c r="AZ591" t="inlineStr">
        <is>
          <t>991005114619702656</t>
        </is>
      </c>
      <c r="BA591" t="inlineStr">
        <is>
          <t>2265963270002656</t>
        </is>
      </c>
      <c r="BB591" t="inlineStr">
        <is>
          <t>BOOK</t>
        </is>
      </c>
      <c r="BD591" t="inlineStr">
        <is>
          <t>9780894801525</t>
        </is>
      </c>
      <c r="BE591" t="inlineStr">
        <is>
          <t>32285001562486</t>
        </is>
      </c>
      <c r="BF591" t="inlineStr">
        <is>
          <t>893594491</t>
        </is>
      </c>
    </row>
    <row r="592">
      <c r="B592" t="inlineStr">
        <is>
          <t>CURAL</t>
        </is>
      </c>
      <c r="C592" t="inlineStr">
        <is>
          <t>SHELVES</t>
        </is>
      </c>
      <c r="D592" t="inlineStr">
        <is>
          <t>QP475.5 .S56 1985</t>
        </is>
      </c>
      <c r="E592" t="inlineStr">
        <is>
          <t>0                      QP 0475500S  56          1985</t>
        </is>
      </c>
      <c r="F592" t="inlineStr">
        <is>
          <t>How animals see : other visions of our world / Sandra Sinclair.</t>
        </is>
      </c>
      <c r="H592" t="inlineStr">
        <is>
          <t>No</t>
        </is>
      </c>
      <c r="I592" t="inlineStr">
        <is>
          <t>1</t>
        </is>
      </c>
      <c r="J592" t="inlineStr">
        <is>
          <t>No</t>
        </is>
      </c>
      <c r="K592" t="inlineStr">
        <is>
          <t>No</t>
        </is>
      </c>
      <c r="L592" t="inlineStr">
        <is>
          <t>0</t>
        </is>
      </c>
      <c r="M592" t="inlineStr">
        <is>
          <t>Sinclair, Sandra.</t>
        </is>
      </c>
      <c r="N592" t="inlineStr">
        <is>
          <t>New York, NY : Facts on File Publications, c1985.</t>
        </is>
      </c>
      <c r="O592" t="inlineStr">
        <is>
          <t>1985</t>
        </is>
      </c>
      <c r="Q592" t="inlineStr">
        <is>
          <t>eng</t>
        </is>
      </c>
      <c r="R592" t="inlineStr">
        <is>
          <t>nyu</t>
        </is>
      </c>
      <c r="T592" t="inlineStr">
        <is>
          <t xml:space="preserve">QP </t>
        </is>
      </c>
      <c r="U592" t="n">
        <v>5</v>
      </c>
      <c r="V592" t="n">
        <v>5</v>
      </c>
      <c r="W592" t="inlineStr">
        <is>
          <t>2007-07-23</t>
        </is>
      </c>
      <c r="X592" t="inlineStr">
        <is>
          <t>2007-07-23</t>
        </is>
      </c>
      <c r="Y592" t="inlineStr">
        <is>
          <t>1993-01-04</t>
        </is>
      </c>
      <c r="Z592" t="inlineStr">
        <is>
          <t>1993-01-04</t>
        </is>
      </c>
      <c r="AA592" t="n">
        <v>722</v>
      </c>
      <c r="AB592" t="n">
        <v>674</v>
      </c>
      <c r="AC592" t="n">
        <v>701</v>
      </c>
      <c r="AD592" t="n">
        <v>5</v>
      </c>
      <c r="AE592" t="n">
        <v>5</v>
      </c>
      <c r="AF592" t="n">
        <v>5</v>
      </c>
      <c r="AG592" t="n">
        <v>5</v>
      </c>
      <c r="AH592" t="n">
        <v>3</v>
      </c>
      <c r="AI592" t="n">
        <v>3</v>
      </c>
      <c r="AJ592" t="n">
        <v>0</v>
      </c>
      <c r="AK592" t="n">
        <v>0</v>
      </c>
      <c r="AL592" t="n">
        <v>1</v>
      </c>
      <c r="AM592" t="n">
        <v>1</v>
      </c>
      <c r="AN592" t="n">
        <v>2</v>
      </c>
      <c r="AO592" t="n">
        <v>2</v>
      </c>
      <c r="AP592" t="n">
        <v>0</v>
      </c>
      <c r="AQ592" t="n">
        <v>0</v>
      </c>
      <c r="AR592" t="inlineStr">
        <is>
          <t>No</t>
        </is>
      </c>
      <c r="AS592" t="inlineStr">
        <is>
          <t>No</t>
        </is>
      </c>
      <c r="AU592">
        <f>HYPERLINK("https://creighton-primo.hosted.exlibrisgroup.com/primo-explore/search?tab=default_tab&amp;search_scope=EVERYTHING&amp;vid=01CRU&amp;lang=en_US&amp;offset=0&amp;query=any,contains,991000274839702656","Catalog Record")</f>
        <v/>
      </c>
      <c r="AV592">
        <f>HYPERLINK("http://www.worldcat.org/oclc/9894268","WorldCat Record")</f>
        <v/>
      </c>
      <c r="AW592" t="inlineStr">
        <is>
          <t>4839610:eng</t>
        </is>
      </c>
      <c r="AX592" t="inlineStr">
        <is>
          <t>9894268</t>
        </is>
      </c>
      <c r="AY592" t="inlineStr">
        <is>
          <t>991000274839702656</t>
        </is>
      </c>
      <c r="AZ592" t="inlineStr">
        <is>
          <t>991000274839702656</t>
        </is>
      </c>
      <c r="BA592" t="inlineStr">
        <is>
          <t>2262684140002656</t>
        </is>
      </c>
      <c r="BB592" t="inlineStr">
        <is>
          <t>BOOK</t>
        </is>
      </c>
      <c r="BD592" t="inlineStr">
        <is>
          <t>9780871962737</t>
        </is>
      </c>
      <c r="BE592" t="inlineStr">
        <is>
          <t>32285001471761</t>
        </is>
      </c>
      <c r="BF592" t="inlineStr">
        <is>
          <t>893701989</t>
        </is>
      </c>
    </row>
    <row r="593">
      <c r="B593" t="inlineStr">
        <is>
          <t>CURAL</t>
        </is>
      </c>
      <c r="C593" t="inlineStr">
        <is>
          <t>SHELVES</t>
        </is>
      </c>
      <c r="D593" t="inlineStr">
        <is>
          <t>QP475.5 .W47 1984</t>
        </is>
      </c>
      <c r="E593" t="inlineStr">
        <is>
          <t>0                      QP 0475500W  47          1984</t>
        </is>
      </c>
      <c r="F593" t="inlineStr">
        <is>
          <t>The eye : window to the world / by Lael Wertenbaker.</t>
        </is>
      </c>
      <c r="H593" t="inlineStr">
        <is>
          <t>No</t>
        </is>
      </c>
      <c r="I593" t="inlineStr">
        <is>
          <t>1</t>
        </is>
      </c>
      <c r="J593" t="inlineStr">
        <is>
          <t>No</t>
        </is>
      </c>
      <c r="K593" t="inlineStr">
        <is>
          <t>No</t>
        </is>
      </c>
      <c r="L593" t="inlineStr">
        <is>
          <t>0</t>
        </is>
      </c>
      <c r="M593" t="inlineStr">
        <is>
          <t>Wertenbaker, Lael Tucker, 1909-1997.</t>
        </is>
      </c>
      <c r="N593" t="inlineStr">
        <is>
          <t>Tarrytown, N.Y. : Torstar Books, c1984.</t>
        </is>
      </c>
      <c r="O593" t="inlineStr">
        <is>
          <t>1984</t>
        </is>
      </c>
      <c r="Q593" t="inlineStr">
        <is>
          <t>eng</t>
        </is>
      </c>
      <c r="R593" t="inlineStr">
        <is>
          <t>nyu</t>
        </is>
      </c>
      <c r="S593" t="inlineStr">
        <is>
          <t>The Human body</t>
        </is>
      </c>
      <c r="T593" t="inlineStr">
        <is>
          <t xml:space="preserve">QP </t>
        </is>
      </c>
      <c r="U593" t="n">
        <v>32</v>
      </c>
      <c r="V593" t="n">
        <v>32</v>
      </c>
      <c r="W593" t="inlineStr">
        <is>
          <t>2007-08-30</t>
        </is>
      </c>
      <c r="X593" t="inlineStr">
        <is>
          <t>2007-08-30</t>
        </is>
      </c>
      <c r="Y593" t="inlineStr">
        <is>
          <t>1991-08-20</t>
        </is>
      </c>
      <c r="Z593" t="inlineStr">
        <is>
          <t>1991-08-20</t>
        </is>
      </c>
      <c r="AA593" t="n">
        <v>329</v>
      </c>
      <c r="AB593" t="n">
        <v>303</v>
      </c>
      <c r="AC593" t="n">
        <v>1168</v>
      </c>
      <c r="AD593" t="n">
        <v>4</v>
      </c>
      <c r="AE593" t="n">
        <v>8</v>
      </c>
      <c r="AF593" t="n">
        <v>5</v>
      </c>
      <c r="AG593" t="n">
        <v>19</v>
      </c>
      <c r="AH593" t="n">
        <v>4</v>
      </c>
      <c r="AI593" t="n">
        <v>10</v>
      </c>
      <c r="AJ593" t="n">
        <v>0</v>
      </c>
      <c r="AK593" t="n">
        <v>1</v>
      </c>
      <c r="AL593" t="n">
        <v>2</v>
      </c>
      <c r="AM593" t="n">
        <v>10</v>
      </c>
      <c r="AN593" t="n">
        <v>1</v>
      </c>
      <c r="AO593" t="n">
        <v>3</v>
      </c>
      <c r="AP593" t="n">
        <v>0</v>
      </c>
      <c r="AQ593" t="n">
        <v>0</v>
      </c>
      <c r="AR593" t="inlineStr">
        <is>
          <t>No</t>
        </is>
      </c>
      <c r="AS593" t="inlineStr">
        <is>
          <t>Yes</t>
        </is>
      </c>
      <c r="AT593">
        <f>HYPERLINK("http://catalog.hathitrust.org/Record/007056623","HathiTrust Record")</f>
        <v/>
      </c>
      <c r="AU593">
        <f>HYPERLINK("https://creighton-primo.hosted.exlibrisgroup.com/primo-explore/search?tab=default_tab&amp;search_scope=EVERYTHING&amp;vid=01CRU&amp;lang=en_US&amp;offset=0&amp;query=any,contains,991000598599702656","Catalog Record")</f>
        <v/>
      </c>
      <c r="AV593">
        <f>HYPERLINK("http://www.worldcat.org/oclc/11816371","WorldCat Record")</f>
        <v/>
      </c>
      <c r="AW593" t="inlineStr">
        <is>
          <t>906776982:eng</t>
        </is>
      </c>
      <c r="AX593" t="inlineStr">
        <is>
          <t>11816371</t>
        </is>
      </c>
      <c r="AY593" t="inlineStr">
        <is>
          <t>991000598599702656</t>
        </is>
      </c>
      <c r="AZ593" t="inlineStr">
        <is>
          <t>991000598599702656</t>
        </is>
      </c>
      <c r="BA593" t="inlineStr">
        <is>
          <t>2264219140002656</t>
        </is>
      </c>
      <c r="BB593" t="inlineStr">
        <is>
          <t>BOOK</t>
        </is>
      </c>
      <c r="BD593" t="inlineStr">
        <is>
          <t>9780920269251</t>
        </is>
      </c>
      <c r="BE593" t="inlineStr">
        <is>
          <t>32285000696996</t>
        </is>
      </c>
      <c r="BF593" t="inlineStr">
        <is>
          <t>893407351</t>
        </is>
      </c>
    </row>
    <row r="594">
      <c r="B594" t="inlineStr">
        <is>
          <t>CURAL</t>
        </is>
      </c>
      <c r="C594" t="inlineStr">
        <is>
          <t>SHELVES</t>
        </is>
      </c>
      <c r="D594" t="inlineStr">
        <is>
          <t>QP478 .W56 1995</t>
        </is>
      </c>
      <c r="E594" t="inlineStr">
        <is>
          <t>0                      QP 0478000W  56          1995</t>
        </is>
      </c>
      <c r="F594" t="inlineStr">
        <is>
          <t>Molecular biology and evolution of crystallins : gene recruitment and multifunctional proteins in the eye lens / Graeme Wistow.</t>
        </is>
      </c>
      <c r="H594" t="inlineStr">
        <is>
          <t>No</t>
        </is>
      </c>
      <c r="I594" t="inlineStr">
        <is>
          <t>1</t>
        </is>
      </c>
      <c r="J594" t="inlineStr">
        <is>
          <t>No</t>
        </is>
      </c>
      <c r="K594" t="inlineStr">
        <is>
          <t>No</t>
        </is>
      </c>
      <c r="L594" t="inlineStr">
        <is>
          <t>0</t>
        </is>
      </c>
      <c r="M594" t="inlineStr">
        <is>
          <t>Wistow, Graeme, 1953-</t>
        </is>
      </c>
      <c r="N594" t="inlineStr">
        <is>
          <t>New York : Springer ; Austin, Tex. : R.G. Landes, 1995.</t>
        </is>
      </c>
      <c r="O594" t="inlineStr">
        <is>
          <t>1995</t>
        </is>
      </c>
      <c r="Q594" t="inlineStr">
        <is>
          <t>eng</t>
        </is>
      </c>
      <c r="R594" t="inlineStr">
        <is>
          <t>nyu</t>
        </is>
      </c>
      <c r="S594" t="inlineStr">
        <is>
          <t>Molecular biology intelligence unit</t>
        </is>
      </c>
      <c r="T594" t="inlineStr">
        <is>
          <t xml:space="preserve">QP </t>
        </is>
      </c>
      <c r="U594" t="n">
        <v>2</v>
      </c>
      <c r="V594" t="n">
        <v>2</v>
      </c>
      <c r="W594" t="inlineStr">
        <is>
          <t>2004-06-30</t>
        </is>
      </c>
      <c r="X594" t="inlineStr">
        <is>
          <t>2004-06-30</t>
        </is>
      </c>
      <c r="Y594" t="inlineStr">
        <is>
          <t>1996-06-06</t>
        </is>
      </c>
      <c r="Z594" t="inlineStr">
        <is>
          <t>1996-06-06</t>
        </is>
      </c>
      <c r="AA594" t="n">
        <v>36</v>
      </c>
      <c r="AB594" t="n">
        <v>18</v>
      </c>
      <c r="AC594" t="n">
        <v>23</v>
      </c>
      <c r="AD594" t="n">
        <v>1</v>
      </c>
      <c r="AE594" t="n">
        <v>1</v>
      </c>
      <c r="AF594" t="n">
        <v>0</v>
      </c>
      <c r="AG594" t="n">
        <v>0</v>
      </c>
      <c r="AH594" t="n">
        <v>0</v>
      </c>
      <c r="AI594" t="n">
        <v>0</v>
      </c>
      <c r="AJ594" t="n">
        <v>0</v>
      </c>
      <c r="AK594" t="n">
        <v>0</v>
      </c>
      <c r="AL594" t="n">
        <v>0</v>
      </c>
      <c r="AM594" t="n">
        <v>0</v>
      </c>
      <c r="AN594" t="n">
        <v>0</v>
      </c>
      <c r="AO594" t="n">
        <v>0</v>
      </c>
      <c r="AP594" t="n">
        <v>0</v>
      </c>
      <c r="AQ594" t="n">
        <v>0</v>
      </c>
      <c r="AR594" t="inlineStr">
        <is>
          <t>No</t>
        </is>
      </c>
      <c r="AS594" t="inlineStr">
        <is>
          <t>No</t>
        </is>
      </c>
      <c r="AU594">
        <f>HYPERLINK("https://creighton-primo.hosted.exlibrisgroup.com/primo-explore/search?tab=default_tab&amp;search_scope=EVERYTHING&amp;vid=01CRU&amp;lang=en_US&amp;offset=0&amp;query=any,contains,991002526889702656","Catalog Record")</f>
        <v/>
      </c>
      <c r="AV594">
        <f>HYPERLINK("http://www.worldcat.org/oclc/32854916","WorldCat Record")</f>
        <v/>
      </c>
      <c r="AW594" t="inlineStr">
        <is>
          <t>898046210:eng</t>
        </is>
      </c>
      <c r="AX594" t="inlineStr">
        <is>
          <t>32854916</t>
        </is>
      </c>
      <c r="AY594" t="inlineStr">
        <is>
          <t>991002526889702656</t>
        </is>
      </c>
      <c r="AZ594" t="inlineStr">
        <is>
          <t>991002526889702656</t>
        </is>
      </c>
      <c r="BA594" t="inlineStr">
        <is>
          <t>2272336430002656</t>
        </is>
      </c>
      <c r="BB594" t="inlineStr">
        <is>
          <t>BOOK</t>
        </is>
      </c>
      <c r="BD594" t="inlineStr">
        <is>
          <t>9781570592997</t>
        </is>
      </c>
      <c r="BE594" t="inlineStr">
        <is>
          <t>32285002188976</t>
        </is>
      </c>
      <c r="BF594" t="inlineStr">
        <is>
          <t>893523717</t>
        </is>
      </c>
    </row>
    <row r="595">
      <c r="B595" t="inlineStr">
        <is>
          <t>CURAL</t>
        </is>
      </c>
      <c r="C595" t="inlineStr">
        <is>
          <t>SHELVES</t>
        </is>
      </c>
      <c r="D595" t="inlineStr">
        <is>
          <t>QP479 .I5</t>
        </is>
      </c>
      <c r="E595" t="inlineStr">
        <is>
          <t>0                      QP 0479000I  5</t>
        </is>
      </c>
      <c r="F595" t="inlineStr">
        <is>
          <t>Biochemistry of the retina. Edited by Clive N. Graymore.</t>
        </is>
      </c>
      <c r="H595" t="inlineStr">
        <is>
          <t>No</t>
        </is>
      </c>
      <c r="I595" t="inlineStr">
        <is>
          <t>1</t>
        </is>
      </c>
      <c r="J595" t="inlineStr">
        <is>
          <t>No</t>
        </is>
      </c>
      <c r="K595" t="inlineStr">
        <is>
          <t>No</t>
        </is>
      </c>
      <c r="L595" t="inlineStr">
        <is>
          <t>0</t>
        </is>
      </c>
      <c r="M595" t="inlineStr">
        <is>
          <t>International Symposium on the Biochemistry of the Retina (1st : 1964 : London, England)</t>
        </is>
      </c>
      <c r="N595" t="inlineStr">
        <is>
          <t>London, New York, Academic Press, 1965.</t>
        </is>
      </c>
      <c r="O595" t="inlineStr">
        <is>
          <t>1965</t>
        </is>
      </c>
      <c r="Q595" t="inlineStr">
        <is>
          <t>eng</t>
        </is>
      </c>
      <c r="R595" t="inlineStr">
        <is>
          <t>enk</t>
        </is>
      </c>
      <c r="T595" t="inlineStr">
        <is>
          <t xml:space="preserve">QP </t>
        </is>
      </c>
      <c r="U595" t="n">
        <v>3</v>
      </c>
      <c r="V595" t="n">
        <v>3</v>
      </c>
      <c r="W595" t="inlineStr">
        <is>
          <t>2007-07-23</t>
        </is>
      </c>
      <c r="X595" t="inlineStr">
        <is>
          <t>2007-07-23</t>
        </is>
      </c>
      <c r="Y595" t="inlineStr">
        <is>
          <t>1997-08-06</t>
        </is>
      </c>
      <c r="Z595" t="inlineStr">
        <is>
          <t>1997-08-06</t>
        </is>
      </c>
      <c r="AA595" t="n">
        <v>203</v>
      </c>
      <c r="AB595" t="n">
        <v>156</v>
      </c>
      <c r="AC595" t="n">
        <v>167</v>
      </c>
      <c r="AD595" t="n">
        <v>1</v>
      </c>
      <c r="AE595" t="n">
        <v>1</v>
      </c>
      <c r="AF595" t="n">
        <v>5</v>
      </c>
      <c r="AG595" t="n">
        <v>5</v>
      </c>
      <c r="AH595" t="n">
        <v>1</v>
      </c>
      <c r="AI595" t="n">
        <v>1</v>
      </c>
      <c r="AJ595" t="n">
        <v>3</v>
      </c>
      <c r="AK595" t="n">
        <v>3</v>
      </c>
      <c r="AL595" t="n">
        <v>3</v>
      </c>
      <c r="AM595" t="n">
        <v>3</v>
      </c>
      <c r="AN595" t="n">
        <v>0</v>
      </c>
      <c r="AO595" t="n">
        <v>0</v>
      </c>
      <c r="AP595" t="n">
        <v>0</v>
      </c>
      <c r="AQ595" t="n">
        <v>0</v>
      </c>
      <c r="AR595" t="inlineStr">
        <is>
          <t>No</t>
        </is>
      </c>
      <c r="AS595" t="inlineStr">
        <is>
          <t>Yes</t>
        </is>
      </c>
      <c r="AT595">
        <f>HYPERLINK("http://catalog.hathitrust.org/Record/001555098","HathiTrust Record")</f>
        <v/>
      </c>
      <c r="AU595">
        <f>HYPERLINK("https://creighton-primo.hosted.exlibrisgroup.com/primo-explore/search?tab=default_tab&amp;search_scope=EVERYTHING&amp;vid=01CRU&amp;lang=en_US&amp;offset=0&amp;query=any,contains,991002989619702656","Catalog Record")</f>
        <v/>
      </c>
      <c r="AV595">
        <f>HYPERLINK("http://www.worldcat.org/oclc/559748","WorldCat Record")</f>
        <v/>
      </c>
      <c r="AW595" t="inlineStr">
        <is>
          <t>1630680:eng</t>
        </is>
      </c>
      <c r="AX595" t="inlineStr">
        <is>
          <t>559748</t>
        </is>
      </c>
      <c r="AY595" t="inlineStr">
        <is>
          <t>991002989619702656</t>
        </is>
      </c>
      <c r="AZ595" t="inlineStr">
        <is>
          <t>991002989619702656</t>
        </is>
      </c>
      <c r="BA595" t="inlineStr">
        <is>
          <t>2262206970002656</t>
        </is>
      </c>
      <c r="BB595" t="inlineStr">
        <is>
          <t>BOOK</t>
        </is>
      </c>
      <c r="BE595" t="inlineStr">
        <is>
          <t>32285003080206</t>
        </is>
      </c>
      <c r="BF595" t="inlineStr">
        <is>
          <t>893239768</t>
        </is>
      </c>
    </row>
    <row r="596">
      <c r="B596" t="inlineStr">
        <is>
          <t>CURAL</t>
        </is>
      </c>
      <c r="C596" t="inlineStr">
        <is>
          <t>SHELVES</t>
        </is>
      </c>
      <c r="D596" t="inlineStr">
        <is>
          <t>QP481 .B52 1988</t>
        </is>
      </c>
      <c r="E596" t="inlineStr">
        <is>
          <t>0                      QP 0481000B  52          1988</t>
        </is>
      </c>
      <c r="F596" t="inlineStr">
        <is>
          <t>Light, color &amp; environment : presenting a wealth of data on the biological and psychological effects of color, with detailed recommendations for practical color use, special attention to computer facilities, and a historic review of period styles / Faber Birren.</t>
        </is>
      </c>
      <c r="H596" t="inlineStr">
        <is>
          <t>No</t>
        </is>
      </c>
      <c r="I596" t="inlineStr">
        <is>
          <t>1</t>
        </is>
      </c>
      <c r="J596" t="inlineStr">
        <is>
          <t>No</t>
        </is>
      </c>
      <c r="K596" t="inlineStr">
        <is>
          <t>No</t>
        </is>
      </c>
      <c r="L596" t="inlineStr">
        <is>
          <t>0</t>
        </is>
      </c>
      <c r="M596" t="inlineStr">
        <is>
          <t>Birren, Faber, 1900-1988.</t>
        </is>
      </c>
      <c r="N596" t="inlineStr">
        <is>
          <t>West Chester, Penn. : Schiffer Pub., 1988.</t>
        </is>
      </c>
      <c r="O596" t="inlineStr">
        <is>
          <t>1988</t>
        </is>
      </c>
      <c r="P596" t="inlineStr">
        <is>
          <t>2nd rev. ed.</t>
        </is>
      </c>
      <c r="Q596" t="inlineStr">
        <is>
          <t>eng</t>
        </is>
      </c>
      <c r="R596" t="inlineStr">
        <is>
          <t>pau</t>
        </is>
      </c>
      <c r="T596" t="inlineStr">
        <is>
          <t xml:space="preserve">QP </t>
        </is>
      </c>
      <c r="U596" t="n">
        <v>15</v>
      </c>
      <c r="V596" t="n">
        <v>15</v>
      </c>
      <c r="W596" t="inlineStr">
        <is>
          <t>1998-11-22</t>
        </is>
      </c>
      <c r="X596" t="inlineStr">
        <is>
          <t>1998-11-22</t>
        </is>
      </c>
      <c r="Y596" t="inlineStr">
        <is>
          <t>1991-08-20</t>
        </is>
      </c>
      <c r="Z596" t="inlineStr">
        <is>
          <t>1991-08-20</t>
        </is>
      </c>
      <c r="AA596" t="n">
        <v>249</v>
      </c>
      <c r="AB596" t="n">
        <v>206</v>
      </c>
      <c r="AC596" t="n">
        <v>417</v>
      </c>
      <c r="AD596" t="n">
        <v>3</v>
      </c>
      <c r="AE596" t="n">
        <v>4</v>
      </c>
      <c r="AF596" t="n">
        <v>2</v>
      </c>
      <c r="AG596" t="n">
        <v>6</v>
      </c>
      <c r="AH596" t="n">
        <v>0</v>
      </c>
      <c r="AI596" t="n">
        <v>1</v>
      </c>
      <c r="AJ596" t="n">
        <v>0</v>
      </c>
      <c r="AK596" t="n">
        <v>0</v>
      </c>
      <c r="AL596" t="n">
        <v>0</v>
      </c>
      <c r="AM596" t="n">
        <v>2</v>
      </c>
      <c r="AN596" t="n">
        <v>2</v>
      </c>
      <c r="AO596" t="n">
        <v>3</v>
      </c>
      <c r="AP596" t="n">
        <v>0</v>
      </c>
      <c r="AQ596" t="n">
        <v>0</v>
      </c>
      <c r="AR596" t="inlineStr">
        <is>
          <t>No</t>
        </is>
      </c>
      <c r="AS596" t="inlineStr">
        <is>
          <t>Yes</t>
        </is>
      </c>
      <c r="AT596">
        <f>HYPERLINK("http://catalog.hathitrust.org/Record/002430786","HathiTrust Record")</f>
        <v/>
      </c>
      <c r="AU596">
        <f>HYPERLINK("https://creighton-primo.hosted.exlibrisgroup.com/primo-explore/search?tab=default_tab&amp;search_scope=EVERYTHING&amp;vid=01CRU&amp;lang=en_US&amp;offset=0&amp;query=any,contains,991001391589702656","Catalog Record")</f>
        <v/>
      </c>
      <c r="AV596">
        <f>HYPERLINK("http://www.worldcat.org/oclc/18773883","WorldCat Record")</f>
        <v/>
      </c>
      <c r="AW596" t="inlineStr">
        <is>
          <t>9093624040:eng</t>
        </is>
      </c>
      <c r="AX596" t="inlineStr">
        <is>
          <t>18773883</t>
        </is>
      </c>
      <c r="AY596" t="inlineStr">
        <is>
          <t>991001391589702656</t>
        </is>
      </c>
      <c r="AZ596" t="inlineStr">
        <is>
          <t>991001391589702656</t>
        </is>
      </c>
      <c r="BA596" t="inlineStr">
        <is>
          <t>2258610790002656</t>
        </is>
      </c>
      <c r="BB596" t="inlineStr">
        <is>
          <t>BOOK</t>
        </is>
      </c>
      <c r="BD596" t="inlineStr">
        <is>
          <t>9780887401312</t>
        </is>
      </c>
      <c r="BE596" t="inlineStr">
        <is>
          <t>32285000697077</t>
        </is>
      </c>
      <c r="BF596" t="inlineStr">
        <is>
          <t>893778767</t>
        </is>
      </c>
    </row>
    <row r="597">
      <c r="B597" t="inlineStr">
        <is>
          <t>CURAL</t>
        </is>
      </c>
      <c r="C597" t="inlineStr">
        <is>
          <t>SHELVES</t>
        </is>
      </c>
      <c r="D597" t="inlineStr">
        <is>
          <t>QP481 .F7</t>
        </is>
      </c>
      <c r="E597" t="inlineStr">
        <is>
          <t>0                      QP 0481000F  7</t>
        </is>
      </c>
      <c r="F597" t="inlineStr">
        <is>
          <t>Colour and colour theories / by Christine Ladd-Franklin.</t>
        </is>
      </c>
      <c r="H597" t="inlineStr">
        <is>
          <t>No</t>
        </is>
      </c>
      <c r="I597" t="inlineStr">
        <is>
          <t>1</t>
        </is>
      </c>
      <c r="J597" t="inlineStr">
        <is>
          <t>No</t>
        </is>
      </c>
      <c r="K597" t="inlineStr">
        <is>
          <t>No</t>
        </is>
      </c>
      <c r="L597" t="inlineStr">
        <is>
          <t>0</t>
        </is>
      </c>
      <c r="M597" t="inlineStr">
        <is>
          <t>Ladd-Franklin, Christine, 1847-1930.</t>
        </is>
      </c>
      <c r="N597" t="inlineStr">
        <is>
          <t>London : K. Paul, Trench, Trubner &amp; co., ltd. ; New York : Harcourt, Brace and company, 1929.</t>
        </is>
      </c>
      <c r="O597" t="inlineStr">
        <is>
          <t>1929</t>
        </is>
      </c>
      <c r="Q597" t="inlineStr">
        <is>
          <t>eng</t>
        </is>
      </c>
      <c r="R597" t="inlineStr">
        <is>
          <t>enk</t>
        </is>
      </c>
      <c r="S597" t="inlineStr">
        <is>
          <t>International library of psychology, philosophy, and scientific method</t>
        </is>
      </c>
      <c r="T597" t="inlineStr">
        <is>
          <t xml:space="preserve">QP </t>
        </is>
      </c>
      <c r="U597" t="n">
        <v>10</v>
      </c>
      <c r="V597" t="n">
        <v>10</v>
      </c>
      <c r="W597" t="inlineStr">
        <is>
          <t>1999-12-01</t>
        </is>
      </c>
      <c r="X597" t="inlineStr">
        <is>
          <t>1999-12-01</t>
        </is>
      </c>
      <c r="Y597" t="inlineStr">
        <is>
          <t>1992-03-13</t>
        </is>
      </c>
      <c r="Z597" t="inlineStr">
        <is>
          <t>1992-03-13</t>
        </is>
      </c>
      <c r="AA597" t="n">
        <v>268</v>
      </c>
      <c r="AB597" t="n">
        <v>215</v>
      </c>
      <c r="AC597" t="n">
        <v>451</v>
      </c>
      <c r="AD597" t="n">
        <v>4</v>
      </c>
      <c r="AE597" t="n">
        <v>4</v>
      </c>
      <c r="AF597" t="n">
        <v>8</v>
      </c>
      <c r="AG597" t="n">
        <v>14</v>
      </c>
      <c r="AH597" t="n">
        <v>1</v>
      </c>
      <c r="AI597" t="n">
        <v>2</v>
      </c>
      <c r="AJ597" t="n">
        <v>0</v>
      </c>
      <c r="AK597" t="n">
        <v>3</v>
      </c>
      <c r="AL597" t="n">
        <v>4</v>
      </c>
      <c r="AM597" t="n">
        <v>9</v>
      </c>
      <c r="AN597" t="n">
        <v>3</v>
      </c>
      <c r="AO597" t="n">
        <v>3</v>
      </c>
      <c r="AP597" t="n">
        <v>0</v>
      </c>
      <c r="AQ597" t="n">
        <v>0</v>
      </c>
      <c r="AR597" t="inlineStr">
        <is>
          <t>No</t>
        </is>
      </c>
      <c r="AS597" t="inlineStr">
        <is>
          <t>Yes</t>
        </is>
      </c>
      <c r="AT597">
        <f>HYPERLINK("http://catalog.hathitrust.org/Record/000662629","HathiTrust Record")</f>
        <v/>
      </c>
      <c r="AU597">
        <f>HYPERLINK("https://creighton-primo.hosted.exlibrisgroup.com/primo-explore/search?tab=default_tab&amp;search_scope=EVERYTHING&amp;vid=01CRU&amp;lang=en_US&amp;offset=0&amp;query=any,contains,991004221969702656","Catalog Record")</f>
        <v/>
      </c>
      <c r="AV597">
        <f>HYPERLINK("http://www.worldcat.org/oclc/2716253","WorldCat Record")</f>
        <v/>
      </c>
      <c r="AW597" t="inlineStr">
        <is>
          <t>60180:eng</t>
        </is>
      </c>
      <c r="AX597" t="inlineStr">
        <is>
          <t>2716253</t>
        </is>
      </c>
      <c r="AY597" t="inlineStr">
        <is>
          <t>991004221969702656</t>
        </is>
      </c>
      <c r="AZ597" t="inlineStr">
        <is>
          <t>991004221969702656</t>
        </is>
      </c>
      <c r="BA597" t="inlineStr">
        <is>
          <t>2272119910002656</t>
        </is>
      </c>
      <c r="BB597" t="inlineStr">
        <is>
          <t>BOOK</t>
        </is>
      </c>
      <c r="BE597" t="inlineStr">
        <is>
          <t>32285001020311</t>
        </is>
      </c>
      <c r="BF597" t="inlineStr">
        <is>
          <t>893882204</t>
        </is>
      </c>
    </row>
    <row r="598">
      <c r="B598" t="inlineStr">
        <is>
          <t>CURAL</t>
        </is>
      </c>
      <c r="C598" t="inlineStr">
        <is>
          <t>SHELVES</t>
        </is>
      </c>
      <c r="D598" t="inlineStr">
        <is>
          <t>QP481 .M26</t>
        </is>
      </c>
      <c r="E598" t="inlineStr">
        <is>
          <t>0                      QP 0481000M  26</t>
        </is>
      </c>
      <c r="F598" t="inlineStr">
        <is>
          <t>Sources of color science / selected and edited by David L. MacAdam.</t>
        </is>
      </c>
      <c r="H598" t="inlineStr">
        <is>
          <t>No</t>
        </is>
      </c>
      <c r="I598" t="inlineStr">
        <is>
          <t>1</t>
        </is>
      </c>
      <c r="J598" t="inlineStr">
        <is>
          <t>No</t>
        </is>
      </c>
      <c r="K598" t="inlineStr">
        <is>
          <t>No</t>
        </is>
      </c>
      <c r="L598" t="inlineStr">
        <is>
          <t>0</t>
        </is>
      </c>
      <c r="M598" t="inlineStr">
        <is>
          <t>MacAdam, David L., 1910-1998, compiler.</t>
        </is>
      </c>
      <c r="N598" t="inlineStr">
        <is>
          <t>Cambridge, Mass. : MIT Press, [1970]</t>
        </is>
      </c>
      <c r="O598" t="inlineStr">
        <is>
          <t>1970</t>
        </is>
      </c>
      <c r="Q598" t="inlineStr">
        <is>
          <t>eng</t>
        </is>
      </c>
      <c r="R598" t="inlineStr">
        <is>
          <t>mau</t>
        </is>
      </c>
      <c r="T598" t="inlineStr">
        <is>
          <t xml:space="preserve">QP </t>
        </is>
      </c>
      <c r="U598" t="n">
        <v>12</v>
      </c>
      <c r="V598" t="n">
        <v>12</v>
      </c>
      <c r="W598" t="inlineStr">
        <is>
          <t>1996-10-01</t>
        </is>
      </c>
      <c r="X598" t="inlineStr">
        <is>
          <t>1996-10-01</t>
        </is>
      </c>
      <c r="Y598" t="inlineStr">
        <is>
          <t>1992-03-13</t>
        </is>
      </c>
      <c r="Z598" t="inlineStr">
        <is>
          <t>1992-03-13</t>
        </is>
      </c>
      <c r="AA598" t="n">
        <v>482</v>
      </c>
      <c r="AB598" t="n">
        <v>380</v>
      </c>
      <c r="AC598" t="n">
        <v>387</v>
      </c>
      <c r="AD598" t="n">
        <v>4</v>
      </c>
      <c r="AE598" t="n">
        <v>4</v>
      </c>
      <c r="AF598" t="n">
        <v>12</v>
      </c>
      <c r="AG598" t="n">
        <v>12</v>
      </c>
      <c r="AH598" t="n">
        <v>2</v>
      </c>
      <c r="AI598" t="n">
        <v>2</v>
      </c>
      <c r="AJ598" t="n">
        <v>3</v>
      </c>
      <c r="AK598" t="n">
        <v>3</v>
      </c>
      <c r="AL598" t="n">
        <v>8</v>
      </c>
      <c r="AM598" t="n">
        <v>8</v>
      </c>
      <c r="AN598" t="n">
        <v>3</v>
      </c>
      <c r="AO598" t="n">
        <v>3</v>
      </c>
      <c r="AP598" t="n">
        <v>0</v>
      </c>
      <c r="AQ598" t="n">
        <v>0</v>
      </c>
      <c r="AR598" t="inlineStr">
        <is>
          <t>No</t>
        </is>
      </c>
      <c r="AS598" t="inlineStr">
        <is>
          <t>Yes</t>
        </is>
      </c>
      <c r="AT598">
        <f>HYPERLINK("http://catalog.hathitrust.org/Record/000507443","HathiTrust Record")</f>
        <v/>
      </c>
      <c r="AU598">
        <f>HYPERLINK("https://creighton-primo.hosted.exlibrisgroup.com/primo-explore/search?tab=default_tab&amp;search_scope=EVERYTHING&amp;vid=01CRU&amp;lang=en_US&amp;offset=0&amp;query=any,contains,991000656729702656","Catalog Record")</f>
        <v/>
      </c>
      <c r="AV598">
        <f>HYPERLINK("http://www.worldcat.org/oclc/115810","WorldCat Record")</f>
        <v/>
      </c>
      <c r="AW598" t="inlineStr">
        <is>
          <t>347104945:eng</t>
        </is>
      </c>
      <c r="AX598" t="inlineStr">
        <is>
          <t>115810</t>
        </is>
      </c>
      <c r="AY598" t="inlineStr">
        <is>
          <t>991000656729702656</t>
        </is>
      </c>
      <c r="AZ598" t="inlineStr">
        <is>
          <t>991000656729702656</t>
        </is>
      </c>
      <c r="BA598" t="inlineStr">
        <is>
          <t>2260334980002656</t>
        </is>
      </c>
      <c r="BB598" t="inlineStr">
        <is>
          <t>BOOK</t>
        </is>
      </c>
      <c r="BD598" t="inlineStr">
        <is>
          <t>9780262130615</t>
        </is>
      </c>
      <c r="BE598" t="inlineStr">
        <is>
          <t>32285001020303</t>
        </is>
      </c>
      <c r="BF598" t="inlineStr">
        <is>
          <t>893702312</t>
        </is>
      </c>
    </row>
    <row r="599">
      <c r="B599" t="inlineStr">
        <is>
          <t>CURAL</t>
        </is>
      </c>
      <c r="C599" t="inlineStr">
        <is>
          <t>SHELVES</t>
        </is>
      </c>
      <c r="D599" t="inlineStr">
        <is>
          <t>QP481 .R34</t>
        </is>
      </c>
      <c r="E599" t="inlineStr">
        <is>
          <t>0                      QP 0481000R  34</t>
        </is>
      </c>
      <c r="F599" t="inlineStr">
        <is>
          <t>Mach bands : quantitative studies on neural networks in the retina.</t>
        </is>
      </c>
      <c r="H599" t="inlineStr">
        <is>
          <t>No</t>
        </is>
      </c>
      <c r="I599" t="inlineStr">
        <is>
          <t>1</t>
        </is>
      </c>
      <c r="J599" t="inlineStr">
        <is>
          <t>No</t>
        </is>
      </c>
      <c r="K599" t="inlineStr">
        <is>
          <t>No</t>
        </is>
      </c>
      <c r="L599" t="inlineStr">
        <is>
          <t>0</t>
        </is>
      </c>
      <c r="M599" t="inlineStr">
        <is>
          <t>Ratliff, Floyd.</t>
        </is>
      </c>
      <c r="N599" t="inlineStr">
        <is>
          <t>San Francisco : Holden-Day, 1965.</t>
        </is>
      </c>
      <c r="O599" t="inlineStr">
        <is>
          <t>1965</t>
        </is>
      </c>
      <c r="Q599" t="inlineStr">
        <is>
          <t>eng</t>
        </is>
      </c>
      <c r="R599" t="inlineStr">
        <is>
          <t>cau</t>
        </is>
      </c>
      <c r="S599" t="inlineStr">
        <is>
          <t>Holden-Day series in psychology</t>
        </is>
      </c>
      <c r="T599" t="inlineStr">
        <is>
          <t xml:space="preserve">QP </t>
        </is>
      </c>
      <c r="U599" t="n">
        <v>1</v>
      </c>
      <c r="V599" t="n">
        <v>1</v>
      </c>
      <c r="W599" t="inlineStr">
        <is>
          <t>1995-03-29</t>
        </is>
      </c>
      <c r="X599" t="inlineStr">
        <is>
          <t>1995-03-29</t>
        </is>
      </c>
      <c r="Y599" t="inlineStr">
        <is>
          <t>1992-11-23</t>
        </is>
      </c>
      <c r="Z599" t="inlineStr">
        <is>
          <t>1992-11-23</t>
        </is>
      </c>
      <c r="AA599" t="n">
        <v>419</v>
      </c>
      <c r="AB599" t="n">
        <v>321</v>
      </c>
      <c r="AC599" t="n">
        <v>327</v>
      </c>
      <c r="AD599" t="n">
        <v>2</v>
      </c>
      <c r="AE599" t="n">
        <v>2</v>
      </c>
      <c r="AF599" t="n">
        <v>15</v>
      </c>
      <c r="AG599" t="n">
        <v>15</v>
      </c>
      <c r="AH599" t="n">
        <v>6</v>
      </c>
      <c r="AI599" t="n">
        <v>6</v>
      </c>
      <c r="AJ599" t="n">
        <v>4</v>
      </c>
      <c r="AK599" t="n">
        <v>4</v>
      </c>
      <c r="AL599" t="n">
        <v>9</v>
      </c>
      <c r="AM599" t="n">
        <v>9</v>
      </c>
      <c r="AN599" t="n">
        <v>1</v>
      </c>
      <c r="AO599" t="n">
        <v>1</v>
      </c>
      <c r="AP599" t="n">
        <v>0</v>
      </c>
      <c r="AQ599" t="n">
        <v>0</v>
      </c>
      <c r="AR599" t="inlineStr">
        <is>
          <t>No</t>
        </is>
      </c>
      <c r="AS599" t="inlineStr">
        <is>
          <t>Yes</t>
        </is>
      </c>
      <c r="AT599">
        <f>HYPERLINK("http://catalog.hathitrust.org/Record/001555123","HathiTrust Record")</f>
        <v/>
      </c>
      <c r="AU599">
        <f>HYPERLINK("https://creighton-primo.hosted.exlibrisgroup.com/primo-explore/search?tab=default_tab&amp;search_scope=EVERYTHING&amp;vid=01CRU&amp;lang=en_US&amp;offset=0&amp;query=any,contains,991000109709702656","Catalog Record")</f>
        <v/>
      </c>
      <c r="AV599">
        <f>HYPERLINK("http://www.worldcat.org/oclc/8991552","WorldCat Record")</f>
        <v/>
      </c>
      <c r="AW599" t="inlineStr">
        <is>
          <t>502819497:eng</t>
        </is>
      </c>
      <c r="AX599" t="inlineStr">
        <is>
          <t>8991552</t>
        </is>
      </c>
      <c r="AY599" t="inlineStr">
        <is>
          <t>991000109709702656</t>
        </is>
      </c>
      <c r="AZ599" t="inlineStr">
        <is>
          <t>991000109709702656</t>
        </is>
      </c>
      <c r="BA599" t="inlineStr">
        <is>
          <t>2258827110002656</t>
        </is>
      </c>
      <c r="BB599" t="inlineStr">
        <is>
          <t>BOOK</t>
        </is>
      </c>
      <c r="BE599" t="inlineStr">
        <is>
          <t>32285001407997</t>
        </is>
      </c>
      <c r="BF599" t="inlineStr">
        <is>
          <t>893720578</t>
        </is>
      </c>
    </row>
    <row r="600">
      <c r="B600" t="inlineStr">
        <is>
          <t>CURAL</t>
        </is>
      </c>
      <c r="C600" t="inlineStr">
        <is>
          <t>SHELVES</t>
        </is>
      </c>
      <c r="D600" t="inlineStr">
        <is>
          <t>QP481 .S513</t>
        </is>
      </c>
      <c r="E600" t="inlineStr">
        <is>
          <t>0                      QP 0481000S  513</t>
        </is>
      </c>
      <c r="F600" t="inlineStr">
        <is>
          <t>Human color perception : a critical study of the experimental foundation / [by] Joseph J. Sheppard, Jr.</t>
        </is>
      </c>
      <c r="H600" t="inlineStr">
        <is>
          <t>No</t>
        </is>
      </c>
      <c r="I600" t="inlineStr">
        <is>
          <t>1</t>
        </is>
      </c>
      <c r="J600" t="inlineStr">
        <is>
          <t>No</t>
        </is>
      </c>
      <c r="K600" t="inlineStr">
        <is>
          <t>No</t>
        </is>
      </c>
      <c r="L600" t="inlineStr">
        <is>
          <t>0</t>
        </is>
      </c>
      <c r="M600" t="inlineStr">
        <is>
          <t>Sheppard, Joseph J., Jr.</t>
        </is>
      </c>
      <c r="N600" t="inlineStr">
        <is>
          <t>New York : American Elsevier Pub. Co., 1968.</t>
        </is>
      </c>
      <c r="O600" t="inlineStr">
        <is>
          <t>1968</t>
        </is>
      </c>
      <c r="Q600" t="inlineStr">
        <is>
          <t>eng</t>
        </is>
      </c>
      <c r="R600" t="inlineStr">
        <is>
          <t>nyu</t>
        </is>
      </c>
      <c r="T600" t="inlineStr">
        <is>
          <t xml:space="preserve">QP </t>
        </is>
      </c>
      <c r="U600" t="n">
        <v>14</v>
      </c>
      <c r="V600" t="n">
        <v>14</v>
      </c>
      <c r="W600" t="inlineStr">
        <is>
          <t>1999-12-01</t>
        </is>
      </c>
      <c r="X600" t="inlineStr">
        <is>
          <t>1999-12-01</t>
        </is>
      </c>
      <c r="Y600" t="inlineStr">
        <is>
          <t>1992-03-13</t>
        </is>
      </c>
      <c r="Z600" t="inlineStr">
        <is>
          <t>1992-03-13</t>
        </is>
      </c>
      <c r="AA600" t="n">
        <v>560</v>
      </c>
      <c r="AB600" t="n">
        <v>422</v>
      </c>
      <c r="AC600" t="n">
        <v>425</v>
      </c>
      <c r="AD600" t="n">
        <v>4</v>
      </c>
      <c r="AE600" t="n">
        <v>4</v>
      </c>
      <c r="AF600" t="n">
        <v>17</v>
      </c>
      <c r="AG600" t="n">
        <v>17</v>
      </c>
      <c r="AH600" t="n">
        <v>5</v>
      </c>
      <c r="AI600" t="n">
        <v>5</v>
      </c>
      <c r="AJ600" t="n">
        <v>5</v>
      </c>
      <c r="AK600" t="n">
        <v>5</v>
      </c>
      <c r="AL600" t="n">
        <v>9</v>
      </c>
      <c r="AM600" t="n">
        <v>9</v>
      </c>
      <c r="AN600" t="n">
        <v>3</v>
      </c>
      <c r="AO600" t="n">
        <v>3</v>
      </c>
      <c r="AP600" t="n">
        <v>0</v>
      </c>
      <c r="AQ600" t="n">
        <v>0</v>
      </c>
      <c r="AR600" t="inlineStr">
        <is>
          <t>No</t>
        </is>
      </c>
      <c r="AS600" t="inlineStr">
        <is>
          <t>Yes</t>
        </is>
      </c>
      <c r="AT600">
        <f>HYPERLINK("http://catalog.hathitrust.org/Record/001555124","HathiTrust Record")</f>
        <v/>
      </c>
      <c r="AU600">
        <f>HYPERLINK("https://creighton-primo.hosted.exlibrisgroup.com/primo-explore/search?tab=default_tab&amp;search_scope=EVERYTHING&amp;vid=01CRU&amp;lang=en_US&amp;offset=0&amp;query=any,contains,991002920529702656","Catalog Record")</f>
        <v/>
      </c>
      <c r="AV600">
        <f>HYPERLINK("http://www.worldcat.org/oclc/526435","WorldCat Record")</f>
        <v/>
      </c>
      <c r="AW600" t="inlineStr">
        <is>
          <t>308738882:eng</t>
        </is>
      </c>
      <c r="AX600" t="inlineStr">
        <is>
          <t>526435</t>
        </is>
      </c>
      <c r="AY600" t="inlineStr">
        <is>
          <t>991002920529702656</t>
        </is>
      </c>
      <c r="AZ600" t="inlineStr">
        <is>
          <t>991002920529702656</t>
        </is>
      </c>
      <c r="BA600" t="inlineStr">
        <is>
          <t>2262231820002656</t>
        </is>
      </c>
      <c r="BB600" t="inlineStr">
        <is>
          <t>BOOK</t>
        </is>
      </c>
      <c r="BE600" t="inlineStr">
        <is>
          <t>32285001020295</t>
        </is>
      </c>
      <c r="BF600" t="inlineStr">
        <is>
          <t>893616761</t>
        </is>
      </c>
    </row>
    <row r="601">
      <c r="B601" t="inlineStr">
        <is>
          <t>CURAL</t>
        </is>
      </c>
      <c r="C601" t="inlineStr">
        <is>
          <t>SHELVES</t>
        </is>
      </c>
      <c r="D601" t="inlineStr">
        <is>
          <t>QP481 .T43</t>
        </is>
      </c>
      <c r="E601" t="inlineStr">
        <is>
          <t>0                      QP 0481000T  43</t>
        </is>
      </c>
      <c r="F601" t="inlineStr">
        <is>
          <t>Color vision : an enduring problem in psychology : selected readings / edited by Richard C. Teevan and Robert C. Birney.</t>
        </is>
      </c>
      <c r="H601" t="inlineStr">
        <is>
          <t>No</t>
        </is>
      </c>
      <c r="I601" t="inlineStr">
        <is>
          <t>1</t>
        </is>
      </c>
      <c r="J601" t="inlineStr">
        <is>
          <t>No</t>
        </is>
      </c>
      <c r="K601" t="inlineStr">
        <is>
          <t>No</t>
        </is>
      </c>
      <c r="L601" t="inlineStr">
        <is>
          <t>0</t>
        </is>
      </c>
      <c r="M601" t="inlineStr">
        <is>
          <t>Teevan, Richard C., 1919-2006 editor.</t>
        </is>
      </c>
      <c r="N601" t="inlineStr">
        <is>
          <t>Princeton, N.J. : Van Nostrand, [1961]</t>
        </is>
      </c>
      <c r="O601" t="inlineStr">
        <is>
          <t>1961</t>
        </is>
      </c>
      <c r="Q601" t="inlineStr">
        <is>
          <t>eng</t>
        </is>
      </c>
      <c r="R601" t="inlineStr">
        <is>
          <t>nju</t>
        </is>
      </c>
      <c r="S601" t="inlineStr">
        <is>
          <t>An Insight book, 4</t>
        </is>
      </c>
      <c r="T601" t="inlineStr">
        <is>
          <t xml:space="preserve">QP </t>
        </is>
      </c>
      <c r="U601" t="n">
        <v>15</v>
      </c>
      <c r="V601" t="n">
        <v>15</v>
      </c>
      <c r="W601" t="inlineStr">
        <is>
          <t>2000-02-07</t>
        </is>
      </c>
      <c r="X601" t="inlineStr">
        <is>
          <t>2000-02-07</t>
        </is>
      </c>
      <c r="Y601" t="inlineStr">
        <is>
          <t>1992-03-13</t>
        </is>
      </c>
      <c r="Z601" t="inlineStr">
        <is>
          <t>1992-03-13</t>
        </is>
      </c>
      <c r="AA601" t="n">
        <v>513</v>
      </c>
      <c r="AB601" t="n">
        <v>416</v>
      </c>
      <c r="AC601" t="n">
        <v>425</v>
      </c>
      <c r="AD601" t="n">
        <v>5</v>
      </c>
      <c r="AE601" t="n">
        <v>5</v>
      </c>
      <c r="AF601" t="n">
        <v>25</v>
      </c>
      <c r="AG601" t="n">
        <v>25</v>
      </c>
      <c r="AH601" t="n">
        <v>12</v>
      </c>
      <c r="AI601" t="n">
        <v>12</v>
      </c>
      <c r="AJ601" t="n">
        <v>5</v>
      </c>
      <c r="AK601" t="n">
        <v>5</v>
      </c>
      <c r="AL601" t="n">
        <v>9</v>
      </c>
      <c r="AM601" t="n">
        <v>9</v>
      </c>
      <c r="AN601" t="n">
        <v>4</v>
      </c>
      <c r="AO601" t="n">
        <v>4</v>
      </c>
      <c r="AP601" t="n">
        <v>0</v>
      </c>
      <c r="AQ601" t="n">
        <v>0</v>
      </c>
      <c r="AR601" t="inlineStr">
        <is>
          <t>No</t>
        </is>
      </c>
      <c r="AS601" t="inlineStr">
        <is>
          <t>No</t>
        </is>
      </c>
      <c r="AU601">
        <f>HYPERLINK("https://creighton-primo.hosted.exlibrisgroup.com/primo-explore/search?tab=default_tab&amp;search_scope=EVERYTHING&amp;vid=01CRU&amp;lang=en_US&amp;offset=0&amp;query=any,contains,991002629989702656","Catalog Record")</f>
        <v/>
      </c>
      <c r="AV601">
        <f>HYPERLINK("http://www.worldcat.org/oclc/14611807","WorldCat Record")</f>
        <v/>
      </c>
      <c r="AW601" t="inlineStr">
        <is>
          <t>890230810:eng</t>
        </is>
      </c>
      <c r="AX601" t="inlineStr">
        <is>
          <t>14611807</t>
        </is>
      </c>
      <c r="AY601" t="inlineStr">
        <is>
          <t>991002629989702656</t>
        </is>
      </c>
      <c r="AZ601" t="inlineStr">
        <is>
          <t>991002629989702656</t>
        </is>
      </c>
      <c r="BA601" t="inlineStr">
        <is>
          <t>2259919400002656</t>
        </is>
      </c>
      <c r="BB601" t="inlineStr">
        <is>
          <t>BOOK</t>
        </is>
      </c>
      <c r="BE601" t="inlineStr">
        <is>
          <t>32285001005098</t>
        </is>
      </c>
      <c r="BF601" t="inlineStr">
        <is>
          <t>893786355</t>
        </is>
      </c>
    </row>
    <row r="602">
      <c r="B602" t="inlineStr">
        <is>
          <t>CURAL</t>
        </is>
      </c>
      <c r="C602" t="inlineStr">
        <is>
          <t>SHELVES</t>
        </is>
      </c>
      <c r="D602" t="inlineStr">
        <is>
          <t>QP481 .W7</t>
        </is>
      </c>
      <c r="E602" t="inlineStr">
        <is>
          <t>0                      QP 0481000W  7</t>
        </is>
      </c>
      <c r="F602" t="inlineStr">
        <is>
          <t>The rays are not coloured : essays on the science and vision and colour / by W. D. Wright.</t>
        </is>
      </c>
      <c r="H602" t="inlineStr">
        <is>
          <t>No</t>
        </is>
      </c>
      <c r="I602" t="inlineStr">
        <is>
          <t>1</t>
        </is>
      </c>
      <c r="J602" t="inlineStr">
        <is>
          <t>No</t>
        </is>
      </c>
      <c r="K602" t="inlineStr">
        <is>
          <t>No</t>
        </is>
      </c>
      <c r="L602" t="inlineStr">
        <is>
          <t>0</t>
        </is>
      </c>
      <c r="M602" t="inlineStr">
        <is>
          <t>Wright, W. D. (William David), 1906-1997.</t>
        </is>
      </c>
      <c r="N602" t="inlineStr">
        <is>
          <t>London : Hilger, [1967].</t>
        </is>
      </c>
      <c r="O602" t="inlineStr">
        <is>
          <t>1967</t>
        </is>
      </c>
      <c r="Q602" t="inlineStr">
        <is>
          <t>eng</t>
        </is>
      </c>
      <c r="R602" t="inlineStr">
        <is>
          <t>enk</t>
        </is>
      </c>
      <c r="T602" t="inlineStr">
        <is>
          <t xml:space="preserve">QP </t>
        </is>
      </c>
      <c r="U602" t="n">
        <v>1</v>
      </c>
      <c r="V602" t="n">
        <v>1</v>
      </c>
      <c r="W602" t="inlineStr">
        <is>
          <t>1992-11-30</t>
        </is>
      </c>
      <c r="X602" t="inlineStr">
        <is>
          <t>1992-11-30</t>
        </is>
      </c>
      <c r="Y602" t="inlineStr">
        <is>
          <t>1991-12-05</t>
        </is>
      </c>
      <c r="Z602" t="inlineStr">
        <is>
          <t>1991-12-05</t>
        </is>
      </c>
      <c r="AA602" t="n">
        <v>206</v>
      </c>
      <c r="AB602" t="n">
        <v>136</v>
      </c>
      <c r="AC602" t="n">
        <v>369</v>
      </c>
      <c r="AD602" t="n">
        <v>1</v>
      </c>
      <c r="AE602" t="n">
        <v>4</v>
      </c>
      <c r="AF602" t="n">
        <v>3</v>
      </c>
      <c r="AG602" t="n">
        <v>15</v>
      </c>
      <c r="AH602" t="n">
        <v>0</v>
      </c>
      <c r="AI602" t="n">
        <v>2</v>
      </c>
      <c r="AJ602" t="n">
        <v>1</v>
      </c>
      <c r="AK602" t="n">
        <v>5</v>
      </c>
      <c r="AL602" t="n">
        <v>2</v>
      </c>
      <c r="AM602" t="n">
        <v>10</v>
      </c>
      <c r="AN602" t="n">
        <v>0</v>
      </c>
      <c r="AO602" t="n">
        <v>3</v>
      </c>
      <c r="AP602" t="n">
        <v>0</v>
      </c>
      <c r="AQ602" t="n">
        <v>0</v>
      </c>
      <c r="AR602" t="inlineStr">
        <is>
          <t>No</t>
        </is>
      </c>
      <c r="AS602" t="inlineStr">
        <is>
          <t>Yes</t>
        </is>
      </c>
      <c r="AT602">
        <f>HYPERLINK("http://catalog.hathitrust.org/Record/001555130","HathiTrust Record")</f>
        <v/>
      </c>
      <c r="AU602">
        <f>HYPERLINK("https://creighton-primo.hosted.exlibrisgroup.com/primo-explore/search?tab=default_tab&amp;search_scope=EVERYTHING&amp;vid=01CRU&amp;lang=en_US&amp;offset=0&amp;query=any,contains,991004186579702656","Catalog Record")</f>
        <v/>
      </c>
      <c r="AV602">
        <f>HYPERLINK("http://www.worldcat.org/oclc/2616571","WorldCat Record")</f>
        <v/>
      </c>
      <c r="AW602" t="inlineStr">
        <is>
          <t>376656801:eng</t>
        </is>
      </c>
      <c r="AX602" t="inlineStr">
        <is>
          <t>2616571</t>
        </is>
      </c>
      <c r="AY602" t="inlineStr">
        <is>
          <t>991004186579702656</t>
        </is>
      </c>
      <c r="AZ602" t="inlineStr">
        <is>
          <t>991004186579702656</t>
        </is>
      </c>
      <c r="BA602" t="inlineStr">
        <is>
          <t>2265059890002656</t>
        </is>
      </c>
      <c r="BB602" t="inlineStr">
        <is>
          <t>BOOK</t>
        </is>
      </c>
      <c r="BD602" t="inlineStr">
        <is>
          <t>9780852740682</t>
        </is>
      </c>
      <c r="BE602" t="inlineStr">
        <is>
          <t>32285000844430</t>
        </is>
      </c>
      <c r="BF602" t="inlineStr">
        <is>
          <t>893788384</t>
        </is>
      </c>
    </row>
    <row r="603">
      <c r="B603" t="inlineStr">
        <is>
          <t>CURAL</t>
        </is>
      </c>
      <c r="C603" t="inlineStr">
        <is>
          <t>SHELVES</t>
        </is>
      </c>
      <c r="D603" t="inlineStr">
        <is>
          <t>QP483 .E9</t>
        </is>
      </c>
      <c r="E603" t="inlineStr">
        <is>
          <t>0                      QP 0483000E  9</t>
        </is>
      </c>
      <c r="F603" t="inlineStr">
        <is>
          <t>The perception of color.</t>
        </is>
      </c>
      <c r="H603" t="inlineStr">
        <is>
          <t>No</t>
        </is>
      </c>
      <c r="I603" t="inlineStr">
        <is>
          <t>1</t>
        </is>
      </c>
      <c r="J603" t="inlineStr">
        <is>
          <t>No</t>
        </is>
      </c>
      <c r="K603" t="inlineStr">
        <is>
          <t>No</t>
        </is>
      </c>
      <c r="L603" t="inlineStr">
        <is>
          <t>0</t>
        </is>
      </c>
      <c r="M603" t="inlineStr">
        <is>
          <t>Evans, Ralph M. (Ralph Merrill)</t>
        </is>
      </c>
      <c r="N603" t="inlineStr">
        <is>
          <t>New York, Wiley [1974]</t>
        </is>
      </c>
      <c r="O603" t="inlineStr">
        <is>
          <t>1974</t>
        </is>
      </c>
      <c r="Q603" t="inlineStr">
        <is>
          <t>eng</t>
        </is>
      </c>
      <c r="R603" t="inlineStr">
        <is>
          <t>nyu</t>
        </is>
      </c>
      <c r="T603" t="inlineStr">
        <is>
          <t xml:space="preserve">QP </t>
        </is>
      </c>
      <c r="U603" t="n">
        <v>18</v>
      </c>
      <c r="V603" t="n">
        <v>18</v>
      </c>
      <c r="W603" t="inlineStr">
        <is>
          <t>2001-12-03</t>
        </is>
      </c>
      <c r="X603" t="inlineStr">
        <is>
          <t>2001-12-03</t>
        </is>
      </c>
      <c r="Y603" t="inlineStr">
        <is>
          <t>1991-11-19</t>
        </is>
      </c>
      <c r="Z603" t="inlineStr">
        <is>
          <t>1991-11-19</t>
        </is>
      </c>
      <c r="AA603" t="n">
        <v>577</v>
      </c>
      <c r="AB603" t="n">
        <v>450</v>
      </c>
      <c r="AC603" t="n">
        <v>452</v>
      </c>
      <c r="AD603" t="n">
        <v>3</v>
      </c>
      <c r="AE603" t="n">
        <v>3</v>
      </c>
      <c r="AF603" t="n">
        <v>14</v>
      </c>
      <c r="AG603" t="n">
        <v>14</v>
      </c>
      <c r="AH603" t="n">
        <v>5</v>
      </c>
      <c r="AI603" t="n">
        <v>5</v>
      </c>
      <c r="AJ603" t="n">
        <v>2</v>
      </c>
      <c r="AK603" t="n">
        <v>2</v>
      </c>
      <c r="AL603" t="n">
        <v>8</v>
      </c>
      <c r="AM603" t="n">
        <v>8</v>
      </c>
      <c r="AN603" t="n">
        <v>2</v>
      </c>
      <c r="AO603" t="n">
        <v>2</v>
      </c>
      <c r="AP603" t="n">
        <v>0</v>
      </c>
      <c r="AQ603" t="n">
        <v>0</v>
      </c>
      <c r="AR603" t="inlineStr">
        <is>
          <t>No</t>
        </is>
      </c>
      <c r="AS603" t="inlineStr">
        <is>
          <t>Yes</t>
        </is>
      </c>
      <c r="AT603">
        <f>HYPERLINK("http://catalog.hathitrust.org/Record/001555131","HathiTrust Record")</f>
        <v/>
      </c>
      <c r="AU603">
        <f>HYPERLINK("https://creighton-primo.hosted.exlibrisgroup.com/primo-explore/search?tab=default_tab&amp;search_scope=EVERYTHING&amp;vid=01CRU&amp;lang=en_US&amp;offset=0&amp;query=any,contains,991003396609702656","Catalog Record")</f>
        <v/>
      </c>
      <c r="AV603">
        <f>HYPERLINK("http://www.worldcat.org/oclc/934771","WorldCat Record")</f>
        <v/>
      </c>
      <c r="AW603" t="inlineStr">
        <is>
          <t>1888318:eng</t>
        </is>
      </c>
      <c r="AX603" t="inlineStr">
        <is>
          <t>934771</t>
        </is>
      </c>
      <c r="AY603" t="inlineStr">
        <is>
          <t>991003396609702656</t>
        </is>
      </c>
      <c r="AZ603" t="inlineStr">
        <is>
          <t>991003396609702656</t>
        </is>
      </c>
      <c r="BA603" t="inlineStr">
        <is>
          <t>2271626030002656</t>
        </is>
      </c>
      <c r="BB603" t="inlineStr">
        <is>
          <t>BOOK</t>
        </is>
      </c>
      <c r="BD603" t="inlineStr">
        <is>
          <t>9780471247852</t>
        </is>
      </c>
      <c r="BE603" t="inlineStr">
        <is>
          <t>32285000840933</t>
        </is>
      </c>
      <c r="BF603" t="inlineStr">
        <is>
          <t>893623444</t>
        </is>
      </c>
    </row>
    <row r="604">
      <c r="B604" t="inlineStr">
        <is>
          <t>CURAL</t>
        </is>
      </c>
      <c r="C604" t="inlineStr">
        <is>
          <t>SHELVES</t>
        </is>
      </c>
      <c r="D604" t="inlineStr">
        <is>
          <t>QP483 .J3</t>
        </is>
      </c>
      <c r="E604" t="inlineStr">
        <is>
          <t>0                      QP 0483000J  3</t>
        </is>
      </c>
      <c r="F604" t="inlineStr">
        <is>
          <t>Comparative color vision / Gerald H. Jacobs.</t>
        </is>
      </c>
      <c r="H604" t="inlineStr">
        <is>
          <t>No</t>
        </is>
      </c>
      <c r="I604" t="inlineStr">
        <is>
          <t>1</t>
        </is>
      </c>
      <c r="J604" t="inlineStr">
        <is>
          <t>No</t>
        </is>
      </c>
      <c r="K604" t="inlineStr">
        <is>
          <t>No</t>
        </is>
      </c>
      <c r="L604" t="inlineStr">
        <is>
          <t>0</t>
        </is>
      </c>
      <c r="M604" t="inlineStr">
        <is>
          <t>Jacobs, Gerald H.</t>
        </is>
      </c>
      <c r="N604" t="inlineStr">
        <is>
          <t>New York : Academic Press, 1981.</t>
        </is>
      </c>
      <c r="O604" t="inlineStr">
        <is>
          <t>1981</t>
        </is>
      </c>
      <c r="Q604" t="inlineStr">
        <is>
          <t>eng</t>
        </is>
      </c>
      <c r="R604" t="inlineStr">
        <is>
          <t>nyu</t>
        </is>
      </c>
      <c r="S604" t="inlineStr">
        <is>
          <t>Academic Press series in cognition and perception</t>
        </is>
      </c>
      <c r="T604" t="inlineStr">
        <is>
          <t xml:space="preserve">QP </t>
        </is>
      </c>
      <c r="U604" t="n">
        <v>3</v>
      </c>
      <c r="V604" t="n">
        <v>3</v>
      </c>
      <c r="W604" t="inlineStr">
        <is>
          <t>1994-04-05</t>
        </is>
      </c>
      <c r="X604" t="inlineStr">
        <is>
          <t>1994-04-05</t>
        </is>
      </c>
      <c r="Y604" t="inlineStr">
        <is>
          <t>1992-11-23</t>
        </is>
      </c>
      <c r="Z604" t="inlineStr">
        <is>
          <t>1992-11-23</t>
        </is>
      </c>
      <c r="AA604" t="n">
        <v>491</v>
      </c>
      <c r="AB604" t="n">
        <v>383</v>
      </c>
      <c r="AC604" t="n">
        <v>422</v>
      </c>
      <c r="AD604" t="n">
        <v>5</v>
      </c>
      <c r="AE604" t="n">
        <v>5</v>
      </c>
      <c r="AF604" t="n">
        <v>15</v>
      </c>
      <c r="AG604" t="n">
        <v>18</v>
      </c>
      <c r="AH604" t="n">
        <v>2</v>
      </c>
      <c r="AI604" t="n">
        <v>4</v>
      </c>
      <c r="AJ604" t="n">
        <v>5</v>
      </c>
      <c r="AK604" t="n">
        <v>7</v>
      </c>
      <c r="AL604" t="n">
        <v>7</v>
      </c>
      <c r="AM604" t="n">
        <v>7</v>
      </c>
      <c r="AN604" t="n">
        <v>4</v>
      </c>
      <c r="AO604" t="n">
        <v>4</v>
      </c>
      <c r="AP604" t="n">
        <v>0</v>
      </c>
      <c r="AQ604" t="n">
        <v>0</v>
      </c>
      <c r="AR604" t="inlineStr">
        <is>
          <t>No</t>
        </is>
      </c>
      <c r="AS604" t="inlineStr">
        <is>
          <t>Yes</t>
        </is>
      </c>
      <c r="AT604">
        <f>HYPERLINK("http://catalog.hathitrust.org/Record/000318556","HathiTrust Record")</f>
        <v/>
      </c>
      <c r="AU604">
        <f>HYPERLINK("https://creighton-primo.hosted.exlibrisgroup.com/primo-explore/search?tab=default_tab&amp;search_scope=EVERYTHING&amp;vid=01CRU&amp;lang=en_US&amp;offset=0&amp;query=any,contains,991005183269702656","Catalog Record")</f>
        <v/>
      </c>
      <c r="AV604">
        <f>HYPERLINK("http://www.worldcat.org/oclc/7947782","WorldCat Record")</f>
        <v/>
      </c>
      <c r="AW604" t="inlineStr">
        <is>
          <t>409225:eng</t>
        </is>
      </c>
      <c r="AX604" t="inlineStr">
        <is>
          <t>7947782</t>
        </is>
      </c>
      <c r="AY604" t="inlineStr">
        <is>
          <t>991005183269702656</t>
        </is>
      </c>
      <c r="AZ604" t="inlineStr">
        <is>
          <t>991005183269702656</t>
        </is>
      </c>
      <c r="BA604" t="inlineStr">
        <is>
          <t>2270118650002656</t>
        </is>
      </c>
      <c r="BB604" t="inlineStr">
        <is>
          <t>BOOK</t>
        </is>
      </c>
      <c r="BD604" t="inlineStr">
        <is>
          <t>9780123785206</t>
        </is>
      </c>
      <c r="BE604" t="inlineStr">
        <is>
          <t>32285001408458</t>
        </is>
      </c>
      <c r="BF604" t="inlineStr">
        <is>
          <t>893606968</t>
        </is>
      </c>
    </row>
    <row r="605">
      <c r="B605" t="inlineStr">
        <is>
          <t>CURAL</t>
        </is>
      </c>
      <c r="C605" t="inlineStr">
        <is>
          <t>SHELVES</t>
        </is>
      </c>
      <c r="D605" t="inlineStr">
        <is>
          <t>QP483 .S4</t>
        </is>
      </c>
      <c r="E605" t="inlineStr">
        <is>
          <t>0                      QP 0483000S  4</t>
        </is>
      </c>
      <c r="F605" t="inlineStr">
        <is>
          <t>Colour vision in the nineteenth century : the Young-Helmholtz-Maxwell theory / Paul D. Sherman ; foreword by W.D. Wright.</t>
        </is>
      </c>
      <c r="H605" t="inlineStr">
        <is>
          <t>No</t>
        </is>
      </c>
      <c r="I605" t="inlineStr">
        <is>
          <t>1</t>
        </is>
      </c>
      <c r="J605" t="inlineStr">
        <is>
          <t>No</t>
        </is>
      </c>
      <c r="K605" t="inlineStr">
        <is>
          <t>No</t>
        </is>
      </c>
      <c r="L605" t="inlineStr">
        <is>
          <t>0</t>
        </is>
      </c>
      <c r="M605" t="inlineStr">
        <is>
          <t>Sherman, Paul D.</t>
        </is>
      </c>
      <c r="N605" t="inlineStr">
        <is>
          <t>Bristol : A. Hilger, 1981.</t>
        </is>
      </c>
      <c r="O605" t="inlineStr">
        <is>
          <t>1981</t>
        </is>
      </c>
      <c r="Q605" t="inlineStr">
        <is>
          <t>eng</t>
        </is>
      </c>
      <c r="R605" t="inlineStr">
        <is>
          <t>enk</t>
        </is>
      </c>
      <c r="T605" t="inlineStr">
        <is>
          <t xml:space="preserve">QP </t>
        </is>
      </c>
      <c r="U605" t="n">
        <v>1</v>
      </c>
      <c r="V605" t="n">
        <v>1</v>
      </c>
      <c r="W605" t="inlineStr">
        <is>
          <t>1992-12-02</t>
        </is>
      </c>
      <c r="X605" t="inlineStr">
        <is>
          <t>1992-12-02</t>
        </is>
      </c>
      <c r="Y605" t="inlineStr">
        <is>
          <t>1990-06-01</t>
        </is>
      </c>
      <c r="Z605" t="inlineStr">
        <is>
          <t>1990-06-01</t>
        </is>
      </c>
      <c r="AA605" t="n">
        <v>301</v>
      </c>
      <c r="AB605" t="n">
        <v>187</v>
      </c>
      <c r="AC605" t="n">
        <v>188</v>
      </c>
      <c r="AD605" t="n">
        <v>2</v>
      </c>
      <c r="AE605" t="n">
        <v>2</v>
      </c>
      <c r="AF605" t="n">
        <v>6</v>
      </c>
      <c r="AG605" t="n">
        <v>6</v>
      </c>
      <c r="AH605" t="n">
        <v>1</v>
      </c>
      <c r="AI605" t="n">
        <v>1</v>
      </c>
      <c r="AJ605" t="n">
        <v>1</v>
      </c>
      <c r="AK605" t="n">
        <v>1</v>
      </c>
      <c r="AL605" t="n">
        <v>4</v>
      </c>
      <c r="AM605" t="n">
        <v>4</v>
      </c>
      <c r="AN605" t="n">
        <v>1</v>
      </c>
      <c r="AO605" t="n">
        <v>1</v>
      </c>
      <c r="AP605" t="n">
        <v>0</v>
      </c>
      <c r="AQ605" t="n">
        <v>0</v>
      </c>
      <c r="AR605" t="inlineStr">
        <is>
          <t>No</t>
        </is>
      </c>
      <c r="AS605" t="inlineStr">
        <is>
          <t>Yes</t>
        </is>
      </c>
      <c r="AT605">
        <f>HYPERLINK("http://catalog.hathitrust.org/Record/000186159","HathiTrust Record")</f>
        <v/>
      </c>
      <c r="AU605">
        <f>HYPERLINK("https://creighton-primo.hosted.exlibrisgroup.com/primo-explore/search?tab=default_tab&amp;search_scope=EVERYTHING&amp;vid=01CRU&amp;lang=en_US&amp;offset=0&amp;query=any,contains,991005234719702656","Catalog Record")</f>
        <v/>
      </c>
      <c r="AV605">
        <f>HYPERLINK("http://www.worldcat.org/oclc/8360366","WorldCat Record")</f>
        <v/>
      </c>
      <c r="AW605" t="inlineStr">
        <is>
          <t>509711:eng</t>
        </is>
      </c>
      <c r="AX605" t="inlineStr">
        <is>
          <t>8360366</t>
        </is>
      </c>
      <c r="AY605" t="inlineStr">
        <is>
          <t>991005234719702656</t>
        </is>
      </c>
      <c r="AZ605" t="inlineStr">
        <is>
          <t>991005234719702656</t>
        </is>
      </c>
      <c r="BA605" t="inlineStr">
        <is>
          <t>2263511610002656</t>
        </is>
      </c>
      <c r="BB605" t="inlineStr">
        <is>
          <t>BOOK</t>
        </is>
      </c>
      <c r="BD605" t="inlineStr">
        <is>
          <t>9780852743768</t>
        </is>
      </c>
      <c r="BE605" t="inlineStr">
        <is>
          <t>32285000180108</t>
        </is>
      </c>
      <c r="BF605" t="inlineStr">
        <is>
          <t>893533417</t>
        </is>
      </c>
    </row>
    <row r="606">
      <c r="B606" t="inlineStr">
        <is>
          <t>CURAL</t>
        </is>
      </c>
      <c r="C606" t="inlineStr">
        <is>
          <t>SHELVES</t>
        </is>
      </c>
      <c r="D606" t="inlineStr">
        <is>
          <t>QP485 .I1513</t>
        </is>
      </c>
      <c r="E606" t="inlineStr">
        <is>
          <t>0                      QP 0485000I  1513</t>
        </is>
      </c>
      <c r="F606" t="inlineStr">
        <is>
          <t>Eye movements and vision / by Alfred L. Yarbus. Translated from Russian by Basil Haigh. Translation editor: Lorrin A. Riggs.</t>
        </is>
      </c>
      <c r="H606" t="inlineStr">
        <is>
          <t>No</t>
        </is>
      </c>
      <c r="I606" t="inlineStr">
        <is>
          <t>1</t>
        </is>
      </c>
      <c r="J606" t="inlineStr">
        <is>
          <t>No</t>
        </is>
      </c>
      <c r="K606" t="inlineStr">
        <is>
          <t>No</t>
        </is>
      </c>
      <c r="L606" t="inlineStr">
        <is>
          <t>0</t>
        </is>
      </c>
      <c r="M606" t="inlineStr">
        <is>
          <t>I͡Arbus, A. L. (Alʹfred Lukʹi͡anovich)</t>
        </is>
      </c>
      <c r="N606" t="inlineStr">
        <is>
          <t>New York : Plenum Press, 1967.</t>
        </is>
      </c>
      <c r="O606" t="inlineStr">
        <is>
          <t>1967</t>
        </is>
      </c>
      <c r="Q606" t="inlineStr">
        <is>
          <t>eng</t>
        </is>
      </c>
      <c r="R606" t="inlineStr">
        <is>
          <t>nyu</t>
        </is>
      </c>
      <c r="T606" t="inlineStr">
        <is>
          <t xml:space="preserve">QP </t>
        </is>
      </c>
      <c r="U606" t="n">
        <v>6</v>
      </c>
      <c r="V606" t="n">
        <v>6</v>
      </c>
      <c r="W606" t="inlineStr">
        <is>
          <t>1992-10-15</t>
        </is>
      </c>
      <c r="X606" t="inlineStr">
        <is>
          <t>1992-10-15</t>
        </is>
      </c>
      <c r="Y606" t="inlineStr">
        <is>
          <t>1992-06-30</t>
        </is>
      </c>
      <c r="Z606" t="inlineStr">
        <is>
          <t>1992-06-30</t>
        </is>
      </c>
      <c r="AA606" t="n">
        <v>449</v>
      </c>
      <c r="AB606" t="n">
        <v>349</v>
      </c>
      <c r="AC606" t="n">
        <v>362</v>
      </c>
      <c r="AD606" t="n">
        <v>3</v>
      </c>
      <c r="AE606" t="n">
        <v>3</v>
      </c>
      <c r="AF606" t="n">
        <v>15</v>
      </c>
      <c r="AG606" t="n">
        <v>15</v>
      </c>
      <c r="AH606" t="n">
        <v>7</v>
      </c>
      <c r="AI606" t="n">
        <v>7</v>
      </c>
      <c r="AJ606" t="n">
        <v>2</v>
      </c>
      <c r="AK606" t="n">
        <v>2</v>
      </c>
      <c r="AL606" t="n">
        <v>9</v>
      </c>
      <c r="AM606" t="n">
        <v>9</v>
      </c>
      <c r="AN606" t="n">
        <v>2</v>
      </c>
      <c r="AO606" t="n">
        <v>2</v>
      </c>
      <c r="AP606" t="n">
        <v>0</v>
      </c>
      <c r="AQ606" t="n">
        <v>0</v>
      </c>
      <c r="AR606" t="inlineStr">
        <is>
          <t>No</t>
        </is>
      </c>
      <c r="AS606" t="inlineStr">
        <is>
          <t>Yes</t>
        </is>
      </c>
      <c r="AT606">
        <f>HYPERLINK("http://catalog.hathitrust.org/Record/001555133","HathiTrust Record")</f>
        <v/>
      </c>
      <c r="AU606">
        <f>HYPERLINK("https://creighton-primo.hosted.exlibrisgroup.com/primo-explore/search?tab=default_tab&amp;search_scope=EVERYTHING&amp;vid=01CRU&amp;lang=en_US&amp;offset=0&amp;query=any,contains,991003390079702656","Catalog Record")</f>
        <v/>
      </c>
      <c r="AV606">
        <f>HYPERLINK("http://www.worldcat.org/oclc/927806","WorldCat Record")</f>
        <v/>
      </c>
      <c r="AW606" t="inlineStr">
        <is>
          <t>50774083:eng</t>
        </is>
      </c>
      <c r="AX606" t="inlineStr">
        <is>
          <t>927806</t>
        </is>
      </c>
      <c r="AY606" t="inlineStr">
        <is>
          <t>991003390079702656</t>
        </is>
      </c>
      <c r="AZ606" t="inlineStr">
        <is>
          <t>991003390079702656</t>
        </is>
      </c>
      <c r="BA606" t="inlineStr">
        <is>
          <t>2266818300002656</t>
        </is>
      </c>
      <c r="BB606" t="inlineStr">
        <is>
          <t>BOOK</t>
        </is>
      </c>
      <c r="BE606" t="inlineStr">
        <is>
          <t>32285001145787</t>
        </is>
      </c>
      <c r="BF606" t="inlineStr">
        <is>
          <t>893240170</t>
        </is>
      </c>
    </row>
    <row r="607">
      <c r="B607" t="inlineStr">
        <is>
          <t>CURAL</t>
        </is>
      </c>
      <c r="C607" t="inlineStr">
        <is>
          <t>SHELVES</t>
        </is>
      </c>
      <c r="D607" t="inlineStr">
        <is>
          <t>QP491 .G5</t>
        </is>
      </c>
      <c r="E607" t="inlineStr">
        <is>
          <t>0                      QP 0491000G  5</t>
        </is>
      </c>
      <c r="F607" t="inlineStr">
        <is>
          <t>The perception of the visual world.</t>
        </is>
      </c>
      <c r="H607" t="inlineStr">
        <is>
          <t>No</t>
        </is>
      </c>
      <c r="I607" t="inlineStr">
        <is>
          <t>1</t>
        </is>
      </c>
      <c r="J607" t="inlineStr">
        <is>
          <t>No</t>
        </is>
      </c>
      <c r="K607" t="inlineStr">
        <is>
          <t>No</t>
        </is>
      </c>
      <c r="L607" t="inlineStr">
        <is>
          <t>0</t>
        </is>
      </c>
      <c r="M607" t="inlineStr">
        <is>
          <t>Gibson, James J. (James Jerome), 1904-1979.</t>
        </is>
      </c>
      <c r="N607" t="inlineStr">
        <is>
          <t>Boston : Houghton Mifflin, [1950]</t>
        </is>
      </c>
      <c r="O607" t="inlineStr">
        <is>
          <t>1950</t>
        </is>
      </c>
      <c r="Q607" t="inlineStr">
        <is>
          <t>eng</t>
        </is>
      </c>
      <c r="R607" t="inlineStr">
        <is>
          <t>mau</t>
        </is>
      </c>
      <c r="T607" t="inlineStr">
        <is>
          <t xml:space="preserve">QP </t>
        </is>
      </c>
      <c r="U607" t="n">
        <v>8</v>
      </c>
      <c r="V607" t="n">
        <v>8</v>
      </c>
      <c r="W607" t="inlineStr">
        <is>
          <t>1997-11-18</t>
        </is>
      </c>
      <c r="X607" t="inlineStr">
        <is>
          <t>1997-11-18</t>
        </is>
      </c>
      <c r="Y607" t="inlineStr">
        <is>
          <t>1992-12-16</t>
        </is>
      </c>
      <c r="Z607" t="inlineStr">
        <is>
          <t>1992-12-16</t>
        </is>
      </c>
      <c r="AA607" t="n">
        <v>786</v>
      </c>
      <c r="AB607" t="n">
        <v>613</v>
      </c>
      <c r="AC607" t="n">
        <v>686</v>
      </c>
      <c r="AD607" t="n">
        <v>6</v>
      </c>
      <c r="AE607" t="n">
        <v>6</v>
      </c>
      <c r="AF607" t="n">
        <v>27</v>
      </c>
      <c r="AG607" t="n">
        <v>31</v>
      </c>
      <c r="AH607" t="n">
        <v>11</v>
      </c>
      <c r="AI607" t="n">
        <v>11</v>
      </c>
      <c r="AJ607" t="n">
        <v>5</v>
      </c>
      <c r="AK607" t="n">
        <v>6</v>
      </c>
      <c r="AL607" t="n">
        <v>12</v>
      </c>
      <c r="AM607" t="n">
        <v>16</v>
      </c>
      <c r="AN607" t="n">
        <v>5</v>
      </c>
      <c r="AO607" t="n">
        <v>5</v>
      </c>
      <c r="AP607" t="n">
        <v>0</v>
      </c>
      <c r="AQ607" t="n">
        <v>0</v>
      </c>
      <c r="AR607" t="inlineStr">
        <is>
          <t>No</t>
        </is>
      </c>
      <c r="AS607" t="inlineStr">
        <is>
          <t>Yes</t>
        </is>
      </c>
      <c r="AT607">
        <f>HYPERLINK("http://catalog.hathitrust.org/Record/001555141","HathiTrust Record")</f>
        <v/>
      </c>
      <c r="AU607">
        <f>HYPERLINK("https://creighton-primo.hosted.exlibrisgroup.com/primo-explore/search?tab=default_tab&amp;search_scope=EVERYTHING&amp;vid=01CRU&amp;lang=en_US&amp;offset=0&amp;query=any,contains,991002990589702656","Catalog Record")</f>
        <v/>
      </c>
      <c r="AV607">
        <f>HYPERLINK("http://www.worldcat.org/oclc/560396","WorldCat Record")</f>
        <v/>
      </c>
      <c r="AW607" t="inlineStr">
        <is>
          <t>53108244:eng</t>
        </is>
      </c>
      <c r="AX607" t="inlineStr">
        <is>
          <t>560396</t>
        </is>
      </c>
      <c r="AY607" t="inlineStr">
        <is>
          <t>991002990589702656</t>
        </is>
      </c>
      <c r="AZ607" t="inlineStr">
        <is>
          <t>991002990589702656</t>
        </is>
      </c>
      <c r="BA607" t="inlineStr">
        <is>
          <t>2256721810002656</t>
        </is>
      </c>
      <c r="BB607" t="inlineStr">
        <is>
          <t>BOOK</t>
        </is>
      </c>
      <c r="BE607" t="inlineStr">
        <is>
          <t>32285001441798</t>
        </is>
      </c>
      <c r="BF607" t="inlineStr">
        <is>
          <t>893686057</t>
        </is>
      </c>
    </row>
    <row r="608">
      <c r="B608" t="inlineStr">
        <is>
          <t>CURAL</t>
        </is>
      </c>
      <c r="C608" t="inlineStr">
        <is>
          <t>SHELVES</t>
        </is>
      </c>
      <c r="D608" t="inlineStr">
        <is>
          <t>QP491 .H32</t>
        </is>
      </c>
      <c r="E608" t="inlineStr">
        <is>
          <t>0                      QP 0491000H  32</t>
        </is>
      </c>
      <c r="F608" t="inlineStr">
        <is>
          <t>Contemporary theory and research in visual perception.</t>
        </is>
      </c>
      <c r="H608" t="inlineStr">
        <is>
          <t>No</t>
        </is>
      </c>
      <c r="I608" t="inlineStr">
        <is>
          <t>1</t>
        </is>
      </c>
      <c r="J608" t="inlineStr">
        <is>
          <t>No</t>
        </is>
      </c>
      <c r="K608" t="inlineStr">
        <is>
          <t>No</t>
        </is>
      </c>
      <c r="L608" t="inlineStr">
        <is>
          <t>0</t>
        </is>
      </c>
      <c r="M608" t="inlineStr">
        <is>
          <t>Haber, Ralph Norman, compiler.</t>
        </is>
      </c>
      <c r="N608" t="inlineStr">
        <is>
          <t>New York : Holt, Rinehart and Winston, [1968]</t>
        </is>
      </c>
      <c r="O608" t="inlineStr">
        <is>
          <t>1968</t>
        </is>
      </c>
      <c r="Q608" t="inlineStr">
        <is>
          <t>eng</t>
        </is>
      </c>
      <c r="R608" t="inlineStr">
        <is>
          <t>nyu</t>
        </is>
      </c>
      <c r="T608" t="inlineStr">
        <is>
          <t xml:space="preserve">QP </t>
        </is>
      </c>
      <c r="U608" t="n">
        <v>5</v>
      </c>
      <c r="V608" t="n">
        <v>5</v>
      </c>
      <c r="W608" t="inlineStr">
        <is>
          <t>1997-11-06</t>
        </is>
      </c>
      <c r="X608" t="inlineStr">
        <is>
          <t>1997-11-06</t>
        </is>
      </c>
      <c r="Y608" t="inlineStr">
        <is>
          <t>1992-12-22</t>
        </is>
      </c>
      <c r="Z608" t="inlineStr">
        <is>
          <t>1992-12-22</t>
        </is>
      </c>
      <c r="AA608" t="n">
        <v>687</v>
      </c>
      <c r="AB608" t="n">
        <v>528</v>
      </c>
      <c r="AC608" t="n">
        <v>537</v>
      </c>
      <c r="AD608" t="n">
        <v>5</v>
      </c>
      <c r="AE608" t="n">
        <v>5</v>
      </c>
      <c r="AF608" t="n">
        <v>24</v>
      </c>
      <c r="AG608" t="n">
        <v>24</v>
      </c>
      <c r="AH608" t="n">
        <v>7</v>
      </c>
      <c r="AI608" t="n">
        <v>7</v>
      </c>
      <c r="AJ608" t="n">
        <v>4</v>
      </c>
      <c r="AK608" t="n">
        <v>4</v>
      </c>
      <c r="AL608" t="n">
        <v>13</v>
      </c>
      <c r="AM608" t="n">
        <v>13</v>
      </c>
      <c r="AN608" t="n">
        <v>4</v>
      </c>
      <c r="AO608" t="n">
        <v>4</v>
      </c>
      <c r="AP608" t="n">
        <v>0</v>
      </c>
      <c r="AQ608" t="n">
        <v>0</v>
      </c>
      <c r="AR608" t="inlineStr">
        <is>
          <t>No</t>
        </is>
      </c>
      <c r="AS608" t="inlineStr">
        <is>
          <t>Yes</t>
        </is>
      </c>
      <c r="AT608">
        <f>HYPERLINK("http://catalog.hathitrust.org/Record/001555142","HathiTrust Record")</f>
        <v/>
      </c>
      <c r="AU608">
        <f>HYPERLINK("https://creighton-primo.hosted.exlibrisgroup.com/primo-explore/search?tab=default_tab&amp;search_scope=EVERYTHING&amp;vid=01CRU&amp;lang=en_US&amp;offset=0&amp;query=any,contains,991002781629702656","Catalog Record")</f>
        <v/>
      </c>
      <c r="AV608">
        <f>HYPERLINK("http://www.worldcat.org/oclc/440415","WorldCat Record")</f>
        <v/>
      </c>
      <c r="AW608" t="inlineStr">
        <is>
          <t>118815326:eng</t>
        </is>
      </c>
      <c r="AX608" t="inlineStr">
        <is>
          <t>440415</t>
        </is>
      </c>
      <c r="AY608" t="inlineStr">
        <is>
          <t>991002781629702656</t>
        </is>
      </c>
      <c r="AZ608" t="inlineStr">
        <is>
          <t>991002781629702656</t>
        </is>
      </c>
      <c r="BA608" t="inlineStr">
        <is>
          <t>2256800100002656</t>
        </is>
      </c>
      <c r="BB608" t="inlineStr">
        <is>
          <t>BOOK</t>
        </is>
      </c>
      <c r="BE608" t="inlineStr">
        <is>
          <t>32285001470151</t>
        </is>
      </c>
      <c r="BF608" t="inlineStr">
        <is>
          <t>893323368</t>
        </is>
      </c>
    </row>
    <row r="609">
      <c r="B609" t="inlineStr">
        <is>
          <t>CURAL</t>
        </is>
      </c>
      <c r="C609" t="inlineStr">
        <is>
          <t>SHELVES</t>
        </is>
      </c>
      <c r="D609" t="inlineStr">
        <is>
          <t>QP491 .H66 1989</t>
        </is>
      </c>
      <c r="E609" t="inlineStr">
        <is>
          <t>0                      QP 0491000H  66          1989</t>
        </is>
      </c>
      <c r="F609" t="inlineStr">
        <is>
          <t>Depth perception in frogs and toads : a study in neural computing / Donald House.</t>
        </is>
      </c>
      <c r="H609" t="inlineStr">
        <is>
          <t>No</t>
        </is>
      </c>
      <c r="I609" t="inlineStr">
        <is>
          <t>1</t>
        </is>
      </c>
      <c r="J609" t="inlineStr">
        <is>
          <t>No</t>
        </is>
      </c>
      <c r="K609" t="inlineStr">
        <is>
          <t>No</t>
        </is>
      </c>
      <c r="L609" t="inlineStr">
        <is>
          <t>0</t>
        </is>
      </c>
      <c r="M609" t="inlineStr">
        <is>
          <t>House, Donald, 1945-</t>
        </is>
      </c>
      <c r="N609" t="inlineStr">
        <is>
          <t>New York : Springer-Verlag, 1989.</t>
        </is>
      </c>
      <c r="O609" t="inlineStr">
        <is>
          <t>1989</t>
        </is>
      </c>
      <c r="Q609" t="inlineStr">
        <is>
          <t>eng</t>
        </is>
      </c>
      <c r="R609" t="inlineStr">
        <is>
          <t>nyu</t>
        </is>
      </c>
      <c r="S609" t="inlineStr">
        <is>
          <t>Lecture notes in biomathematics ; v. 80</t>
        </is>
      </c>
      <c r="T609" t="inlineStr">
        <is>
          <t xml:space="preserve">QP </t>
        </is>
      </c>
      <c r="U609" t="n">
        <v>9</v>
      </c>
      <c r="V609" t="n">
        <v>9</v>
      </c>
      <c r="W609" t="inlineStr">
        <is>
          <t>1996-11-13</t>
        </is>
      </c>
      <c r="X609" t="inlineStr">
        <is>
          <t>1996-11-13</t>
        </is>
      </c>
      <c r="Y609" t="inlineStr">
        <is>
          <t>1992-05-05</t>
        </is>
      </c>
      <c r="Z609" t="inlineStr">
        <is>
          <t>1992-05-05</t>
        </is>
      </c>
      <c r="AA609" t="n">
        <v>189</v>
      </c>
      <c r="AB609" t="n">
        <v>121</v>
      </c>
      <c r="AC609" t="n">
        <v>137</v>
      </c>
      <c r="AD609" t="n">
        <v>3</v>
      </c>
      <c r="AE609" t="n">
        <v>3</v>
      </c>
      <c r="AF609" t="n">
        <v>4</v>
      </c>
      <c r="AG609" t="n">
        <v>4</v>
      </c>
      <c r="AH609" t="n">
        <v>0</v>
      </c>
      <c r="AI609" t="n">
        <v>0</v>
      </c>
      <c r="AJ609" t="n">
        <v>2</v>
      </c>
      <c r="AK609" t="n">
        <v>2</v>
      </c>
      <c r="AL609" t="n">
        <v>1</v>
      </c>
      <c r="AM609" t="n">
        <v>1</v>
      </c>
      <c r="AN609" t="n">
        <v>2</v>
      </c>
      <c r="AO609" t="n">
        <v>2</v>
      </c>
      <c r="AP609" t="n">
        <v>0</v>
      </c>
      <c r="AQ609" t="n">
        <v>0</v>
      </c>
      <c r="AR609" t="inlineStr">
        <is>
          <t>No</t>
        </is>
      </c>
      <c r="AS609" t="inlineStr">
        <is>
          <t>Yes</t>
        </is>
      </c>
      <c r="AT609">
        <f>HYPERLINK("http://catalog.hathitrust.org/Record/001946243","HathiTrust Record")</f>
        <v/>
      </c>
      <c r="AU609">
        <f>HYPERLINK("https://creighton-primo.hosted.exlibrisgroup.com/primo-explore/search?tab=default_tab&amp;search_scope=EVERYTHING&amp;vid=01CRU&amp;lang=en_US&amp;offset=0&amp;query=any,contains,991001588969702656","Catalog Record")</f>
        <v/>
      </c>
      <c r="AV609">
        <f>HYPERLINK("http://www.worldcat.org/oclc/20563366","WorldCat Record")</f>
        <v/>
      </c>
      <c r="AW609" t="inlineStr">
        <is>
          <t>889720974:eng</t>
        </is>
      </c>
      <c r="AX609" t="inlineStr">
        <is>
          <t>20563366</t>
        </is>
      </c>
      <c r="AY609" t="inlineStr">
        <is>
          <t>991001588969702656</t>
        </is>
      </c>
      <c r="AZ609" t="inlineStr">
        <is>
          <t>991001588969702656</t>
        </is>
      </c>
      <c r="BA609" t="inlineStr">
        <is>
          <t>2257358570002656</t>
        </is>
      </c>
      <c r="BB609" t="inlineStr">
        <is>
          <t>BOOK</t>
        </is>
      </c>
      <c r="BD609" t="inlineStr">
        <is>
          <t>9783540971573</t>
        </is>
      </c>
      <c r="BE609" t="inlineStr">
        <is>
          <t>32285001038586</t>
        </is>
      </c>
      <c r="BF609" t="inlineStr">
        <is>
          <t>893244231</t>
        </is>
      </c>
    </row>
    <row r="610">
      <c r="B610" t="inlineStr">
        <is>
          <t>CURAL</t>
        </is>
      </c>
      <c r="C610" t="inlineStr">
        <is>
          <t>SHELVES</t>
        </is>
      </c>
      <c r="D610" t="inlineStr">
        <is>
          <t>QP491 .O93 1976</t>
        </is>
      </c>
      <c r="E610" t="inlineStr">
        <is>
          <t>0                      QP 0491000O  93          1976</t>
        </is>
      </c>
      <c r="F610" t="inlineStr">
        <is>
          <t>Vision and acquisition : fundamentals of human visual performance, environmental influences, and applications in instrumental optics / Ian Overington.</t>
        </is>
      </c>
      <c r="H610" t="inlineStr">
        <is>
          <t>No</t>
        </is>
      </c>
      <c r="I610" t="inlineStr">
        <is>
          <t>1</t>
        </is>
      </c>
      <c r="J610" t="inlineStr">
        <is>
          <t>No</t>
        </is>
      </c>
      <c r="K610" t="inlineStr">
        <is>
          <t>No</t>
        </is>
      </c>
      <c r="L610" t="inlineStr">
        <is>
          <t>0</t>
        </is>
      </c>
      <c r="M610" t="inlineStr">
        <is>
          <t>Overington, Ian.</t>
        </is>
      </c>
      <c r="N610" t="inlineStr">
        <is>
          <t>London : Pentech Press ; New York : Crane, Russak, 1976.</t>
        </is>
      </c>
      <c r="O610" t="inlineStr">
        <is>
          <t>1976</t>
        </is>
      </c>
      <c r="Q610" t="inlineStr">
        <is>
          <t>eng</t>
        </is>
      </c>
      <c r="R610" t="inlineStr">
        <is>
          <t>enk</t>
        </is>
      </c>
      <c r="T610" t="inlineStr">
        <is>
          <t xml:space="preserve">QP </t>
        </is>
      </c>
      <c r="U610" t="n">
        <v>2</v>
      </c>
      <c r="V610" t="n">
        <v>2</v>
      </c>
      <c r="W610" t="inlineStr">
        <is>
          <t>1993-02-18</t>
        </is>
      </c>
      <c r="X610" t="inlineStr">
        <is>
          <t>1993-02-18</t>
        </is>
      </c>
      <c r="Y610" t="inlineStr">
        <is>
          <t>1992-12-22</t>
        </is>
      </c>
      <c r="Z610" t="inlineStr">
        <is>
          <t>1992-12-22</t>
        </is>
      </c>
      <c r="AA610" t="n">
        <v>237</v>
      </c>
      <c r="AB610" t="n">
        <v>164</v>
      </c>
      <c r="AC610" t="n">
        <v>170</v>
      </c>
      <c r="AD610" t="n">
        <v>3</v>
      </c>
      <c r="AE610" t="n">
        <v>3</v>
      </c>
      <c r="AF610" t="n">
        <v>5</v>
      </c>
      <c r="AG610" t="n">
        <v>5</v>
      </c>
      <c r="AH610" t="n">
        <v>0</v>
      </c>
      <c r="AI610" t="n">
        <v>0</v>
      </c>
      <c r="AJ610" t="n">
        <v>3</v>
      </c>
      <c r="AK610" t="n">
        <v>3</v>
      </c>
      <c r="AL610" t="n">
        <v>1</v>
      </c>
      <c r="AM610" t="n">
        <v>1</v>
      </c>
      <c r="AN610" t="n">
        <v>2</v>
      </c>
      <c r="AO610" t="n">
        <v>2</v>
      </c>
      <c r="AP610" t="n">
        <v>0</v>
      </c>
      <c r="AQ610" t="n">
        <v>0</v>
      </c>
      <c r="AR610" t="inlineStr">
        <is>
          <t>No</t>
        </is>
      </c>
      <c r="AS610" t="inlineStr">
        <is>
          <t>Yes</t>
        </is>
      </c>
      <c r="AT610">
        <f>HYPERLINK("http://catalog.hathitrust.org/Record/006257918","HathiTrust Record")</f>
        <v/>
      </c>
      <c r="AU610">
        <f>HYPERLINK("https://creighton-primo.hosted.exlibrisgroup.com/primo-explore/search?tab=default_tab&amp;search_scope=EVERYTHING&amp;vid=01CRU&amp;lang=en_US&amp;offset=0&amp;query=any,contains,991004156589702656","Catalog Record")</f>
        <v/>
      </c>
      <c r="AV610">
        <f>HYPERLINK("http://www.worldcat.org/oclc/2542089","WorldCat Record")</f>
        <v/>
      </c>
      <c r="AW610" t="inlineStr">
        <is>
          <t>369389510:eng</t>
        </is>
      </c>
      <c r="AX610" t="inlineStr">
        <is>
          <t>2542089</t>
        </is>
      </c>
      <c r="AY610" t="inlineStr">
        <is>
          <t>991004156589702656</t>
        </is>
      </c>
      <c r="AZ610" t="inlineStr">
        <is>
          <t>991004156589702656</t>
        </is>
      </c>
      <c r="BA610" t="inlineStr">
        <is>
          <t>2272027360002656</t>
        </is>
      </c>
      <c r="BB610" t="inlineStr">
        <is>
          <t>BOOK</t>
        </is>
      </c>
      <c r="BD610" t="inlineStr">
        <is>
          <t>9780844809175</t>
        </is>
      </c>
      <c r="BE610" t="inlineStr">
        <is>
          <t>32285001470144</t>
        </is>
      </c>
      <c r="BF610" t="inlineStr">
        <is>
          <t>893599496</t>
        </is>
      </c>
    </row>
    <row r="611">
      <c r="B611" t="inlineStr">
        <is>
          <t>CURAL</t>
        </is>
      </c>
      <c r="C611" t="inlineStr">
        <is>
          <t>SHELVES</t>
        </is>
      </c>
      <c r="D611" t="inlineStr">
        <is>
          <t>QP495 .H35</t>
        </is>
      </c>
      <c r="E611" t="inlineStr">
        <is>
          <t>0                      QP 0495000H  35</t>
        </is>
      </c>
      <c r="F611" t="inlineStr">
        <is>
          <t>Image, object, and illusion; readings from Scientific American. With introductions by Richard Held.</t>
        </is>
      </c>
      <c r="H611" t="inlineStr">
        <is>
          <t>No</t>
        </is>
      </c>
      <c r="I611" t="inlineStr">
        <is>
          <t>1</t>
        </is>
      </c>
      <c r="J611" t="inlineStr">
        <is>
          <t>No</t>
        </is>
      </c>
      <c r="K611" t="inlineStr">
        <is>
          <t>No</t>
        </is>
      </c>
      <c r="L611" t="inlineStr">
        <is>
          <t>0</t>
        </is>
      </c>
      <c r="M611" t="inlineStr">
        <is>
          <t>Held, Richard compiler.</t>
        </is>
      </c>
      <c r="N611" t="inlineStr">
        <is>
          <t>San Francisco, W. H. Freeman [1974]</t>
        </is>
      </c>
      <c r="O611" t="inlineStr">
        <is>
          <t>1974</t>
        </is>
      </c>
      <c r="Q611" t="inlineStr">
        <is>
          <t>eng</t>
        </is>
      </c>
      <c r="R611" t="inlineStr">
        <is>
          <t>cau</t>
        </is>
      </c>
      <c r="T611" t="inlineStr">
        <is>
          <t xml:space="preserve">QP </t>
        </is>
      </c>
      <c r="U611" t="n">
        <v>18</v>
      </c>
      <c r="V611" t="n">
        <v>18</v>
      </c>
      <c r="W611" t="inlineStr">
        <is>
          <t>2009-02-22</t>
        </is>
      </c>
      <c r="X611" t="inlineStr">
        <is>
          <t>2009-02-22</t>
        </is>
      </c>
      <c r="Y611" t="inlineStr">
        <is>
          <t>1992-07-22</t>
        </is>
      </c>
      <c r="Z611" t="inlineStr">
        <is>
          <t>1992-07-22</t>
        </is>
      </c>
      <c r="AA611" t="n">
        <v>674</v>
      </c>
      <c r="AB611" t="n">
        <v>539</v>
      </c>
      <c r="AC611" t="n">
        <v>547</v>
      </c>
      <c r="AD611" t="n">
        <v>5</v>
      </c>
      <c r="AE611" t="n">
        <v>5</v>
      </c>
      <c r="AF611" t="n">
        <v>20</v>
      </c>
      <c r="AG611" t="n">
        <v>20</v>
      </c>
      <c r="AH611" t="n">
        <v>4</v>
      </c>
      <c r="AI611" t="n">
        <v>4</v>
      </c>
      <c r="AJ611" t="n">
        <v>4</v>
      </c>
      <c r="AK611" t="n">
        <v>4</v>
      </c>
      <c r="AL611" t="n">
        <v>11</v>
      </c>
      <c r="AM611" t="n">
        <v>11</v>
      </c>
      <c r="AN611" t="n">
        <v>4</v>
      </c>
      <c r="AO611" t="n">
        <v>4</v>
      </c>
      <c r="AP611" t="n">
        <v>0</v>
      </c>
      <c r="AQ611" t="n">
        <v>0</v>
      </c>
      <c r="AR611" t="inlineStr">
        <is>
          <t>No</t>
        </is>
      </c>
      <c r="AS611" t="inlineStr">
        <is>
          <t>No</t>
        </is>
      </c>
      <c r="AU611">
        <f>HYPERLINK("https://creighton-primo.hosted.exlibrisgroup.com/primo-explore/search?tab=default_tab&amp;search_scope=EVERYTHING&amp;vid=01CRU&amp;lang=en_US&amp;offset=0&amp;query=any,contains,991001977559702656","Catalog Record")</f>
        <v/>
      </c>
      <c r="AV611">
        <f>HYPERLINK("http://www.worldcat.org/oclc/948012","WorldCat Record")</f>
        <v/>
      </c>
      <c r="AW611" t="inlineStr">
        <is>
          <t>366238574:eng</t>
        </is>
      </c>
      <c r="AX611" t="inlineStr">
        <is>
          <t>948012</t>
        </is>
      </c>
      <c r="AY611" t="inlineStr">
        <is>
          <t>991001977559702656</t>
        </is>
      </c>
      <c r="AZ611" t="inlineStr">
        <is>
          <t>991001977559702656</t>
        </is>
      </c>
      <c r="BA611" t="inlineStr">
        <is>
          <t>2264923610002656</t>
        </is>
      </c>
      <c r="BB611" t="inlineStr">
        <is>
          <t>BOOK</t>
        </is>
      </c>
      <c r="BD611" t="inlineStr">
        <is>
          <t>9780716705055</t>
        </is>
      </c>
      <c r="BE611" t="inlineStr">
        <is>
          <t>32285001214484</t>
        </is>
      </c>
      <c r="BF611" t="inlineStr">
        <is>
          <t>893238503</t>
        </is>
      </c>
    </row>
    <row r="612">
      <c r="B612" t="inlineStr">
        <is>
          <t>CURAL</t>
        </is>
      </c>
      <c r="C612" t="inlineStr">
        <is>
          <t>SHELVES</t>
        </is>
      </c>
      <c r="D612" t="inlineStr">
        <is>
          <t>QP495 .R35</t>
        </is>
      </c>
      <c r="E612" t="inlineStr">
        <is>
          <t>0                      QP 0495000R  35</t>
        </is>
      </c>
      <c r="F612" t="inlineStr">
        <is>
          <t>Illusions: a journey into perception.</t>
        </is>
      </c>
      <c r="H612" t="inlineStr">
        <is>
          <t>No</t>
        </is>
      </c>
      <c r="I612" t="inlineStr">
        <is>
          <t>1</t>
        </is>
      </c>
      <c r="J612" t="inlineStr">
        <is>
          <t>No</t>
        </is>
      </c>
      <c r="K612" t="inlineStr">
        <is>
          <t>No</t>
        </is>
      </c>
      <c r="L612" t="inlineStr">
        <is>
          <t>0</t>
        </is>
      </c>
      <c r="M612" t="inlineStr">
        <is>
          <t>Rainey, Patricia Ann.</t>
        </is>
      </c>
      <c r="N612" t="inlineStr">
        <is>
          <t>[Hamden, Conn.] Linnet Books, 1973.</t>
        </is>
      </c>
      <c r="O612" t="inlineStr">
        <is>
          <t>1973</t>
        </is>
      </c>
      <c r="Q612" t="inlineStr">
        <is>
          <t>eng</t>
        </is>
      </c>
      <c r="R612" t="inlineStr">
        <is>
          <t>ctu</t>
        </is>
      </c>
      <c r="T612" t="inlineStr">
        <is>
          <t xml:space="preserve">QP </t>
        </is>
      </c>
      <c r="U612" t="n">
        <v>16</v>
      </c>
      <c r="V612" t="n">
        <v>16</v>
      </c>
      <c r="W612" t="inlineStr">
        <is>
          <t>2009-02-22</t>
        </is>
      </c>
      <c r="X612" t="inlineStr">
        <is>
          <t>2009-02-22</t>
        </is>
      </c>
      <c r="Y612" t="inlineStr">
        <is>
          <t>1992-07-22</t>
        </is>
      </c>
      <c r="Z612" t="inlineStr">
        <is>
          <t>1992-07-22</t>
        </is>
      </c>
      <c r="AA612" t="n">
        <v>160</v>
      </c>
      <c r="AB612" t="n">
        <v>136</v>
      </c>
      <c r="AC612" t="n">
        <v>136</v>
      </c>
      <c r="AD612" t="n">
        <v>3</v>
      </c>
      <c r="AE612" t="n">
        <v>3</v>
      </c>
      <c r="AF612" t="n">
        <v>4</v>
      </c>
      <c r="AG612" t="n">
        <v>4</v>
      </c>
      <c r="AH612" t="n">
        <v>1</v>
      </c>
      <c r="AI612" t="n">
        <v>1</v>
      </c>
      <c r="AJ612" t="n">
        <v>0</v>
      </c>
      <c r="AK612" t="n">
        <v>0</v>
      </c>
      <c r="AL612" t="n">
        <v>1</v>
      </c>
      <c r="AM612" t="n">
        <v>1</v>
      </c>
      <c r="AN612" t="n">
        <v>2</v>
      </c>
      <c r="AO612" t="n">
        <v>2</v>
      </c>
      <c r="AP612" t="n">
        <v>0</v>
      </c>
      <c r="AQ612" t="n">
        <v>0</v>
      </c>
      <c r="AR612" t="inlineStr">
        <is>
          <t>No</t>
        </is>
      </c>
      <c r="AS612" t="inlineStr">
        <is>
          <t>No</t>
        </is>
      </c>
      <c r="AU612">
        <f>HYPERLINK("https://creighton-primo.hosted.exlibrisgroup.com/primo-explore/search?tab=default_tab&amp;search_scope=EVERYTHING&amp;vid=01CRU&amp;lang=en_US&amp;offset=0&amp;query=any,contains,991003080609702656","Catalog Record")</f>
        <v/>
      </c>
      <c r="AV612">
        <f>HYPERLINK("http://www.worldcat.org/oclc/632475","WorldCat Record")</f>
        <v/>
      </c>
      <c r="AW612" t="inlineStr">
        <is>
          <t>1748886:eng</t>
        </is>
      </c>
      <c r="AX612" t="inlineStr">
        <is>
          <t>632475</t>
        </is>
      </c>
      <c r="AY612" t="inlineStr">
        <is>
          <t>991003080609702656</t>
        </is>
      </c>
      <c r="AZ612" t="inlineStr">
        <is>
          <t>991003080609702656</t>
        </is>
      </c>
      <c r="BA612" t="inlineStr">
        <is>
          <t>2263842910002656</t>
        </is>
      </c>
      <c r="BB612" t="inlineStr">
        <is>
          <t>BOOK</t>
        </is>
      </c>
      <c r="BD612" t="inlineStr">
        <is>
          <t>9780208012128</t>
        </is>
      </c>
      <c r="BE612" t="inlineStr">
        <is>
          <t>32285001214476</t>
        </is>
      </c>
      <c r="BF612" t="inlineStr">
        <is>
          <t>893428421</t>
        </is>
      </c>
    </row>
    <row r="613">
      <c r="B613" t="inlineStr">
        <is>
          <t>CURAL</t>
        </is>
      </c>
      <c r="C613" t="inlineStr">
        <is>
          <t>SHELVES</t>
        </is>
      </c>
      <c r="D613" t="inlineStr">
        <is>
          <t>QP495 .S44 2006</t>
        </is>
      </c>
      <c r="E613" t="inlineStr">
        <is>
          <t>0                      QP 0495000S  44          2006</t>
        </is>
      </c>
      <c r="F613" t="inlineStr">
        <is>
          <t>The ultimate book of optical illusions / Al Seckel.</t>
        </is>
      </c>
      <c r="H613" t="inlineStr">
        <is>
          <t>No</t>
        </is>
      </c>
      <c r="I613" t="inlineStr">
        <is>
          <t>1</t>
        </is>
      </c>
      <c r="J613" t="inlineStr">
        <is>
          <t>No</t>
        </is>
      </c>
      <c r="K613" t="inlineStr">
        <is>
          <t>No</t>
        </is>
      </c>
      <c r="L613" t="inlineStr">
        <is>
          <t>0</t>
        </is>
      </c>
      <c r="M613" t="inlineStr">
        <is>
          <t>Seckel, Al, 1958-2015.</t>
        </is>
      </c>
      <c r="N613" t="inlineStr">
        <is>
          <t>New York : Sterling Pub. Co., c2006.</t>
        </is>
      </c>
      <c r="O613" t="inlineStr">
        <is>
          <t>2006</t>
        </is>
      </c>
      <c r="Q613" t="inlineStr">
        <is>
          <t>eng</t>
        </is>
      </c>
      <c r="R613" t="inlineStr">
        <is>
          <t>nyu</t>
        </is>
      </c>
      <c r="T613" t="inlineStr">
        <is>
          <t xml:space="preserve">QP </t>
        </is>
      </c>
      <c r="U613" t="n">
        <v>5</v>
      </c>
      <c r="V613" t="n">
        <v>5</v>
      </c>
      <c r="W613" t="inlineStr">
        <is>
          <t>2010-03-29</t>
        </is>
      </c>
      <c r="X613" t="inlineStr">
        <is>
          <t>2010-03-29</t>
        </is>
      </c>
      <c r="Y613" t="inlineStr">
        <is>
          <t>2009-10-15</t>
        </is>
      </c>
      <c r="Z613" t="inlineStr">
        <is>
          <t>2009-10-15</t>
        </is>
      </c>
      <c r="AA613" t="n">
        <v>480</v>
      </c>
      <c r="AB613" t="n">
        <v>415</v>
      </c>
      <c r="AC613" t="n">
        <v>426</v>
      </c>
      <c r="AD613" t="n">
        <v>3</v>
      </c>
      <c r="AE613" t="n">
        <v>3</v>
      </c>
      <c r="AF613" t="n">
        <v>0</v>
      </c>
      <c r="AG613" t="n">
        <v>0</v>
      </c>
      <c r="AH613" t="n">
        <v>0</v>
      </c>
      <c r="AI613" t="n">
        <v>0</v>
      </c>
      <c r="AJ613" t="n">
        <v>0</v>
      </c>
      <c r="AK613" t="n">
        <v>0</v>
      </c>
      <c r="AL613" t="n">
        <v>0</v>
      </c>
      <c r="AM613" t="n">
        <v>0</v>
      </c>
      <c r="AN613" t="n">
        <v>0</v>
      </c>
      <c r="AO613" t="n">
        <v>0</v>
      </c>
      <c r="AP613" t="n">
        <v>0</v>
      </c>
      <c r="AQ613" t="n">
        <v>0</v>
      </c>
      <c r="AR613" t="inlineStr">
        <is>
          <t>No</t>
        </is>
      </c>
      <c r="AS613" t="inlineStr">
        <is>
          <t>No</t>
        </is>
      </c>
      <c r="AU613">
        <f>HYPERLINK("https://creighton-primo.hosted.exlibrisgroup.com/primo-explore/search?tab=default_tab&amp;search_scope=EVERYTHING&amp;vid=01CRU&amp;lang=en_US&amp;offset=0&amp;query=any,contains,991005337989702656","Catalog Record")</f>
        <v/>
      </c>
      <c r="AV613">
        <f>HYPERLINK("http://www.worldcat.org/oclc/71259940","WorldCat Record")</f>
        <v/>
      </c>
      <c r="AW613" t="inlineStr">
        <is>
          <t>58223127:eng</t>
        </is>
      </c>
      <c r="AX613" t="inlineStr">
        <is>
          <t>71259940</t>
        </is>
      </c>
      <c r="AY613" t="inlineStr">
        <is>
          <t>991005337989702656</t>
        </is>
      </c>
      <c r="AZ613" t="inlineStr">
        <is>
          <t>991005337989702656</t>
        </is>
      </c>
      <c r="BA613" t="inlineStr">
        <is>
          <t>2263515780002656</t>
        </is>
      </c>
      <c r="BB613" t="inlineStr">
        <is>
          <t>BOOK</t>
        </is>
      </c>
      <c r="BD613" t="inlineStr">
        <is>
          <t>9781402734045</t>
        </is>
      </c>
      <c r="BE613" t="inlineStr">
        <is>
          <t>32285005548150</t>
        </is>
      </c>
      <c r="BF613" t="inlineStr">
        <is>
          <t>893437540</t>
        </is>
      </c>
    </row>
    <row r="614">
      <c r="B614" t="inlineStr">
        <is>
          <t>CURAL</t>
        </is>
      </c>
      <c r="C614" t="inlineStr">
        <is>
          <t>SHELVES</t>
        </is>
      </c>
      <c r="D614" t="inlineStr">
        <is>
          <t>QP495 .T6 1964</t>
        </is>
      </c>
      <c r="E614" t="inlineStr">
        <is>
          <t>0                      QP 0495000T  6           1964</t>
        </is>
      </c>
      <c r="F614" t="inlineStr">
        <is>
          <t>Optical illusions / by S. Tolansky.</t>
        </is>
      </c>
      <c r="H614" t="inlineStr">
        <is>
          <t>No</t>
        </is>
      </c>
      <c r="I614" t="inlineStr">
        <is>
          <t>1</t>
        </is>
      </c>
      <c r="J614" t="inlineStr">
        <is>
          <t>No</t>
        </is>
      </c>
      <c r="K614" t="inlineStr">
        <is>
          <t>No</t>
        </is>
      </c>
      <c r="L614" t="inlineStr">
        <is>
          <t>0</t>
        </is>
      </c>
      <c r="M614" t="inlineStr">
        <is>
          <t>Tolansky, S. (Samuel), 1907-1973.</t>
        </is>
      </c>
      <c r="N614" t="inlineStr">
        <is>
          <t>Oxford ; New York : Pergamon Press ; [distributed in the Western Hemisphere by Macmillan, New York], 1964.</t>
        </is>
      </c>
      <c r="O614" t="inlineStr">
        <is>
          <t>1964</t>
        </is>
      </c>
      <c r="Q614" t="inlineStr">
        <is>
          <t>eng</t>
        </is>
      </c>
      <c r="R614" t="inlineStr">
        <is>
          <t>enk</t>
        </is>
      </c>
      <c r="T614" t="inlineStr">
        <is>
          <t xml:space="preserve">QP </t>
        </is>
      </c>
      <c r="U614" t="n">
        <v>19</v>
      </c>
      <c r="V614" t="n">
        <v>19</v>
      </c>
      <c r="W614" t="inlineStr">
        <is>
          <t>2009-02-22</t>
        </is>
      </c>
      <c r="X614" t="inlineStr">
        <is>
          <t>2009-02-22</t>
        </is>
      </c>
      <c r="Y614" t="inlineStr">
        <is>
          <t>1991-08-20</t>
        </is>
      </c>
      <c r="Z614" t="inlineStr">
        <is>
          <t>1991-08-20</t>
        </is>
      </c>
      <c r="AA614" t="n">
        <v>448</v>
      </c>
      <c r="AB614" t="n">
        <v>334</v>
      </c>
      <c r="AC614" t="n">
        <v>405</v>
      </c>
      <c r="AD614" t="n">
        <v>4</v>
      </c>
      <c r="AE614" t="n">
        <v>4</v>
      </c>
      <c r="AF614" t="n">
        <v>15</v>
      </c>
      <c r="AG614" t="n">
        <v>19</v>
      </c>
      <c r="AH614" t="n">
        <v>6</v>
      </c>
      <c r="AI614" t="n">
        <v>8</v>
      </c>
      <c r="AJ614" t="n">
        <v>3</v>
      </c>
      <c r="AK614" t="n">
        <v>3</v>
      </c>
      <c r="AL614" t="n">
        <v>7</v>
      </c>
      <c r="AM614" t="n">
        <v>10</v>
      </c>
      <c r="AN614" t="n">
        <v>3</v>
      </c>
      <c r="AO614" t="n">
        <v>3</v>
      </c>
      <c r="AP614" t="n">
        <v>0</v>
      </c>
      <c r="AQ614" t="n">
        <v>0</v>
      </c>
      <c r="AR614" t="inlineStr">
        <is>
          <t>No</t>
        </is>
      </c>
      <c r="AS614" t="inlineStr">
        <is>
          <t>Yes</t>
        </is>
      </c>
      <c r="AT614">
        <f>HYPERLINK("http://catalog.hathitrust.org/Record/002077034","HathiTrust Record")</f>
        <v/>
      </c>
      <c r="AU614">
        <f>HYPERLINK("https://creighton-primo.hosted.exlibrisgroup.com/primo-explore/search?tab=default_tab&amp;search_scope=EVERYTHING&amp;vid=01CRU&amp;lang=en_US&amp;offset=0&amp;query=any,contains,991002990819702656","Catalog Record")</f>
        <v/>
      </c>
      <c r="AV614">
        <f>HYPERLINK("http://www.worldcat.org/oclc/560454","WorldCat Record")</f>
        <v/>
      </c>
      <c r="AW614" t="inlineStr">
        <is>
          <t>510547915:eng</t>
        </is>
      </c>
      <c r="AX614" t="inlineStr">
        <is>
          <t>560454</t>
        </is>
      </c>
      <c r="AY614" t="inlineStr">
        <is>
          <t>991002990819702656</t>
        </is>
      </c>
      <c r="AZ614" t="inlineStr">
        <is>
          <t>991002990819702656</t>
        </is>
      </c>
      <c r="BA614" t="inlineStr">
        <is>
          <t>2256727740002656</t>
        </is>
      </c>
      <c r="BB614" t="inlineStr">
        <is>
          <t>BOOK</t>
        </is>
      </c>
      <c r="BE614" t="inlineStr">
        <is>
          <t>32285000697028</t>
        </is>
      </c>
      <c r="BF614" t="inlineStr">
        <is>
          <t>893409795</t>
        </is>
      </c>
    </row>
    <row r="615">
      <c r="B615" t="inlineStr">
        <is>
          <t>CURAL</t>
        </is>
      </c>
      <c r="C615" t="inlineStr">
        <is>
          <t>SHELVES</t>
        </is>
      </c>
      <c r="D615" t="inlineStr">
        <is>
          <t>QP509 .S45 vol.1</t>
        </is>
      </c>
      <c r="E615" t="inlineStr">
        <is>
          <t>0                      QP 0509000S  45                                                      vol.1</t>
        </is>
      </c>
      <c r="F615" t="inlineStr">
        <is>
          <t>Bacterial genetics and temperate phage. Edited by Jun-ichi Tomizawa.</t>
        </is>
      </c>
      <c r="G615" t="inlineStr">
        <is>
          <t>V.1</t>
        </is>
      </c>
      <c r="H615" t="inlineStr">
        <is>
          <t>No</t>
        </is>
      </c>
      <c r="I615" t="inlineStr">
        <is>
          <t>1</t>
        </is>
      </c>
      <c r="J615" t="inlineStr">
        <is>
          <t>No</t>
        </is>
      </c>
      <c r="K615" t="inlineStr">
        <is>
          <t>No</t>
        </is>
      </c>
      <c r="L615" t="inlineStr">
        <is>
          <t>0</t>
        </is>
      </c>
      <c r="M615" t="inlineStr">
        <is>
          <t>Tomizawa, Junʼichi, 1924-, compiler.</t>
        </is>
      </c>
      <c r="N615" t="inlineStr">
        <is>
          <t>Baltimore, University Park Press [1971]</t>
        </is>
      </c>
      <c r="O615" t="inlineStr">
        <is>
          <t>1971</t>
        </is>
      </c>
      <c r="Q615" t="inlineStr">
        <is>
          <t>eng</t>
        </is>
      </c>
      <c r="R615" t="inlineStr">
        <is>
          <t>mdu</t>
        </is>
      </c>
      <c r="S615" t="inlineStr">
        <is>
          <t>Selected papers in biochemistry ; v. 1</t>
        </is>
      </c>
      <c r="T615" t="inlineStr">
        <is>
          <t xml:space="preserve">QP </t>
        </is>
      </c>
      <c r="U615" t="n">
        <v>1</v>
      </c>
      <c r="V615" t="n">
        <v>1</v>
      </c>
      <c r="W615" t="inlineStr">
        <is>
          <t>2002-02-24</t>
        </is>
      </c>
      <c r="X615" t="inlineStr">
        <is>
          <t>2002-02-24</t>
        </is>
      </c>
      <c r="Y615" t="inlineStr">
        <is>
          <t>1997-08-06</t>
        </is>
      </c>
      <c r="Z615" t="inlineStr">
        <is>
          <t>1997-08-06</t>
        </is>
      </c>
      <c r="AA615" t="n">
        <v>224</v>
      </c>
      <c r="AB615" t="n">
        <v>178</v>
      </c>
      <c r="AC615" t="n">
        <v>196</v>
      </c>
      <c r="AD615" t="n">
        <v>3</v>
      </c>
      <c r="AE615" t="n">
        <v>3</v>
      </c>
      <c r="AF615" t="n">
        <v>4</v>
      </c>
      <c r="AG615" t="n">
        <v>4</v>
      </c>
      <c r="AH615" t="n">
        <v>1</v>
      </c>
      <c r="AI615" t="n">
        <v>1</v>
      </c>
      <c r="AJ615" t="n">
        <v>1</v>
      </c>
      <c r="AK615" t="n">
        <v>1</v>
      </c>
      <c r="AL615" t="n">
        <v>1</v>
      </c>
      <c r="AM615" t="n">
        <v>1</v>
      </c>
      <c r="AN615" t="n">
        <v>2</v>
      </c>
      <c r="AO615" t="n">
        <v>2</v>
      </c>
      <c r="AP615" t="n">
        <v>0</v>
      </c>
      <c r="AQ615" t="n">
        <v>0</v>
      </c>
      <c r="AR615" t="inlineStr">
        <is>
          <t>No</t>
        </is>
      </c>
      <c r="AS615" t="inlineStr">
        <is>
          <t>Yes</t>
        </is>
      </c>
      <c r="AT615">
        <f>HYPERLINK("http://catalog.hathitrust.org/Record/001556332","HathiTrust Record")</f>
        <v/>
      </c>
      <c r="AU615">
        <f>HYPERLINK("https://creighton-primo.hosted.exlibrisgroup.com/primo-explore/search?tab=default_tab&amp;search_scope=EVERYTHING&amp;vid=01CRU&amp;lang=en_US&amp;offset=0&amp;query=any,contains,991001227339702656","Catalog Record")</f>
        <v/>
      </c>
      <c r="AV615">
        <f>HYPERLINK("http://www.worldcat.org/oclc/200390","WorldCat Record")</f>
        <v/>
      </c>
      <c r="AW615" t="inlineStr">
        <is>
          <t>1251578:eng</t>
        </is>
      </c>
      <c r="AX615" t="inlineStr">
        <is>
          <t>200390</t>
        </is>
      </c>
      <c r="AY615" t="inlineStr">
        <is>
          <t>991001227339702656</t>
        </is>
      </c>
      <c r="AZ615" t="inlineStr">
        <is>
          <t>991001227339702656</t>
        </is>
      </c>
      <c r="BA615" t="inlineStr">
        <is>
          <t>2257588300002656</t>
        </is>
      </c>
      <c r="BB615" t="inlineStr">
        <is>
          <t>BOOK</t>
        </is>
      </c>
      <c r="BD615" t="inlineStr">
        <is>
          <t>9780839106111</t>
        </is>
      </c>
      <c r="BE615" t="inlineStr">
        <is>
          <t>32285003080289</t>
        </is>
      </c>
      <c r="BF615" t="inlineStr">
        <is>
          <t>893231808</t>
        </is>
      </c>
    </row>
    <row r="616">
      <c r="B616" t="inlineStr">
        <is>
          <t>CURAL</t>
        </is>
      </c>
      <c r="C616" t="inlineStr">
        <is>
          <t>SHELVES</t>
        </is>
      </c>
      <c r="D616" t="inlineStr">
        <is>
          <t>QP511 .F78</t>
        </is>
      </c>
      <c r="E616" t="inlineStr">
        <is>
          <t>0                      QP 0511000F  78</t>
        </is>
      </c>
      <c r="F616" t="inlineStr">
        <is>
          <t>Molecules and life : historical essays on the interplay of chemistry and biology / [by] Joseph S. Fruton.</t>
        </is>
      </c>
      <c r="H616" t="inlineStr">
        <is>
          <t>No</t>
        </is>
      </c>
      <c r="I616" t="inlineStr">
        <is>
          <t>1</t>
        </is>
      </c>
      <c r="J616" t="inlineStr">
        <is>
          <t>No</t>
        </is>
      </c>
      <c r="K616" t="inlineStr">
        <is>
          <t>No</t>
        </is>
      </c>
      <c r="L616" t="inlineStr">
        <is>
          <t>0</t>
        </is>
      </c>
      <c r="M616" t="inlineStr">
        <is>
          <t>Fruton, Joseph S. (Joseph Stewart), 1912-2007.</t>
        </is>
      </c>
      <c r="N616" t="inlineStr">
        <is>
          <t>New York : Wiley-Interscience, [1972]</t>
        </is>
      </c>
      <c r="O616" t="inlineStr">
        <is>
          <t>1972</t>
        </is>
      </c>
      <c r="Q616" t="inlineStr">
        <is>
          <t>eng</t>
        </is>
      </c>
      <c r="R616" t="inlineStr">
        <is>
          <t>nyu</t>
        </is>
      </c>
      <c r="T616" t="inlineStr">
        <is>
          <t xml:space="preserve">QP </t>
        </is>
      </c>
      <c r="U616" t="n">
        <v>3</v>
      </c>
      <c r="V616" t="n">
        <v>3</v>
      </c>
      <c r="W616" t="inlineStr">
        <is>
          <t>1995-09-27</t>
        </is>
      </c>
      <c r="X616" t="inlineStr">
        <is>
          <t>1995-09-27</t>
        </is>
      </c>
      <c r="Y616" t="inlineStr">
        <is>
          <t>1994-10-05</t>
        </is>
      </c>
      <c r="Z616" t="inlineStr">
        <is>
          <t>1994-10-05</t>
        </is>
      </c>
      <c r="AA616" t="n">
        <v>770</v>
      </c>
      <c r="AB616" t="n">
        <v>602</v>
      </c>
      <c r="AC616" t="n">
        <v>613</v>
      </c>
      <c r="AD616" t="n">
        <v>5</v>
      </c>
      <c r="AE616" t="n">
        <v>5</v>
      </c>
      <c r="AF616" t="n">
        <v>26</v>
      </c>
      <c r="AG616" t="n">
        <v>26</v>
      </c>
      <c r="AH616" t="n">
        <v>10</v>
      </c>
      <c r="AI616" t="n">
        <v>10</v>
      </c>
      <c r="AJ616" t="n">
        <v>4</v>
      </c>
      <c r="AK616" t="n">
        <v>4</v>
      </c>
      <c r="AL616" t="n">
        <v>13</v>
      </c>
      <c r="AM616" t="n">
        <v>13</v>
      </c>
      <c r="AN616" t="n">
        <v>4</v>
      </c>
      <c r="AO616" t="n">
        <v>4</v>
      </c>
      <c r="AP616" t="n">
        <v>0</v>
      </c>
      <c r="AQ616" t="n">
        <v>0</v>
      </c>
      <c r="AR616" t="inlineStr">
        <is>
          <t>No</t>
        </is>
      </c>
      <c r="AS616" t="inlineStr">
        <is>
          <t>Yes</t>
        </is>
      </c>
      <c r="AT616">
        <f>HYPERLINK("http://catalog.hathitrust.org/Record/001555172","HathiTrust Record")</f>
        <v/>
      </c>
      <c r="AU616">
        <f>HYPERLINK("https://creighton-primo.hosted.exlibrisgroup.com/primo-explore/search?tab=default_tab&amp;search_scope=EVERYTHING&amp;vid=01CRU&amp;lang=en_US&amp;offset=0&amp;query=any,contains,991002272549702656","Catalog Record")</f>
        <v/>
      </c>
      <c r="AV616">
        <f>HYPERLINK("http://www.worldcat.org/oclc/308724","WorldCat Record")</f>
        <v/>
      </c>
      <c r="AW616" t="inlineStr">
        <is>
          <t>374126776:eng</t>
        </is>
      </c>
      <c r="AX616" t="inlineStr">
        <is>
          <t>308724</t>
        </is>
      </c>
      <c r="AY616" t="inlineStr">
        <is>
          <t>991002272549702656</t>
        </is>
      </c>
      <c r="AZ616" t="inlineStr">
        <is>
          <t>991002272549702656</t>
        </is>
      </c>
      <c r="BA616" t="inlineStr">
        <is>
          <t>2265148470002656</t>
        </is>
      </c>
      <c r="BB616" t="inlineStr">
        <is>
          <t>BOOK</t>
        </is>
      </c>
      <c r="BD616" t="inlineStr">
        <is>
          <t>9780471284482</t>
        </is>
      </c>
      <c r="BE616" t="inlineStr">
        <is>
          <t>32285001953677</t>
        </is>
      </c>
      <c r="BF616" t="inlineStr">
        <is>
          <t>893879703</t>
        </is>
      </c>
    </row>
    <row r="617">
      <c r="B617" t="inlineStr">
        <is>
          <t>CURAL</t>
        </is>
      </c>
      <c r="C617" t="inlineStr">
        <is>
          <t>SHELVES</t>
        </is>
      </c>
      <c r="D617" t="inlineStr">
        <is>
          <t>QP511.8.C45 A33</t>
        </is>
      </c>
      <c r="E617" t="inlineStr">
        <is>
          <t>0                      QP 0511800C  45                 A  33</t>
        </is>
      </c>
      <c r="F617" t="inlineStr">
        <is>
          <t>Heraclitean fire : sketches from a life before nature / Erwin Chargaff.</t>
        </is>
      </c>
      <c r="H617" t="inlineStr">
        <is>
          <t>No</t>
        </is>
      </c>
      <c r="I617" t="inlineStr">
        <is>
          <t>1</t>
        </is>
      </c>
      <c r="J617" t="inlineStr">
        <is>
          <t>No</t>
        </is>
      </c>
      <c r="K617" t="inlineStr">
        <is>
          <t>No</t>
        </is>
      </c>
      <c r="L617" t="inlineStr">
        <is>
          <t>0</t>
        </is>
      </c>
      <c r="M617" t="inlineStr">
        <is>
          <t>Chargaff, Erwin.</t>
        </is>
      </c>
      <c r="N617" t="inlineStr">
        <is>
          <t>New York : Rockefeller University Press, 1978.</t>
        </is>
      </c>
      <c r="O617" t="inlineStr">
        <is>
          <t>1978</t>
        </is>
      </c>
      <c r="Q617" t="inlineStr">
        <is>
          <t>eng</t>
        </is>
      </c>
      <c r="R617" t="inlineStr">
        <is>
          <t>nyu</t>
        </is>
      </c>
      <c r="T617" t="inlineStr">
        <is>
          <t xml:space="preserve">QP </t>
        </is>
      </c>
      <c r="U617" t="n">
        <v>1</v>
      </c>
      <c r="V617" t="n">
        <v>1</v>
      </c>
      <c r="W617" t="inlineStr">
        <is>
          <t>1997-11-21</t>
        </is>
      </c>
      <c r="X617" t="inlineStr">
        <is>
          <t>1997-11-21</t>
        </is>
      </c>
      <c r="Y617" t="inlineStr">
        <is>
          <t>1994-10-05</t>
        </is>
      </c>
      <c r="Z617" t="inlineStr">
        <is>
          <t>1994-10-05</t>
        </is>
      </c>
      <c r="AA617" t="n">
        <v>673</v>
      </c>
      <c r="AB617" t="n">
        <v>566</v>
      </c>
      <c r="AC617" t="n">
        <v>577</v>
      </c>
      <c r="AD617" t="n">
        <v>4</v>
      </c>
      <c r="AE617" t="n">
        <v>4</v>
      </c>
      <c r="AF617" t="n">
        <v>23</v>
      </c>
      <c r="AG617" t="n">
        <v>23</v>
      </c>
      <c r="AH617" t="n">
        <v>7</v>
      </c>
      <c r="AI617" t="n">
        <v>7</v>
      </c>
      <c r="AJ617" t="n">
        <v>6</v>
      </c>
      <c r="AK617" t="n">
        <v>6</v>
      </c>
      <c r="AL617" t="n">
        <v>13</v>
      </c>
      <c r="AM617" t="n">
        <v>13</v>
      </c>
      <c r="AN617" t="n">
        <v>3</v>
      </c>
      <c r="AO617" t="n">
        <v>3</v>
      </c>
      <c r="AP617" t="n">
        <v>0</v>
      </c>
      <c r="AQ617" t="n">
        <v>0</v>
      </c>
      <c r="AR617" t="inlineStr">
        <is>
          <t>No</t>
        </is>
      </c>
      <c r="AS617" t="inlineStr">
        <is>
          <t>Yes</t>
        </is>
      </c>
      <c r="AT617">
        <f>HYPERLINK("http://catalog.hathitrust.org/Record/000215379","HathiTrust Record")</f>
        <v/>
      </c>
      <c r="AU617">
        <f>HYPERLINK("https://creighton-primo.hosted.exlibrisgroup.com/primo-explore/search?tab=default_tab&amp;search_scope=EVERYTHING&amp;vid=01CRU&amp;lang=en_US&amp;offset=0&amp;query=any,contains,991004602179702656","Catalog Record")</f>
        <v/>
      </c>
      <c r="AV617">
        <f>HYPERLINK("http://www.worldcat.org/oclc/4180182","WorldCat Record")</f>
        <v/>
      </c>
      <c r="AW617" t="inlineStr">
        <is>
          <t>1150919653:eng</t>
        </is>
      </c>
      <c r="AX617" t="inlineStr">
        <is>
          <t>4180182</t>
        </is>
      </c>
      <c r="AY617" t="inlineStr">
        <is>
          <t>991004602179702656</t>
        </is>
      </c>
      <c r="AZ617" t="inlineStr">
        <is>
          <t>991004602179702656</t>
        </is>
      </c>
      <c r="BA617" t="inlineStr">
        <is>
          <t>2266302400002656</t>
        </is>
      </c>
      <c r="BB617" t="inlineStr">
        <is>
          <t>BOOK</t>
        </is>
      </c>
      <c r="BD617" t="inlineStr">
        <is>
          <t>9780874700299</t>
        </is>
      </c>
      <c r="BE617" t="inlineStr">
        <is>
          <t>32285001953669</t>
        </is>
      </c>
      <c r="BF617" t="inlineStr">
        <is>
          <t>893882655</t>
        </is>
      </c>
    </row>
    <row r="618">
      <c r="B618" t="inlineStr">
        <is>
          <t>CURAL</t>
        </is>
      </c>
      <c r="C618" t="inlineStr">
        <is>
          <t>SHELVES</t>
        </is>
      </c>
      <c r="D618" t="inlineStr">
        <is>
          <t>QP511.8.K68 A3 1989</t>
        </is>
      </c>
      <c r="E618" t="inlineStr">
        <is>
          <t>0                      QP 0511800K  68                 A  3           1989</t>
        </is>
      </c>
      <c r="F618" t="inlineStr">
        <is>
          <t>For the love of enzymes : the odyssey of a biochemist / Arthur Kornberg.</t>
        </is>
      </c>
      <c r="H618" t="inlineStr">
        <is>
          <t>No</t>
        </is>
      </c>
      <c r="I618" t="inlineStr">
        <is>
          <t>1</t>
        </is>
      </c>
      <c r="J618" t="inlineStr">
        <is>
          <t>No</t>
        </is>
      </c>
      <c r="K618" t="inlineStr">
        <is>
          <t>Yes</t>
        </is>
      </c>
      <c r="L618" t="inlineStr">
        <is>
          <t>0</t>
        </is>
      </c>
      <c r="M618" t="inlineStr">
        <is>
          <t>Kornberg, Arthur, 1918-2007.</t>
        </is>
      </c>
      <c r="N618" t="inlineStr">
        <is>
          <t>Cambridge, Mass. : Harvard University Press, 1989.</t>
        </is>
      </c>
      <c r="O618" t="inlineStr">
        <is>
          <t>1989</t>
        </is>
      </c>
      <c r="Q618" t="inlineStr">
        <is>
          <t>eng</t>
        </is>
      </c>
      <c r="R618" t="inlineStr">
        <is>
          <t>mau</t>
        </is>
      </c>
      <c r="T618" t="inlineStr">
        <is>
          <t xml:space="preserve">QP </t>
        </is>
      </c>
      <c r="U618" t="n">
        <v>3</v>
      </c>
      <c r="V618" t="n">
        <v>3</v>
      </c>
      <c r="W618" t="inlineStr">
        <is>
          <t>1997-04-17</t>
        </is>
      </c>
      <c r="X618" t="inlineStr">
        <is>
          <t>1997-04-17</t>
        </is>
      </c>
      <c r="Y618" t="inlineStr">
        <is>
          <t>1993-03-04</t>
        </is>
      </c>
      <c r="Z618" t="inlineStr">
        <is>
          <t>1993-03-04</t>
        </is>
      </c>
      <c r="AA618" t="n">
        <v>885</v>
      </c>
      <c r="AB618" t="n">
        <v>754</v>
      </c>
      <c r="AC618" t="n">
        <v>776</v>
      </c>
      <c r="AD618" t="n">
        <v>6</v>
      </c>
      <c r="AE618" t="n">
        <v>6</v>
      </c>
      <c r="AF618" t="n">
        <v>27</v>
      </c>
      <c r="AG618" t="n">
        <v>28</v>
      </c>
      <c r="AH618" t="n">
        <v>9</v>
      </c>
      <c r="AI618" t="n">
        <v>10</v>
      </c>
      <c r="AJ618" t="n">
        <v>4</v>
      </c>
      <c r="AK618" t="n">
        <v>4</v>
      </c>
      <c r="AL618" t="n">
        <v>15</v>
      </c>
      <c r="AM618" t="n">
        <v>16</v>
      </c>
      <c r="AN618" t="n">
        <v>5</v>
      </c>
      <c r="AO618" t="n">
        <v>5</v>
      </c>
      <c r="AP618" t="n">
        <v>0</v>
      </c>
      <c r="AQ618" t="n">
        <v>0</v>
      </c>
      <c r="AR618" t="inlineStr">
        <is>
          <t>No</t>
        </is>
      </c>
      <c r="AS618" t="inlineStr">
        <is>
          <t>Yes</t>
        </is>
      </c>
      <c r="AT618">
        <f>HYPERLINK("http://catalog.hathitrust.org/Record/001949046","HathiTrust Record")</f>
        <v/>
      </c>
      <c r="AU618">
        <f>HYPERLINK("https://creighton-primo.hosted.exlibrisgroup.com/primo-explore/search?tab=default_tab&amp;search_scope=EVERYTHING&amp;vid=01CRU&amp;lang=en_US&amp;offset=0&amp;query=any,contains,991001389429702656","Catalog Record")</f>
        <v/>
      </c>
      <c r="AV618">
        <f>HYPERLINK("http://www.worldcat.org/oclc/18744754","WorldCat Record")</f>
        <v/>
      </c>
      <c r="AW618" t="inlineStr">
        <is>
          <t>196510108:eng</t>
        </is>
      </c>
      <c r="AX618" t="inlineStr">
        <is>
          <t>18744754</t>
        </is>
      </c>
      <c r="AY618" t="inlineStr">
        <is>
          <t>991001389429702656</t>
        </is>
      </c>
      <c r="AZ618" t="inlineStr">
        <is>
          <t>991001389429702656</t>
        </is>
      </c>
      <c r="BA618" t="inlineStr">
        <is>
          <t>2257076880002656</t>
        </is>
      </c>
      <c r="BB618" t="inlineStr">
        <is>
          <t>BOOK</t>
        </is>
      </c>
      <c r="BD618" t="inlineStr">
        <is>
          <t>9780674307759</t>
        </is>
      </c>
      <c r="BE618" t="inlineStr">
        <is>
          <t>32285001562585</t>
        </is>
      </c>
      <c r="BF618" t="inlineStr">
        <is>
          <t>893590252</t>
        </is>
      </c>
    </row>
    <row r="619">
      <c r="B619" t="inlineStr">
        <is>
          <t>CURAL</t>
        </is>
      </c>
      <c r="C619" t="inlineStr">
        <is>
          <t>SHELVES</t>
        </is>
      </c>
      <c r="D619" t="inlineStr">
        <is>
          <t>QP511.8.K68 A3 1991</t>
        </is>
      </c>
      <c r="E619" t="inlineStr">
        <is>
          <t>0                      QP 0511800K  68                 A  3           1991</t>
        </is>
      </c>
      <c r="F619" t="inlineStr">
        <is>
          <t>For the love of enzymes : the odyssey of a biochemist / Arthur Kornberg.</t>
        </is>
      </c>
      <c r="H619" t="inlineStr">
        <is>
          <t>No</t>
        </is>
      </c>
      <c r="I619" t="inlineStr">
        <is>
          <t>1</t>
        </is>
      </c>
      <c r="J619" t="inlineStr">
        <is>
          <t>No</t>
        </is>
      </c>
      <c r="K619" t="inlineStr">
        <is>
          <t>Yes</t>
        </is>
      </c>
      <c r="L619" t="inlineStr">
        <is>
          <t>0</t>
        </is>
      </c>
      <c r="M619" t="inlineStr">
        <is>
          <t>Kornberg, Arthur, 1918-2007.</t>
        </is>
      </c>
      <c r="N619" t="inlineStr">
        <is>
          <t>Cambridge, Mass. : Harvard University Press, 1991.</t>
        </is>
      </c>
      <c r="O619" t="inlineStr">
        <is>
          <t>1991</t>
        </is>
      </c>
      <c r="Q619" t="inlineStr">
        <is>
          <t>eng</t>
        </is>
      </c>
      <c r="R619" t="inlineStr">
        <is>
          <t>enk</t>
        </is>
      </c>
      <c r="T619" t="inlineStr">
        <is>
          <t xml:space="preserve">QP </t>
        </is>
      </c>
      <c r="U619" t="n">
        <v>0</v>
      </c>
      <c r="V619" t="n">
        <v>0</v>
      </c>
      <c r="W619" t="inlineStr">
        <is>
          <t>2009-04-01</t>
        </is>
      </c>
      <c r="X619" t="inlineStr">
        <is>
          <t>2009-04-01</t>
        </is>
      </c>
      <c r="Y619" t="inlineStr">
        <is>
          <t>1996-08-12</t>
        </is>
      </c>
      <c r="Z619" t="inlineStr">
        <is>
          <t>1996-08-12</t>
        </is>
      </c>
      <c r="AA619" t="n">
        <v>23</v>
      </c>
      <c r="AB619" t="n">
        <v>20</v>
      </c>
      <c r="AC619" t="n">
        <v>776</v>
      </c>
      <c r="AD619" t="n">
        <v>1</v>
      </c>
      <c r="AE619" t="n">
        <v>6</v>
      </c>
      <c r="AF619" t="n">
        <v>1</v>
      </c>
      <c r="AG619" t="n">
        <v>28</v>
      </c>
      <c r="AH619" t="n">
        <v>1</v>
      </c>
      <c r="AI619" t="n">
        <v>10</v>
      </c>
      <c r="AJ619" t="n">
        <v>0</v>
      </c>
      <c r="AK619" t="n">
        <v>4</v>
      </c>
      <c r="AL619" t="n">
        <v>1</v>
      </c>
      <c r="AM619" t="n">
        <v>16</v>
      </c>
      <c r="AN619" t="n">
        <v>0</v>
      </c>
      <c r="AO619" t="n">
        <v>5</v>
      </c>
      <c r="AP619" t="n">
        <v>0</v>
      </c>
      <c r="AQ619" t="n">
        <v>0</v>
      </c>
      <c r="AR619" t="inlineStr">
        <is>
          <t>No</t>
        </is>
      </c>
      <c r="AS619" t="inlineStr">
        <is>
          <t>No</t>
        </is>
      </c>
      <c r="AU619">
        <f>HYPERLINK("https://creighton-primo.hosted.exlibrisgroup.com/primo-explore/search?tab=default_tab&amp;search_scope=EVERYTHING&amp;vid=01CRU&amp;lang=en_US&amp;offset=0&amp;query=any,contains,991001961219702656","Catalog Record")</f>
        <v/>
      </c>
      <c r="AV619">
        <f>HYPERLINK("http://www.worldcat.org/oclc/233924968","WorldCat Record")</f>
        <v/>
      </c>
      <c r="AW619" t="inlineStr">
        <is>
          <t>196510108:eng</t>
        </is>
      </c>
      <c r="AX619" t="inlineStr">
        <is>
          <t>233924968</t>
        </is>
      </c>
      <c r="AY619" t="inlineStr">
        <is>
          <t>991001961219702656</t>
        </is>
      </c>
      <c r="AZ619" t="inlineStr">
        <is>
          <t>991001961219702656</t>
        </is>
      </c>
      <c r="BA619" t="inlineStr">
        <is>
          <t>2269676280002656</t>
        </is>
      </c>
      <c r="BB619" t="inlineStr">
        <is>
          <t>BOOK</t>
        </is>
      </c>
      <c r="BD619" t="inlineStr">
        <is>
          <t>9780674307766</t>
        </is>
      </c>
      <c r="BE619" t="inlineStr">
        <is>
          <t>32285002273794</t>
        </is>
      </c>
      <c r="BF619" t="inlineStr">
        <is>
          <t>893516730</t>
        </is>
      </c>
    </row>
    <row r="620">
      <c r="B620" t="inlineStr">
        <is>
          <t>CURAL</t>
        </is>
      </c>
      <c r="C620" t="inlineStr">
        <is>
          <t>SHELVES</t>
        </is>
      </c>
      <c r="D620" t="inlineStr">
        <is>
          <t>QP511.8.K73 A37 1981</t>
        </is>
      </c>
      <c r="E620" t="inlineStr">
        <is>
          <t>0                      QP 0511800K  73                 A  37          1981</t>
        </is>
      </c>
      <c r="F620" t="inlineStr">
        <is>
          <t>Reminiscences and reflections / Hans Krebs ; in collaboration with Anne Martin.</t>
        </is>
      </c>
      <c r="H620" t="inlineStr">
        <is>
          <t>No</t>
        </is>
      </c>
      <c r="I620" t="inlineStr">
        <is>
          <t>1</t>
        </is>
      </c>
      <c r="J620" t="inlineStr">
        <is>
          <t>No</t>
        </is>
      </c>
      <c r="K620" t="inlineStr">
        <is>
          <t>No</t>
        </is>
      </c>
      <c r="L620" t="inlineStr">
        <is>
          <t>0</t>
        </is>
      </c>
      <c r="M620" t="inlineStr">
        <is>
          <t>Krebs, Hans Adolf, Sir.</t>
        </is>
      </c>
      <c r="N620" t="inlineStr">
        <is>
          <t>Oxford : Clarendon Press ; New York : Oxford University Press, c1981.</t>
        </is>
      </c>
      <c r="O620" t="inlineStr">
        <is>
          <t>1981</t>
        </is>
      </c>
      <c r="Q620" t="inlineStr">
        <is>
          <t>eng</t>
        </is>
      </c>
      <c r="R620" t="inlineStr">
        <is>
          <t>enk</t>
        </is>
      </c>
      <c r="T620" t="inlineStr">
        <is>
          <t xml:space="preserve">QP </t>
        </is>
      </c>
      <c r="U620" t="n">
        <v>8</v>
      </c>
      <c r="V620" t="n">
        <v>8</v>
      </c>
      <c r="W620" t="inlineStr">
        <is>
          <t>2002-10-25</t>
        </is>
      </c>
      <c r="X620" t="inlineStr">
        <is>
          <t>2002-10-25</t>
        </is>
      </c>
      <c r="Y620" t="inlineStr">
        <is>
          <t>1993-03-04</t>
        </is>
      </c>
      <c r="Z620" t="inlineStr">
        <is>
          <t>1993-03-04</t>
        </is>
      </c>
      <c r="AA620" t="n">
        <v>338</v>
      </c>
      <c r="AB620" t="n">
        <v>221</v>
      </c>
      <c r="AC620" t="n">
        <v>223</v>
      </c>
      <c r="AD620" t="n">
        <v>3</v>
      </c>
      <c r="AE620" t="n">
        <v>3</v>
      </c>
      <c r="AF620" t="n">
        <v>10</v>
      </c>
      <c r="AG620" t="n">
        <v>10</v>
      </c>
      <c r="AH620" t="n">
        <v>4</v>
      </c>
      <c r="AI620" t="n">
        <v>4</v>
      </c>
      <c r="AJ620" t="n">
        <v>4</v>
      </c>
      <c r="AK620" t="n">
        <v>4</v>
      </c>
      <c r="AL620" t="n">
        <v>4</v>
      </c>
      <c r="AM620" t="n">
        <v>4</v>
      </c>
      <c r="AN620" t="n">
        <v>2</v>
      </c>
      <c r="AO620" t="n">
        <v>2</v>
      </c>
      <c r="AP620" t="n">
        <v>0</v>
      </c>
      <c r="AQ620" t="n">
        <v>0</v>
      </c>
      <c r="AR620" t="inlineStr">
        <is>
          <t>No</t>
        </is>
      </c>
      <c r="AS620" t="inlineStr">
        <is>
          <t>Yes</t>
        </is>
      </c>
      <c r="AT620">
        <f>HYPERLINK("http://catalog.hathitrust.org/Record/000309813","HathiTrust Record")</f>
        <v/>
      </c>
      <c r="AU620">
        <f>HYPERLINK("https://creighton-primo.hosted.exlibrisgroup.com/primo-explore/search?tab=default_tab&amp;search_scope=EVERYTHING&amp;vid=01CRU&amp;lang=en_US&amp;offset=0&amp;query=any,contains,991005235119702656","Catalog Record")</f>
        <v/>
      </c>
      <c r="AV620">
        <f>HYPERLINK("http://www.worldcat.org/oclc/8367855","WorldCat Record")</f>
        <v/>
      </c>
      <c r="AW620" t="inlineStr">
        <is>
          <t>3770185249:eng</t>
        </is>
      </c>
      <c r="AX620" t="inlineStr">
        <is>
          <t>8367855</t>
        </is>
      </c>
      <c r="AY620" t="inlineStr">
        <is>
          <t>991005235119702656</t>
        </is>
      </c>
      <c r="AZ620" t="inlineStr">
        <is>
          <t>991005235119702656</t>
        </is>
      </c>
      <c r="BA620" t="inlineStr">
        <is>
          <t>2260572650002656</t>
        </is>
      </c>
      <c r="BB620" t="inlineStr">
        <is>
          <t>BOOK</t>
        </is>
      </c>
      <c r="BD620" t="inlineStr">
        <is>
          <t>9780198547020</t>
        </is>
      </c>
      <c r="BE620" t="inlineStr">
        <is>
          <t>32285001562593</t>
        </is>
      </c>
      <c r="BF620" t="inlineStr">
        <is>
          <t>893883563</t>
        </is>
      </c>
    </row>
    <row r="621">
      <c r="B621" t="inlineStr">
        <is>
          <t>CURAL</t>
        </is>
      </c>
      <c r="C621" t="inlineStr">
        <is>
          <t>SHELVES</t>
        </is>
      </c>
      <c r="D621" t="inlineStr">
        <is>
          <t>QP512 .G55 1990</t>
        </is>
      </c>
      <c r="E621" t="inlineStr">
        <is>
          <t>0                      QP 0512000G  55          1990</t>
        </is>
      </c>
      <c r="F621" t="inlineStr">
        <is>
          <t>Glossary of biochemistry and molecular biology / David M. Glick.</t>
        </is>
      </c>
      <c r="H621" t="inlineStr">
        <is>
          <t>No</t>
        </is>
      </c>
      <c r="I621" t="inlineStr">
        <is>
          <t>1</t>
        </is>
      </c>
      <c r="J621" t="inlineStr">
        <is>
          <t>Yes</t>
        </is>
      </c>
      <c r="K621" t="inlineStr">
        <is>
          <t>No</t>
        </is>
      </c>
      <c r="L621" t="inlineStr">
        <is>
          <t>0</t>
        </is>
      </c>
      <c r="M621" t="inlineStr">
        <is>
          <t>Glick, David M., 1936-</t>
        </is>
      </c>
      <c r="N621" t="inlineStr">
        <is>
          <t>New York, N.Y. : Raven Press, c1990.</t>
        </is>
      </c>
      <c r="O621" t="inlineStr">
        <is>
          <t>1990</t>
        </is>
      </c>
      <c r="Q621" t="inlineStr">
        <is>
          <t>eng</t>
        </is>
      </c>
      <c r="R621" t="inlineStr">
        <is>
          <t>nyu</t>
        </is>
      </c>
      <c r="T621" t="inlineStr">
        <is>
          <t xml:space="preserve">QP </t>
        </is>
      </c>
      <c r="U621" t="n">
        <v>8</v>
      </c>
      <c r="V621" t="n">
        <v>11</v>
      </c>
      <c r="W621" t="inlineStr">
        <is>
          <t>1994-09-29</t>
        </is>
      </c>
      <c r="X621" t="inlineStr">
        <is>
          <t>1994-09-29</t>
        </is>
      </c>
      <c r="Y621" t="inlineStr">
        <is>
          <t>1991-04-10</t>
        </is>
      </c>
      <c r="Z621" t="inlineStr">
        <is>
          <t>1994-02-18</t>
        </is>
      </c>
      <c r="AA621" t="n">
        <v>212</v>
      </c>
      <c r="AB621" t="n">
        <v>157</v>
      </c>
      <c r="AC621" t="n">
        <v>164</v>
      </c>
      <c r="AD621" t="n">
        <v>3</v>
      </c>
      <c r="AE621" t="n">
        <v>3</v>
      </c>
      <c r="AF621" t="n">
        <v>7</v>
      </c>
      <c r="AG621" t="n">
        <v>7</v>
      </c>
      <c r="AH621" t="n">
        <v>2</v>
      </c>
      <c r="AI621" t="n">
        <v>2</v>
      </c>
      <c r="AJ621" t="n">
        <v>0</v>
      </c>
      <c r="AK621" t="n">
        <v>0</v>
      </c>
      <c r="AL621" t="n">
        <v>5</v>
      </c>
      <c r="AM621" t="n">
        <v>5</v>
      </c>
      <c r="AN621" t="n">
        <v>1</v>
      </c>
      <c r="AO621" t="n">
        <v>1</v>
      </c>
      <c r="AP621" t="n">
        <v>0</v>
      </c>
      <c r="AQ621" t="n">
        <v>0</v>
      </c>
      <c r="AR621" t="inlineStr">
        <is>
          <t>No</t>
        </is>
      </c>
      <c r="AS621" t="inlineStr">
        <is>
          <t>Yes</t>
        </is>
      </c>
      <c r="AT621">
        <f>HYPERLINK("http://catalog.hathitrust.org/Record/002062199","HathiTrust Record")</f>
        <v/>
      </c>
      <c r="AU621">
        <f>HYPERLINK("https://creighton-primo.hosted.exlibrisgroup.com/primo-explore/search?tab=default_tab&amp;search_scope=EVERYTHING&amp;vid=01CRU&amp;lang=en_US&amp;offset=0&amp;query=any,contains,991001745309702656","Catalog Record")</f>
        <v/>
      </c>
      <c r="AV621">
        <f>HYPERLINK("http://www.worldcat.org/oclc/19887156","WorldCat Record")</f>
        <v/>
      </c>
      <c r="AW621" t="inlineStr">
        <is>
          <t>9907022888:eng</t>
        </is>
      </c>
      <c r="AX621" t="inlineStr">
        <is>
          <t>19887156</t>
        </is>
      </c>
      <c r="AY621" t="inlineStr">
        <is>
          <t>991001745309702656</t>
        </is>
      </c>
      <c r="AZ621" t="inlineStr">
        <is>
          <t>991001745309702656</t>
        </is>
      </c>
      <c r="BA621" t="inlineStr">
        <is>
          <t>2260574260002656</t>
        </is>
      </c>
      <c r="BB621" t="inlineStr">
        <is>
          <t>BOOK</t>
        </is>
      </c>
      <c r="BD621" t="inlineStr">
        <is>
          <t>9780881675634</t>
        </is>
      </c>
      <c r="BE621" t="inlineStr">
        <is>
          <t>32285000567312</t>
        </is>
      </c>
      <c r="BF621" t="inlineStr">
        <is>
          <t>893615348</t>
        </is>
      </c>
    </row>
    <row r="622">
      <c r="B622" t="inlineStr">
        <is>
          <t>CURAL</t>
        </is>
      </c>
      <c r="C622" t="inlineStr">
        <is>
          <t>SHELVES</t>
        </is>
      </c>
      <c r="D622" t="inlineStr">
        <is>
          <t>QP512 .W55 1988</t>
        </is>
      </c>
      <c r="E622" t="inlineStr">
        <is>
          <t>0                      QP 0512000W  55          1988</t>
        </is>
      </c>
      <c r="F622" t="inlineStr">
        <is>
          <t>Biochemistry : an illustrated outline / David J. Williams.</t>
        </is>
      </c>
      <c r="H622" t="inlineStr">
        <is>
          <t>No</t>
        </is>
      </c>
      <c r="I622" t="inlineStr">
        <is>
          <t>1</t>
        </is>
      </c>
      <c r="J622" t="inlineStr">
        <is>
          <t>No</t>
        </is>
      </c>
      <c r="K622" t="inlineStr">
        <is>
          <t>No</t>
        </is>
      </c>
      <c r="L622" t="inlineStr">
        <is>
          <t>0</t>
        </is>
      </c>
      <c r="M622" t="inlineStr">
        <is>
          <t>Williams, David J. (David John), 1937-</t>
        </is>
      </c>
      <c r="N622" t="inlineStr">
        <is>
          <t>Philadelphia : Lippincott, c1988.</t>
        </is>
      </c>
      <c r="O622" t="inlineStr">
        <is>
          <t>1988</t>
        </is>
      </c>
      <c r="Q622" t="inlineStr">
        <is>
          <t>eng</t>
        </is>
      </c>
      <c r="R622" t="inlineStr">
        <is>
          <t>pau</t>
        </is>
      </c>
      <c r="T622" t="inlineStr">
        <is>
          <t xml:space="preserve">QP </t>
        </is>
      </c>
      <c r="U622" t="n">
        <v>12</v>
      </c>
      <c r="V622" t="n">
        <v>12</v>
      </c>
      <c r="W622" t="inlineStr">
        <is>
          <t>1995-11-01</t>
        </is>
      </c>
      <c r="X622" t="inlineStr">
        <is>
          <t>1995-11-01</t>
        </is>
      </c>
      <c r="Y622" t="inlineStr">
        <is>
          <t>1991-07-31</t>
        </is>
      </c>
      <c r="Z622" t="inlineStr">
        <is>
          <t>1991-07-31</t>
        </is>
      </c>
      <c r="AA622" t="n">
        <v>32</v>
      </c>
      <c r="AB622" t="n">
        <v>23</v>
      </c>
      <c r="AC622" t="n">
        <v>26</v>
      </c>
      <c r="AD622" t="n">
        <v>1</v>
      </c>
      <c r="AE622" t="n">
        <v>1</v>
      </c>
      <c r="AF622" t="n">
        <v>0</v>
      </c>
      <c r="AG622" t="n">
        <v>0</v>
      </c>
      <c r="AH622" t="n">
        <v>0</v>
      </c>
      <c r="AI622" t="n">
        <v>0</v>
      </c>
      <c r="AJ622" t="n">
        <v>0</v>
      </c>
      <c r="AK622" t="n">
        <v>0</v>
      </c>
      <c r="AL622" t="n">
        <v>0</v>
      </c>
      <c r="AM622" t="n">
        <v>0</v>
      </c>
      <c r="AN622" t="n">
        <v>0</v>
      </c>
      <c r="AO622" t="n">
        <v>0</v>
      </c>
      <c r="AP622" t="n">
        <v>0</v>
      </c>
      <c r="AQ622" t="n">
        <v>0</v>
      </c>
      <c r="AR622" t="inlineStr">
        <is>
          <t>No</t>
        </is>
      </c>
      <c r="AS622" t="inlineStr">
        <is>
          <t>No</t>
        </is>
      </c>
      <c r="AU622">
        <f>HYPERLINK("https://creighton-primo.hosted.exlibrisgroup.com/primo-explore/search?tab=default_tab&amp;search_scope=EVERYTHING&amp;vid=01CRU&amp;lang=en_US&amp;offset=0&amp;query=any,contains,991001425439702656","Catalog Record")</f>
        <v/>
      </c>
      <c r="AV622">
        <f>HYPERLINK("http://www.worldcat.org/oclc/19000141","WorldCat Record")</f>
        <v/>
      </c>
      <c r="AW622" t="inlineStr">
        <is>
          <t>198823308:eng</t>
        </is>
      </c>
      <c r="AX622" t="inlineStr">
        <is>
          <t>19000141</t>
        </is>
      </c>
      <c r="AY622" t="inlineStr">
        <is>
          <t>991001425439702656</t>
        </is>
      </c>
      <c r="AZ622" t="inlineStr">
        <is>
          <t>991001425439702656</t>
        </is>
      </c>
      <c r="BA622" t="inlineStr">
        <is>
          <t>2269346600002656</t>
        </is>
      </c>
      <c r="BB622" t="inlineStr">
        <is>
          <t>BOOK</t>
        </is>
      </c>
      <c r="BD622" t="inlineStr">
        <is>
          <t>9780397446995</t>
        </is>
      </c>
      <c r="BE622" t="inlineStr">
        <is>
          <t>32285000706407</t>
        </is>
      </c>
      <c r="BF622" t="inlineStr">
        <is>
          <t>893596466</t>
        </is>
      </c>
    </row>
    <row r="623">
      <c r="B623" t="inlineStr">
        <is>
          <t>CURAL</t>
        </is>
      </c>
      <c r="C623" t="inlineStr">
        <is>
          <t>SHELVES</t>
        </is>
      </c>
      <c r="D623" t="inlineStr">
        <is>
          <t>QP514 .B67</t>
        </is>
      </c>
      <c r="E623" t="inlineStr">
        <is>
          <t>0                      QP 0514000B  67</t>
        </is>
      </c>
      <c r="F623" t="inlineStr">
        <is>
          <t>Man, the chemical machine.</t>
        </is>
      </c>
      <c r="H623" t="inlineStr">
        <is>
          <t>No</t>
        </is>
      </c>
      <c r="I623" t="inlineStr">
        <is>
          <t>1</t>
        </is>
      </c>
      <c r="J623" t="inlineStr">
        <is>
          <t>No</t>
        </is>
      </c>
      <c r="K623" t="inlineStr">
        <is>
          <t>No</t>
        </is>
      </c>
      <c r="L623" t="inlineStr">
        <is>
          <t>0</t>
        </is>
      </c>
      <c r="M623" t="inlineStr">
        <is>
          <t>Borek, Ernest, 1911-1986.</t>
        </is>
      </c>
      <c r="N623" t="inlineStr">
        <is>
          <t>New York, Columbia University Press, 1952.</t>
        </is>
      </c>
      <c r="O623" t="inlineStr">
        <is>
          <t>1952</t>
        </is>
      </c>
      <c r="Q623" t="inlineStr">
        <is>
          <t>eng</t>
        </is>
      </c>
      <c r="R623" t="inlineStr">
        <is>
          <t>nyu</t>
        </is>
      </c>
      <c r="T623" t="inlineStr">
        <is>
          <t xml:space="preserve">QP </t>
        </is>
      </c>
      <c r="U623" t="n">
        <v>2</v>
      </c>
      <c r="V623" t="n">
        <v>2</v>
      </c>
      <c r="W623" t="inlineStr">
        <is>
          <t>2000-02-06</t>
        </is>
      </c>
      <c r="X623" t="inlineStr">
        <is>
          <t>2000-02-06</t>
        </is>
      </c>
      <c r="Y623" t="inlineStr">
        <is>
          <t>1997-08-06</t>
        </is>
      </c>
      <c r="Z623" t="inlineStr">
        <is>
          <t>1997-08-06</t>
        </is>
      </c>
      <c r="AA623" t="n">
        <v>223</v>
      </c>
      <c r="AB623" t="n">
        <v>200</v>
      </c>
      <c r="AC623" t="n">
        <v>203</v>
      </c>
      <c r="AD623" t="n">
        <v>4</v>
      </c>
      <c r="AE623" t="n">
        <v>4</v>
      </c>
      <c r="AF623" t="n">
        <v>4</v>
      </c>
      <c r="AG623" t="n">
        <v>4</v>
      </c>
      <c r="AH623" t="n">
        <v>0</v>
      </c>
      <c r="AI623" t="n">
        <v>0</v>
      </c>
      <c r="AJ623" t="n">
        <v>1</v>
      </c>
      <c r="AK623" t="n">
        <v>1</v>
      </c>
      <c r="AL623" t="n">
        <v>2</v>
      </c>
      <c r="AM623" t="n">
        <v>2</v>
      </c>
      <c r="AN623" t="n">
        <v>1</v>
      </c>
      <c r="AO623" t="n">
        <v>1</v>
      </c>
      <c r="AP623" t="n">
        <v>0</v>
      </c>
      <c r="AQ623" t="n">
        <v>0</v>
      </c>
      <c r="AR623" t="inlineStr">
        <is>
          <t>No</t>
        </is>
      </c>
      <c r="AS623" t="inlineStr">
        <is>
          <t>No</t>
        </is>
      </c>
      <c r="AT623">
        <f>HYPERLINK("http://catalog.hathitrust.org/Record/002077043","HathiTrust Record")</f>
        <v/>
      </c>
      <c r="AU623">
        <f>HYPERLINK("https://creighton-primo.hosted.exlibrisgroup.com/primo-explore/search?tab=default_tab&amp;search_scope=EVERYTHING&amp;vid=01CRU&amp;lang=en_US&amp;offset=0&amp;query=any,contains,991003764499702656","Catalog Record")</f>
        <v/>
      </c>
      <c r="AV623">
        <f>HYPERLINK("http://www.worldcat.org/oclc/1455880","WorldCat Record")</f>
        <v/>
      </c>
      <c r="AW623" t="inlineStr">
        <is>
          <t>9341344127:eng</t>
        </is>
      </c>
      <c r="AX623" t="inlineStr">
        <is>
          <t>1455880</t>
        </is>
      </c>
      <c r="AY623" t="inlineStr">
        <is>
          <t>991003764499702656</t>
        </is>
      </c>
      <c r="AZ623" t="inlineStr">
        <is>
          <t>991003764499702656</t>
        </is>
      </c>
      <c r="BA623" t="inlineStr">
        <is>
          <t>2258538510002656</t>
        </is>
      </c>
      <c r="BB623" t="inlineStr">
        <is>
          <t>BOOK</t>
        </is>
      </c>
      <c r="BE623" t="inlineStr">
        <is>
          <t>32285003080370</t>
        </is>
      </c>
      <c r="BF623" t="inlineStr">
        <is>
          <t>893900322</t>
        </is>
      </c>
    </row>
    <row r="624">
      <c r="B624" t="inlineStr">
        <is>
          <t>CURAL</t>
        </is>
      </c>
      <c r="C624" t="inlineStr">
        <is>
          <t>SHELVES</t>
        </is>
      </c>
      <c r="D624" t="inlineStr">
        <is>
          <t>QP514 .C3</t>
        </is>
      </c>
      <c r="E624" t="inlineStr">
        <is>
          <t>0                      QP 0514000C  3</t>
        </is>
      </c>
      <c r="F624" t="inlineStr">
        <is>
          <t>A textbook of biochemistry for students of medicine and science / by A.T. Cameron ; with a foreword by Swale Vincent.</t>
        </is>
      </c>
      <c r="H624" t="inlineStr">
        <is>
          <t>No</t>
        </is>
      </c>
      <c r="I624" t="inlineStr">
        <is>
          <t>1</t>
        </is>
      </c>
      <c r="J624" t="inlineStr">
        <is>
          <t>No</t>
        </is>
      </c>
      <c r="K624" t="inlineStr">
        <is>
          <t>No</t>
        </is>
      </c>
      <c r="L624" t="inlineStr">
        <is>
          <t>0</t>
        </is>
      </c>
      <c r="M624" t="inlineStr">
        <is>
          <t>Cameron, A. T. (Alexander Thomas), 1882-1947.</t>
        </is>
      </c>
      <c r="N624" t="inlineStr">
        <is>
          <t>New York : Macmillan, 1928.</t>
        </is>
      </c>
      <c r="O624" t="inlineStr">
        <is>
          <t>1928</t>
        </is>
      </c>
      <c r="Q624" t="inlineStr">
        <is>
          <t>eng</t>
        </is>
      </c>
      <c r="R624" t="inlineStr">
        <is>
          <t>nyu</t>
        </is>
      </c>
      <c r="T624" t="inlineStr">
        <is>
          <t xml:space="preserve">QP </t>
        </is>
      </c>
      <c r="U624" t="n">
        <v>3</v>
      </c>
      <c r="V624" t="n">
        <v>3</v>
      </c>
      <c r="W624" t="inlineStr">
        <is>
          <t>1995-04-22</t>
        </is>
      </c>
      <c r="X624" t="inlineStr">
        <is>
          <t>1995-04-22</t>
        </is>
      </c>
      <c r="Y624" t="inlineStr">
        <is>
          <t>1992-07-17</t>
        </is>
      </c>
      <c r="Z624" t="inlineStr">
        <is>
          <t>1992-07-17</t>
        </is>
      </c>
      <c r="AA624" t="n">
        <v>8</v>
      </c>
      <c r="AB624" t="n">
        <v>6</v>
      </c>
      <c r="AC624" t="n">
        <v>110</v>
      </c>
      <c r="AD624" t="n">
        <v>1</v>
      </c>
      <c r="AE624" t="n">
        <v>1</v>
      </c>
      <c r="AF624" t="n">
        <v>0</v>
      </c>
      <c r="AG624" t="n">
        <v>6</v>
      </c>
      <c r="AH624" t="n">
        <v>0</v>
      </c>
      <c r="AI624" t="n">
        <v>1</v>
      </c>
      <c r="AJ624" t="n">
        <v>0</v>
      </c>
      <c r="AK624" t="n">
        <v>3</v>
      </c>
      <c r="AL624" t="n">
        <v>0</v>
      </c>
      <c r="AM624" t="n">
        <v>2</v>
      </c>
      <c r="AN624" t="n">
        <v>0</v>
      </c>
      <c r="AO624" t="n">
        <v>0</v>
      </c>
      <c r="AP624" t="n">
        <v>0</v>
      </c>
      <c r="AQ624" t="n">
        <v>1</v>
      </c>
      <c r="AR624" t="inlineStr">
        <is>
          <t>No</t>
        </is>
      </c>
      <c r="AS624" t="inlineStr">
        <is>
          <t>No</t>
        </is>
      </c>
      <c r="AU624">
        <f>HYPERLINK("https://creighton-primo.hosted.exlibrisgroup.com/primo-explore/search?tab=default_tab&amp;search_scope=EVERYTHING&amp;vid=01CRU&amp;lang=en_US&amp;offset=0&amp;query=any,contains,991001170209702656","Catalog Record")</f>
        <v/>
      </c>
      <c r="AV624">
        <f>HYPERLINK("http://www.worldcat.org/oclc/16950788","WorldCat Record")</f>
        <v/>
      </c>
      <c r="AW624" t="inlineStr">
        <is>
          <t>3740130:eng</t>
        </is>
      </c>
      <c r="AX624" t="inlineStr">
        <is>
          <t>16950788</t>
        </is>
      </c>
      <c r="AY624" t="inlineStr">
        <is>
          <t>991001170209702656</t>
        </is>
      </c>
      <c r="AZ624" t="inlineStr">
        <is>
          <t>991001170209702656</t>
        </is>
      </c>
      <c r="BA624" t="inlineStr">
        <is>
          <t>2262965940002656</t>
        </is>
      </c>
      <c r="BB624" t="inlineStr">
        <is>
          <t>BOOK</t>
        </is>
      </c>
      <c r="BE624" t="inlineStr">
        <is>
          <t>32285001154052</t>
        </is>
      </c>
      <c r="BF624" t="inlineStr">
        <is>
          <t>893420131</t>
        </is>
      </c>
    </row>
    <row r="625">
      <c r="B625" t="inlineStr">
        <is>
          <t>CURAL</t>
        </is>
      </c>
      <c r="C625" t="inlineStr">
        <is>
          <t>SHELVES</t>
        </is>
      </c>
      <c r="D625" t="inlineStr">
        <is>
          <t>QP514 .H336 1966</t>
        </is>
      </c>
      <c r="E625" t="inlineStr">
        <is>
          <t>0                      QP 0514000H  336         1966</t>
        </is>
      </c>
      <c r="F625" t="inlineStr">
        <is>
          <t>Textbook of biochemistry / [by] Benjamin Harrow [and] Abraham Mazur.</t>
        </is>
      </c>
      <c r="H625" t="inlineStr">
        <is>
          <t>No</t>
        </is>
      </c>
      <c r="I625" t="inlineStr">
        <is>
          <t>1</t>
        </is>
      </c>
      <c r="J625" t="inlineStr">
        <is>
          <t>No</t>
        </is>
      </c>
      <c r="K625" t="inlineStr">
        <is>
          <t>No</t>
        </is>
      </c>
      <c r="L625" t="inlineStr">
        <is>
          <t>0</t>
        </is>
      </c>
      <c r="M625" t="inlineStr">
        <is>
          <t>Harrow, Benjamin, 1888-1970.</t>
        </is>
      </c>
      <c r="N625" t="inlineStr">
        <is>
          <t>Philadelphia : Saunders, 1966.</t>
        </is>
      </c>
      <c r="O625" t="inlineStr">
        <is>
          <t>1966</t>
        </is>
      </c>
      <c r="P625" t="inlineStr">
        <is>
          <t>9th ed.</t>
        </is>
      </c>
      <c r="Q625" t="inlineStr">
        <is>
          <t>eng</t>
        </is>
      </c>
      <c r="R625" t="inlineStr">
        <is>
          <t>pau</t>
        </is>
      </c>
      <c r="T625" t="inlineStr">
        <is>
          <t xml:space="preserve">QP </t>
        </is>
      </c>
      <c r="U625" t="n">
        <v>3</v>
      </c>
      <c r="V625" t="n">
        <v>3</v>
      </c>
      <c r="W625" t="inlineStr">
        <is>
          <t>1994-06-11</t>
        </is>
      </c>
      <c r="X625" t="inlineStr">
        <is>
          <t>1994-06-11</t>
        </is>
      </c>
      <c r="Y625" t="inlineStr">
        <is>
          <t>1990-04-10</t>
        </is>
      </c>
      <c r="Z625" t="inlineStr">
        <is>
          <t>1990-04-10</t>
        </is>
      </c>
      <c r="AA625" t="n">
        <v>319</v>
      </c>
      <c r="AB625" t="n">
        <v>242</v>
      </c>
      <c r="AC625" t="n">
        <v>609</v>
      </c>
      <c r="AD625" t="n">
        <v>3</v>
      </c>
      <c r="AE625" t="n">
        <v>3</v>
      </c>
      <c r="AF625" t="n">
        <v>8</v>
      </c>
      <c r="AG625" t="n">
        <v>19</v>
      </c>
      <c r="AH625" t="n">
        <v>1</v>
      </c>
      <c r="AI625" t="n">
        <v>6</v>
      </c>
      <c r="AJ625" t="n">
        <v>3</v>
      </c>
      <c r="AK625" t="n">
        <v>4</v>
      </c>
      <c r="AL625" t="n">
        <v>4</v>
      </c>
      <c r="AM625" t="n">
        <v>12</v>
      </c>
      <c r="AN625" t="n">
        <v>2</v>
      </c>
      <c r="AO625" t="n">
        <v>2</v>
      </c>
      <c r="AP625" t="n">
        <v>0</v>
      </c>
      <c r="AQ625" t="n">
        <v>0</v>
      </c>
      <c r="AR625" t="inlineStr">
        <is>
          <t>No</t>
        </is>
      </c>
      <c r="AS625" t="inlineStr">
        <is>
          <t>Yes</t>
        </is>
      </c>
      <c r="AT625">
        <f>HYPERLINK("http://catalog.hathitrust.org/Record/001555209","HathiTrust Record")</f>
        <v/>
      </c>
      <c r="AU625">
        <f>HYPERLINK("https://creighton-primo.hosted.exlibrisgroup.com/primo-explore/search?tab=default_tab&amp;search_scope=EVERYTHING&amp;vid=01CRU&amp;lang=en_US&amp;offset=0&amp;query=any,contains,991002989739702656","Catalog Record")</f>
        <v/>
      </c>
      <c r="AV625">
        <f>HYPERLINK("http://www.worldcat.org/oclc/559965","WorldCat Record")</f>
        <v/>
      </c>
      <c r="AW625" t="inlineStr">
        <is>
          <t>1631564:eng</t>
        </is>
      </c>
      <c r="AX625" t="inlineStr">
        <is>
          <t>559965</t>
        </is>
      </c>
      <c r="AY625" t="inlineStr">
        <is>
          <t>991002989739702656</t>
        </is>
      </c>
      <c r="AZ625" t="inlineStr">
        <is>
          <t>991002989739702656</t>
        </is>
      </c>
      <c r="BA625" t="inlineStr">
        <is>
          <t>2262088300002656</t>
        </is>
      </c>
      <c r="BB625" t="inlineStr">
        <is>
          <t>BOOK</t>
        </is>
      </c>
      <c r="BE625" t="inlineStr">
        <is>
          <t>32285000103746</t>
        </is>
      </c>
      <c r="BF625" t="inlineStr">
        <is>
          <t>893623003</t>
        </is>
      </c>
    </row>
    <row r="626">
      <c r="B626" t="inlineStr">
        <is>
          <t>CURAL</t>
        </is>
      </c>
      <c r="C626" t="inlineStr">
        <is>
          <t>SHELVES</t>
        </is>
      </c>
      <c r="D626" t="inlineStr">
        <is>
          <t>QP514 .K5 1948</t>
        </is>
      </c>
      <c r="E626" t="inlineStr">
        <is>
          <t>0                      QP 0514000K  5           1948</t>
        </is>
      </c>
      <c r="F626" t="inlineStr">
        <is>
          <t>Human biochemistry.</t>
        </is>
      </c>
      <c r="H626" t="inlineStr">
        <is>
          <t>No</t>
        </is>
      </c>
      <c r="I626" t="inlineStr">
        <is>
          <t>1</t>
        </is>
      </c>
      <c r="J626" t="inlineStr">
        <is>
          <t>No</t>
        </is>
      </c>
      <c r="K626" t="inlineStr">
        <is>
          <t>No</t>
        </is>
      </c>
      <c r="L626" t="inlineStr">
        <is>
          <t>0</t>
        </is>
      </c>
      <c r="M626" t="inlineStr">
        <is>
          <t>Kleiner, Israel Simon, 1885-1966.</t>
        </is>
      </c>
      <c r="N626" t="inlineStr">
        <is>
          <t>St. Louis : C.V. Mosby Co., 1948.</t>
        </is>
      </c>
      <c r="O626" t="inlineStr">
        <is>
          <t>1948</t>
        </is>
      </c>
      <c r="P626" t="inlineStr">
        <is>
          <t>2d ed.</t>
        </is>
      </c>
      <c r="Q626" t="inlineStr">
        <is>
          <t>eng</t>
        </is>
      </c>
      <c r="R626" t="inlineStr">
        <is>
          <t>mou</t>
        </is>
      </c>
      <c r="T626" t="inlineStr">
        <is>
          <t xml:space="preserve">QP </t>
        </is>
      </c>
      <c r="U626" t="n">
        <v>2</v>
      </c>
      <c r="V626" t="n">
        <v>2</v>
      </c>
      <c r="W626" t="inlineStr">
        <is>
          <t>1995-04-22</t>
        </is>
      </c>
      <c r="X626" t="inlineStr">
        <is>
          <t>1995-04-22</t>
        </is>
      </c>
      <c r="Y626" t="inlineStr">
        <is>
          <t>1995-01-27</t>
        </is>
      </c>
      <c r="Z626" t="inlineStr">
        <is>
          <t>1995-01-27</t>
        </is>
      </c>
      <c r="AA626" t="n">
        <v>68</v>
      </c>
      <c r="AB626" t="n">
        <v>62</v>
      </c>
      <c r="AC626" t="n">
        <v>69</v>
      </c>
      <c r="AD626" t="n">
        <v>1</v>
      </c>
      <c r="AE626" t="n">
        <v>1</v>
      </c>
      <c r="AF626" t="n">
        <v>1</v>
      </c>
      <c r="AG626" t="n">
        <v>1</v>
      </c>
      <c r="AH626" t="n">
        <v>1</v>
      </c>
      <c r="AI626" t="n">
        <v>1</v>
      </c>
      <c r="AJ626" t="n">
        <v>1</v>
      </c>
      <c r="AK626" t="n">
        <v>1</v>
      </c>
      <c r="AL626" t="n">
        <v>0</v>
      </c>
      <c r="AM626" t="n">
        <v>0</v>
      </c>
      <c r="AN626" t="n">
        <v>0</v>
      </c>
      <c r="AO626" t="n">
        <v>0</v>
      </c>
      <c r="AP626" t="n">
        <v>0</v>
      </c>
      <c r="AQ626" t="n">
        <v>0</v>
      </c>
      <c r="AR626" t="inlineStr">
        <is>
          <t>Yes</t>
        </is>
      </c>
      <c r="AS626" t="inlineStr">
        <is>
          <t>No</t>
        </is>
      </c>
      <c r="AT626">
        <f>HYPERLINK("http://catalog.hathitrust.org/Record/001555222","HathiTrust Record")</f>
        <v/>
      </c>
      <c r="AU626">
        <f>HYPERLINK("https://creighton-primo.hosted.exlibrisgroup.com/primo-explore/search?tab=default_tab&amp;search_scope=EVERYTHING&amp;vid=01CRU&amp;lang=en_US&amp;offset=0&amp;query=any,contains,991002988839702656","Catalog Record")</f>
        <v/>
      </c>
      <c r="AV626">
        <f>HYPERLINK("http://www.worldcat.org/oclc/559265","WorldCat Record")</f>
        <v/>
      </c>
      <c r="AW626" t="inlineStr">
        <is>
          <t>4020752706:eng</t>
        </is>
      </c>
      <c r="AX626" t="inlineStr">
        <is>
          <t>559265</t>
        </is>
      </c>
      <c r="AY626" t="inlineStr">
        <is>
          <t>991002988839702656</t>
        </is>
      </c>
      <c r="AZ626" t="inlineStr">
        <is>
          <t>991002988839702656</t>
        </is>
      </c>
      <c r="BA626" t="inlineStr">
        <is>
          <t>2262119800002656</t>
        </is>
      </c>
      <c r="BB626" t="inlineStr">
        <is>
          <t>BOOK</t>
        </is>
      </c>
      <c r="BE626" t="inlineStr">
        <is>
          <t>32285001988129</t>
        </is>
      </c>
      <c r="BF626" t="inlineStr">
        <is>
          <t>893780491</t>
        </is>
      </c>
    </row>
    <row r="627">
      <c r="B627" t="inlineStr">
        <is>
          <t>CURAL</t>
        </is>
      </c>
      <c r="C627" t="inlineStr">
        <is>
          <t>SHELVES</t>
        </is>
      </c>
      <c r="D627" t="inlineStr">
        <is>
          <t>QP514 .M23</t>
        </is>
      </c>
      <c r="E627" t="inlineStr">
        <is>
          <t>0                      QP 0514000M  23</t>
        </is>
      </c>
      <c r="F627" t="inlineStr">
        <is>
          <t>Biological chemistry [by] Henry R. Mahler &amp; Eugene H. Cordes.</t>
        </is>
      </c>
      <c r="H627" t="inlineStr">
        <is>
          <t>No</t>
        </is>
      </c>
      <c r="I627" t="inlineStr">
        <is>
          <t>1</t>
        </is>
      </c>
      <c r="J627" t="inlineStr">
        <is>
          <t>No</t>
        </is>
      </c>
      <c r="K627" t="inlineStr">
        <is>
          <t>No</t>
        </is>
      </c>
      <c r="L627" t="inlineStr">
        <is>
          <t>0</t>
        </is>
      </c>
      <c r="M627" t="inlineStr">
        <is>
          <t>Mahler, Henry R.</t>
        </is>
      </c>
      <c r="N627" t="inlineStr">
        <is>
          <t>New York, Harper &amp; Row [1966]</t>
        </is>
      </c>
      <c r="O627" t="inlineStr">
        <is>
          <t>1966</t>
        </is>
      </c>
      <c r="Q627" t="inlineStr">
        <is>
          <t>eng</t>
        </is>
      </c>
      <c r="R627" t="inlineStr">
        <is>
          <t>nyu</t>
        </is>
      </c>
      <c r="T627" t="inlineStr">
        <is>
          <t xml:space="preserve">QP </t>
        </is>
      </c>
      <c r="U627" t="n">
        <v>2</v>
      </c>
      <c r="V627" t="n">
        <v>2</v>
      </c>
      <c r="W627" t="inlineStr">
        <is>
          <t>1997-10-12</t>
        </is>
      </c>
      <c r="X627" t="inlineStr">
        <is>
          <t>1997-10-12</t>
        </is>
      </c>
      <c r="Y627" t="inlineStr">
        <is>
          <t>1997-08-06</t>
        </is>
      </c>
      <c r="Z627" t="inlineStr">
        <is>
          <t>1997-08-06</t>
        </is>
      </c>
      <c r="AA627" t="n">
        <v>596</v>
      </c>
      <c r="AB627" t="n">
        <v>439</v>
      </c>
      <c r="AC627" t="n">
        <v>659</v>
      </c>
      <c r="AD627" t="n">
        <v>6</v>
      </c>
      <c r="AE627" t="n">
        <v>10</v>
      </c>
      <c r="AF627" t="n">
        <v>11</v>
      </c>
      <c r="AG627" t="n">
        <v>23</v>
      </c>
      <c r="AH627" t="n">
        <v>3</v>
      </c>
      <c r="AI627" t="n">
        <v>6</v>
      </c>
      <c r="AJ627" t="n">
        <v>1</v>
      </c>
      <c r="AK627" t="n">
        <v>5</v>
      </c>
      <c r="AL627" t="n">
        <v>2</v>
      </c>
      <c r="AM627" t="n">
        <v>6</v>
      </c>
      <c r="AN627" t="n">
        <v>5</v>
      </c>
      <c r="AO627" t="n">
        <v>9</v>
      </c>
      <c r="AP627" t="n">
        <v>0</v>
      </c>
      <c r="AQ627" t="n">
        <v>0</v>
      </c>
      <c r="AR627" t="inlineStr">
        <is>
          <t>No</t>
        </is>
      </c>
      <c r="AS627" t="inlineStr">
        <is>
          <t>Yes</t>
        </is>
      </c>
      <c r="AT627">
        <f>HYPERLINK("http://catalog.hathitrust.org/Record/002077059","HathiTrust Record")</f>
        <v/>
      </c>
      <c r="AU627">
        <f>HYPERLINK("https://creighton-primo.hosted.exlibrisgroup.com/primo-explore/search?tab=default_tab&amp;search_scope=EVERYTHING&amp;vid=01CRU&amp;lang=en_US&amp;offset=0&amp;query=any,contains,991005257349702656","Catalog Record")</f>
        <v/>
      </c>
      <c r="AV627">
        <f>HYPERLINK("http://www.worldcat.org/oclc/559269","WorldCat Record")</f>
        <v/>
      </c>
      <c r="AW627" t="inlineStr">
        <is>
          <t>1271853:eng</t>
        </is>
      </c>
      <c r="AX627" t="inlineStr">
        <is>
          <t>559269</t>
        </is>
      </c>
      <c r="AY627" t="inlineStr">
        <is>
          <t>991005257349702656</t>
        </is>
      </c>
      <c r="AZ627" t="inlineStr">
        <is>
          <t>991005257349702656</t>
        </is>
      </c>
      <c r="BA627" t="inlineStr">
        <is>
          <t>2262100490002656</t>
        </is>
      </c>
      <c r="BB627" t="inlineStr">
        <is>
          <t>BOOK</t>
        </is>
      </c>
      <c r="BE627" t="inlineStr">
        <is>
          <t>32285003080404</t>
        </is>
      </c>
      <c r="BF627" t="inlineStr">
        <is>
          <t>893701282</t>
        </is>
      </c>
    </row>
    <row r="628">
      <c r="B628" t="inlineStr">
        <is>
          <t>CURAL</t>
        </is>
      </c>
      <c r="C628" t="inlineStr">
        <is>
          <t>SHELVES</t>
        </is>
      </c>
      <c r="D628" t="inlineStr">
        <is>
          <t>QP514 .S39</t>
        </is>
      </c>
      <c r="E628" t="inlineStr">
        <is>
          <t>0                      QP 0514000S  39</t>
        </is>
      </c>
      <c r="F628" t="inlineStr">
        <is>
          <t>Applied physiological chemistry.</t>
        </is>
      </c>
      <c r="H628" t="inlineStr">
        <is>
          <t>No</t>
        </is>
      </c>
      <c r="I628" t="inlineStr">
        <is>
          <t>1</t>
        </is>
      </c>
      <c r="J628" t="inlineStr">
        <is>
          <t>No</t>
        </is>
      </c>
      <c r="K628" t="inlineStr">
        <is>
          <t>No</t>
        </is>
      </c>
      <c r="L628" t="inlineStr">
        <is>
          <t>0</t>
        </is>
      </c>
      <c r="M628" t="inlineStr">
        <is>
          <t>Schwalm, Mary Elise.</t>
        </is>
      </c>
      <c r="N628" t="inlineStr">
        <is>
          <t>Philadelphia : F.A. Davis Co., [1964]</t>
        </is>
      </c>
      <c r="O628" t="inlineStr">
        <is>
          <t>1964</t>
        </is>
      </c>
      <c r="Q628" t="inlineStr">
        <is>
          <t>eng</t>
        </is>
      </c>
      <c r="R628" t="inlineStr">
        <is>
          <t>pau</t>
        </is>
      </c>
      <c r="T628" t="inlineStr">
        <is>
          <t xml:space="preserve">QP </t>
        </is>
      </c>
      <c r="U628" t="n">
        <v>5</v>
      </c>
      <c r="V628" t="n">
        <v>5</v>
      </c>
      <c r="W628" t="inlineStr">
        <is>
          <t>1995-09-30</t>
        </is>
      </c>
      <c r="X628" t="inlineStr">
        <is>
          <t>1995-09-30</t>
        </is>
      </c>
      <c r="Y628" t="inlineStr">
        <is>
          <t>1994-03-29</t>
        </is>
      </c>
      <c r="Z628" t="inlineStr">
        <is>
          <t>1994-03-29</t>
        </is>
      </c>
      <c r="AA628" t="n">
        <v>103</v>
      </c>
      <c r="AB628" t="n">
        <v>88</v>
      </c>
      <c r="AC628" t="n">
        <v>90</v>
      </c>
      <c r="AD628" t="n">
        <v>1</v>
      </c>
      <c r="AE628" t="n">
        <v>1</v>
      </c>
      <c r="AF628" t="n">
        <v>2</v>
      </c>
      <c r="AG628" t="n">
        <v>2</v>
      </c>
      <c r="AH628" t="n">
        <v>0</v>
      </c>
      <c r="AI628" t="n">
        <v>0</v>
      </c>
      <c r="AJ628" t="n">
        <v>0</v>
      </c>
      <c r="AK628" t="n">
        <v>0</v>
      </c>
      <c r="AL628" t="n">
        <v>2</v>
      </c>
      <c r="AM628" t="n">
        <v>2</v>
      </c>
      <c r="AN628" t="n">
        <v>0</v>
      </c>
      <c r="AO628" t="n">
        <v>0</v>
      </c>
      <c r="AP628" t="n">
        <v>0</v>
      </c>
      <c r="AQ628" t="n">
        <v>0</v>
      </c>
      <c r="AR628" t="inlineStr">
        <is>
          <t>No</t>
        </is>
      </c>
      <c r="AS628" t="inlineStr">
        <is>
          <t>Yes</t>
        </is>
      </c>
      <c r="AT628">
        <f>HYPERLINK("http://catalog.hathitrust.org/Record/001555238","HathiTrust Record")</f>
        <v/>
      </c>
      <c r="AU628">
        <f>HYPERLINK("https://creighton-primo.hosted.exlibrisgroup.com/primo-explore/search?tab=default_tab&amp;search_scope=EVERYTHING&amp;vid=01CRU&amp;lang=en_US&amp;offset=0&amp;query=any,contains,991003286989702656","Catalog Record")</f>
        <v/>
      </c>
      <c r="AV628">
        <f>HYPERLINK("http://www.worldcat.org/oclc/809075","WorldCat Record")</f>
        <v/>
      </c>
      <c r="AW628" t="inlineStr">
        <is>
          <t>1641627:eng</t>
        </is>
      </c>
      <c r="AX628" t="inlineStr">
        <is>
          <t>809075</t>
        </is>
      </c>
      <c r="AY628" t="inlineStr">
        <is>
          <t>991003286989702656</t>
        </is>
      </c>
      <c r="AZ628" t="inlineStr">
        <is>
          <t>991003286989702656</t>
        </is>
      </c>
      <c r="BA628" t="inlineStr">
        <is>
          <t>2262877790002656</t>
        </is>
      </c>
      <c r="BB628" t="inlineStr">
        <is>
          <t>BOOK</t>
        </is>
      </c>
      <c r="BE628" t="inlineStr">
        <is>
          <t>32285001872315</t>
        </is>
      </c>
      <c r="BF628" t="inlineStr">
        <is>
          <t>893445597</t>
        </is>
      </c>
    </row>
    <row r="629">
      <c r="B629" t="inlineStr">
        <is>
          <t>CURAL</t>
        </is>
      </c>
      <c r="C629" t="inlineStr">
        <is>
          <t>SHELVES</t>
        </is>
      </c>
      <c r="D629" t="inlineStr">
        <is>
          <t>QP514 .T67</t>
        </is>
      </c>
      <c r="E629" t="inlineStr">
        <is>
          <t>0                      QP 0514000T  67</t>
        </is>
      </c>
      <c r="F629" t="inlineStr">
        <is>
          <t>Basic chemistry of life.</t>
        </is>
      </c>
      <c r="H629" t="inlineStr">
        <is>
          <t>No</t>
        </is>
      </c>
      <c r="I629" t="inlineStr">
        <is>
          <t>1</t>
        </is>
      </c>
      <c r="J629" t="inlineStr">
        <is>
          <t>No</t>
        </is>
      </c>
      <c r="K629" t="inlineStr">
        <is>
          <t>Yes</t>
        </is>
      </c>
      <c r="L629" t="inlineStr">
        <is>
          <t>0</t>
        </is>
      </c>
      <c r="M629" t="inlineStr">
        <is>
          <t>Toporek, Milton, 1920-</t>
        </is>
      </c>
      <c r="N629" t="inlineStr">
        <is>
          <t>New York : Appleton-Century-Crofts, [1968]</t>
        </is>
      </c>
      <c r="O629" t="inlineStr">
        <is>
          <t>1968</t>
        </is>
      </c>
      <c r="Q629" t="inlineStr">
        <is>
          <t>eng</t>
        </is>
      </c>
      <c r="R629" t="inlineStr">
        <is>
          <t>nyu</t>
        </is>
      </c>
      <c r="T629" t="inlineStr">
        <is>
          <t xml:space="preserve">QP </t>
        </is>
      </c>
      <c r="U629" t="n">
        <v>12</v>
      </c>
      <c r="V629" t="n">
        <v>12</v>
      </c>
      <c r="W629" t="inlineStr">
        <is>
          <t>2005-09-24</t>
        </is>
      </c>
      <c r="X629" t="inlineStr">
        <is>
          <t>2005-09-24</t>
        </is>
      </c>
      <c r="Y629" t="inlineStr">
        <is>
          <t>1992-05-08</t>
        </is>
      </c>
      <c r="Z629" t="inlineStr">
        <is>
          <t>1992-05-08</t>
        </is>
      </c>
      <c r="AA629" t="n">
        <v>121</v>
      </c>
      <c r="AB629" t="n">
        <v>103</v>
      </c>
      <c r="AC629" t="n">
        <v>236</v>
      </c>
      <c r="AD629" t="n">
        <v>2</v>
      </c>
      <c r="AE629" t="n">
        <v>3</v>
      </c>
      <c r="AF629" t="n">
        <v>6</v>
      </c>
      <c r="AG629" t="n">
        <v>9</v>
      </c>
      <c r="AH629" t="n">
        <v>3</v>
      </c>
      <c r="AI629" t="n">
        <v>4</v>
      </c>
      <c r="AJ629" t="n">
        <v>0</v>
      </c>
      <c r="AK629" t="n">
        <v>0</v>
      </c>
      <c r="AL629" t="n">
        <v>3</v>
      </c>
      <c r="AM629" t="n">
        <v>6</v>
      </c>
      <c r="AN629" t="n">
        <v>1</v>
      </c>
      <c r="AO629" t="n">
        <v>1</v>
      </c>
      <c r="AP629" t="n">
        <v>0</v>
      </c>
      <c r="AQ629" t="n">
        <v>0</v>
      </c>
      <c r="AR629" t="inlineStr">
        <is>
          <t>No</t>
        </is>
      </c>
      <c r="AS629" t="inlineStr">
        <is>
          <t>Yes</t>
        </is>
      </c>
      <c r="AT629">
        <f>HYPERLINK("http://catalog.hathitrust.org/Record/001555244","HathiTrust Record")</f>
        <v/>
      </c>
      <c r="AU629">
        <f>HYPERLINK("https://creighton-primo.hosted.exlibrisgroup.com/primo-explore/search?tab=default_tab&amp;search_scope=EVERYTHING&amp;vid=01CRU&amp;lang=en_US&amp;offset=0&amp;query=any,contains,991001005619702656","Catalog Record")</f>
        <v/>
      </c>
      <c r="AV629">
        <f>HYPERLINK("http://www.worldcat.org/oclc/172597","WorldCat Record")</f>
        <v/>
      </c>
      <c r="AW629" t="inlineStr">
        <is>
          <t>1301036:eng</t>
        </is>
      </c>
      <c r="AX629" t="inlineStr">
        <is>
          <t>172597</t>
        </is>
      </c>
      <c r="AY629" t="inlineStr">
        <is>
          <t>991001005619702656</t>
        </is>
      </c>
      <c r="AZ629" t="inlineStr">
        <is>
          <t>991001005619702656</t>
        </is>
      </c>
      <c r="BA629" t="inlineStr">
        <is>
          <t>2270310070002656</t>
        </is>
      </c>
      <c r="BB629" t="inlineStr">
        <is>
          <t>BOOK</t>
        </is>
      </c>
      <c r="BE629" t="inlineStr">
        <is>
          <t>32285001105542</t>
        </is>
      </c>
      <c r="BF629" t="inlineStr">
        <is>
          <t>893432511</t>
        </is>
      </c>
    </row>
    <row r="630">
      <c r="B630" t="inlineStr">
        <is>
          <t>CURAL</t>
        </is>
      </c>
      <c r="C630" t="inlineStr">
        <is>
          <t>SHELVES</t>
        </is>
      </c>
      <c r="D630" t="inlineStr">
        <is>
          <t>QP514 .W45 1964</t>
        </is>
      </c>
      <c r="E630" t="inlineStr">
        <is>
          <t>0                      QP 0514000W  45          1964</t>
        </is>
      </c>
      <c r="F630" t="inlineStr">
        <is>
          <t>Principles of biochemistry [by] Abraham White, Philip Handler [and] Emil L. Smith.</t>
        </is>
      </c>
      <c r="H630" t="inlineStr">
        <is>
          <t>No</t>
        </is>
      </c>
      <c r="I630" t="inlineStr">
        <is>
          <t>1</t>
        </is>
      </c>
      <c r="J630" t="inlineStr">
        <is>
          <t>No</t>
        </is>
      </c>
      <c r="K630" t="inlineStr">
        <is>
          <t>Yes</t>
        </is>
      </c>
      <c r="L630" t="inlineStr">
        <is>
          <t>0</t>
        </is>
      </c>
      <c r="M630" t="inlineStr">
        <is>
          <t>White, Abraham, 1908-1980.</t>
        </is>
      </c>
      <c r="N630" t="inlineStr">
        <is>
          <t>New York, Blakiston Division, McGraw-Hill [1964]</t>
        </is>
      </c>
      <c r="O630" t="inlineStr">
        <is>
          <t>1964</t>
        </is>
      </c>
      <c r="P630" t="inlineStr">
        <is>
          <t>3d ed.</t>
        </is>
      </c>
      <c r="Q630" t="inlineStr">
        <is>
          <t>eng</t>
        </is>
      </c>
      <c r="R630" t="inlineStr">
        <is>
          <t>nyu</t>
        </is>
      </c>
      <c r="T630" t="inlineStr">
        <is>
          <t xml:space="preserve">QP </t>
        </is>
      </c>
      <c r="U630" t="n">
        <v>8</v>
      </c>
      <c r="V630" t="n">
        <v>8</v>
      </c>
      <c r="W630" t="inlineStr">
        <is>
          <t>1997-10-12</t>
        </is>
      </c>
      <c r="X630" t="inlineStr">
        <is>
          <t>1997-10-12</t>
        </is>
      </c>
      <c r="Y630" t="inlineStr">
        <is>
          <t>1992-02-10</t>
        </is>
      </c>
      <c r="Z630" t="inlineStr">
        <is>
          <t>1992-02-10</t>
        </is>
      </c>
      <c r="AA630" t="n">
        <v>309</v>
      </c>
      <c r="AB630" t="n">
        <v>217</v>
      </c>
      <c r="AC630" t="n">
        <v>1012</v>
      </c>
      <c r="AD630" t="n">
        <v>1</v>
      </c>
      <c r="AE630" t="n">
        <v>13</v>
      </c>
      <c r="AF630" t="n">
        <v>3</v>
      </c>
      <c r="AG630" t="n">
        <v>35</v>
      </c>
      <c r="AH630" t="n">
        <v>1</v>
      </c>
      <c r="AI630" t="n">
        <v>10</v>
      </c>
      <c r="AJ630" t="n">
        <v>1</v>
      </c>
      <c r="AK630" t="n">
        <v>7</v>
      </c>
      <c r="AL630" t="n">
        <v>2</v>
      </c>
      <c r="AM630" t="n">
        <v>16</v>
      </c>
      <c r="AN630" t="n">
        <v>0</v>
      </c>
      <c r="AO630" t="n">
        <v>9</v>
      </c>
      <c r="AP630" t="n">
        <v>0</v>
      </c>
      <c r="AQ630" t="n">
        <v>0</v>
      </c>
      <c r="AR630" t="inlineStr">
        <is>
          <t>No</t>
        </is>
      </c>
      <c r="AS630" t="inlineStr">
        <is>
          <t>Yes</t>
        </is>
      </c>
      <c r="AT630">
        <f>HYPERLINK("http://catalog.hathitrust.org/Record/001555254","HathiTrust Record")</f>
        <v/>
      </c>
      <c r="AU630">
        <f>HYPERLINK("https://creighton-primo.hosted.exlibrisgroup.com/primo-explore/search?tab=default_tab&amp;search_scope=EVERYTHING&amp;vid=01CRU&amp;lang=en_US&amp;offset=0&amp;query=any,contains,991002989099702656","Catalog Record")</f>
        <v/>
      </c>
      <c r="AV630">
        <f>HYPERLINK("http://www.worldcat.org/oclc/559507","WorldCat Record")</f>
        <v/>
      </c>
      <c r="AW630" t="inlineStr">
        <is>
          <t>4929126305:eng</t>
        </is>
      </c>
      <c r="AX630" t="inlineStr">
        <is>
          <t>559507</t>
        </is>
      </c>
      <c r="AY630" t="inlineStr">
        <is>
          <t>991002989099702656</t>
        </is>
      </c>
      <c r="AZ630" t="inlineStr">
        <is>
          <t>991002989099702656</t>
        </is>
      </c>
      <c r="BA630" t="inlineStr">
        <is>
          <t>2262304460002656</t>
        </is>
      </c>
      <c r="BB630" t="inlineStr">
        <is>
          <t>BOOK</t>
        </is>
      </c>
      <c r="BE630" t="inlineStr">
        <is>
          <t>32285000946110</t>
        </is>
      </c>
      <c r="BF630" t="inlineStr">
        <is>
          <t>893348204</t>
        </is>
      </c>
    </row>
    <row r="631">
      <c r="B631" t="inlineStr">
        <is>
          <t>CURAL</t>
        </is>
      </c>
      <c r="C631" t="inlineStr">
        <is>
          <t>SHELVES</t>
        </is>
      </c>
      <c r="D631" t="inlineStr">
        <is>
          <t>QP514.2 .A24 1992</t>
        </is>
      </c>
      <c r="E631" t="inlineStr">
        <is>
          <t>0                      QP 0514200A  24          1992</t>
        </is>
      </c>
      <c r="F631" t="inlineStr">
        <is>
          <t>Biochemistry / Robert H. Abeles, Perry A. Frey, William P. Jencks.</t>
        </is>
      </c>
      <c r="H631" t="inlineStr">
        <is>
          <t>No</t>
        </is>
      </c>
      <c r="I631" t="inlineStr">
        <is>
          <t>1</t>
        </is>
      </c>
      <c r="J631" t="inlineStr">
        <is>
          <t>Yes</t>
        </is>
      </c>
      <c r="K631" t="inlineStr">
        <is>
          <t>No</t>
        </is>
      </c>
      <c r="L631" t="inlineStr">
        <is>
          <t>0</t>
        </is>
      </c>
      <c r="M631" t="inlineStr">
        <is>
          <t>Abeles, Robert H.</t>
        </is>
      </c>
      <c r="N631" t="inlineStr">
        <is>
          <t>Boston : Jones and Bartlett, c1992.</t>
        </is>
      </c>
      <c r="O631" t="inlineStr">
        <is>
          <t>1992</t>
        </is>
      </c>
      <c r="Q631" t="inlineStr">
        <is>
          <t>eng</t>
        </is>
      </c>
      <c r="R631" t="inlineStr">
        <is>
          <t>mau</t>
        </is>
      </c>
      <c r="S631" t="inlineStr">
        <is>
          <t>The Jones and Bartlett series in biology</t>
        </is>
      </c>
      <c r="T631" t="inlineStr">
        <is>
          <t xml:space="preserve">QP </t>
        </is>
      </c>
      <c r="U631" t="n">
        <v>32</v>
      </c>
      <c r="V631" t="n">
        <v>65</v>
      </c>
      <c r="W631" t="inlineStr">
        <is>
          <t>2005-05-19</t>
        </is>
      </c>
      <c r="X631" t="inlineStr">
        <is>
          <t>2005-05-19</t>
        </is>
      </c>
      <c r="Y631" t="inlineStr">
        <is>
          <t>1994-04-05</t>
        </is>
      </c>
      <c r="Z631" t="inlineStr">
        <is>
          <t>1994-04-05</t>
        </is>
      </c>
      <c r="AA631" t="n">
        <v>243</v>
      </c>
      <c r="AB631" t="n">
        <v>181</v>
      </c>
      <c r="AC631" t="n">
        <v>204</v>
      </c>
      <c r="AD631" t="n">
        <v>2</v>
      </c>
      <c r="AE631" t="n">
        <v>2</v>
      </c>
      <c r="AF631" t="n">
        <v>4</v>
      </c>
      <c r="AG631" t="n">
        <v>4</v>
      </c>
      <c r="AH631" t="n">
        <v>1</v>
      </c>
      <c r="AI631" t="n">
        <v>1</v>
      </c>
      <c r="AJ631" t="n">
        <v>0</v>
      </c>
      <c r="AK631" t="n">
        <v>0</v>
      </c>
      <c r="AL631" t="n">
        <v>4</v>
      </c>
      <c r="AM631" t="n">
        <v>4</v>
      </c>
      <c r="AN631" t="n">
        <v>0</v>
      </c>
      <c r="AO631" t="n">
        <v>0</v>
      </c>
      <c r="AP631" t="n">
        <v>0</v>
      </c>
      <c r="AQ631" t="n">
        <v>0</v>
      </c>
      <c r="AR631" t="inlineStr">
        <is>
          <t>No</t>
        </is>
      </c>
      <c r="AS631" t="inlineStr">
        <is>
          <t>Yes</t>
        </is>
      </c>
      <c r="AT631">
        <f>HYPERLINK("http://catalog.hathitrust.org/Record/003191007","HathiTrust Record")</f>
        <v/>
      </c>
      <c r="AU631">
        <f>HYPERLINK("https://creighton-primo.hosted.exlibrisgroup.com/primo-explore/search?tab=default_tab&amp;search_scope=EVERYTHING&amp;vid=01CRU&amp;lang=en_US&amp;offset=0&amp;query=any,contains,991001793849702656","Catalog Record")</f>
        <v/>
      </c>
      <c r="AV631">
        <f>HYPERLINK("http://www.worldcat.org/oclc/25412518","WorldCat Record")</f>
        <v/>
      </c>
      <c r="AW631" t="inlineStr">
        <is>
          <t>27925302:eng</t>
        </is>
      </c>
      <c r="AX631" t="inlineStr">
        <is>
          <t>25412518</t>
        </is>
      </c>
      <c r="AY631" t="inlineStr">
        <is>
          <t>991001793849702656</t>
        </is>
      </c>
      <c r="AZ631" t="inlineStr">
        <is>
          <t>991001793849702656</t>
        </is>
      </c>
      <c r="BA631" t="inlineStr">
        <is>
          <t>2257019380002656</t>
        </is>
      </c>
      <c r="BB631" t="inlineStr">
        <is>
          <t>BOOK</t>
        </is>
      </c>
      <c r="BD631" t="inlineStr">
        <is>
          <t>9780867202120</t>
        </is>
      </c>
      <c r="BE631" t="inlineStr">
        <is>
          <t>32285001858710</t>
        </is>
      </c>
      <c r="BF631" t="inlineStr">
        <is>
          <t>893891849</t>
        </is>
      </c>
    </row>
    <row r="632">
      <c r="B632" t="inlineStr">
        <is>
          <t>CURAL</t>
        </is>
      </c>
      <c r="C632" t="inlineStr">
        <is>
          <t>SHELVES</t>
        </is>
      </c>
      <c r="D632" t="inlineStr">
        <is>
          <t>QP514.2 .D39 1979</t>
        </is>
      </c>
      <c r="E632" t="inlineStr">
        <is>
          <t>0                      QP 0514200D  39          1979</t>
        </is>
      </c>
      <c r="F632" t="inlineStr">
        <is>
          <t>Elementary biochemistry : an introduction to the chemistry of living cells / Julian Davies &amp; Barbara Shaffer Littlewood.</t>
        </is>
      </c>
      <c r="H632" t="inlineStr">
        <is>
          <t>No</t>
        </is>
      </c>
      <c r="I632" t="inlineStr">
        <is>
          <t>1</t>
        </is>
      </c>
      <c r="J632" t="inlineStr">
        <is>
          <t>No</t>
        </is>
      </c>
      <c r="K632" t="inlineStr">
        <is>
          <t>No</t>
        </is>
      </c>
      <c r="L632" t="inlineStr">
        <is>
          <t>0</t>
        </is>
      </c>
      <c r="M632" t="inlineStr">
        <is>
          <t>Davies, Julian E.</t>
        </is>
      </c>
      <c r="N632" t="inlineStr">
        <is>
          <t>Englewood Cliffs, N.J. : Prentice-Hall, c1979.</t>
        </is>
      </c>
      <c r="O632" t="inlineStr">
        <is>
          <t>1979</t>
        </is>
      </c>
      <c r="Q632" t="inlineStr">
        <is>
          <t>eng</t>
        </is>
      </c>
      <c r="R632" t="inlineStr">
        <is>
          <t>nju</t>
        </is>
      </c>
      <c r="T632" t="inlineStr">
        <is>
          <t xml:space="preserve">QP </t>
        </is>
      </c>
      <c r="U632" t="n">
        <v>19</v>
      </c>
      <c r="V632" t="n">
        <v>19</v>
      </c>
      <c r="W632" t="inlineStr">
        <is>
          <t>2006-11-09</t>
        </is>
      </c>
      <c r="X632" t="inlineStr">
        <is>
          <t>2006-11-09</t>
        </is>
      </c>
      <c r="Y632" t="inlineStr">
        <is>
          <t>1992-12-16</t>
        </is>
      </c>
      <c r="Z632" t="inlineStr">
        <is>
          <t>1992-12-16</t>
        </is>
      </c>
      <c r="AA632" t="n">
        <v>300</v>
      </c>
      <c r="AB632" t="n">
        <v>212</v>
      </c>
      <c r="AC632" t="n">
        <v>212</v>
      </c>
      <c r="AD632" t="n">
        <v>3</v>
      </c>
      <c r="AE632" t="n">
        <v>3</v>
      </c>
      <c r="AF632" t="n">
        <v>6</v>
      </c>
      <c r="AG632" t="n">
        <v>6</v>
      </c>
      <c r="AH632" t="n">
        <v>1</v>
      </c>
      <c r="AI632" t="n">
        <v>1</v>
      </c>
      <c r="AJ632" t="n">
        <v>3</v>
      </c>
      <c r="AK632" t="n">
        <v>3</v>
      </c>
      <c r="AL632" t="n">
        <v>2</v>
      </c>
      <c r="AM632" t="n">
        <v>2</v>
      </c>
      <c r="AN632" t="n">
        <v>2</v>
      </c>
      <c r="AO632" t="n">
        <v>2</v>
      </c>
      <c r="AP632" t="n">
        <v>0</v>
      </c>
      <c r="AQ632" t="n">
        <v>0</v>
      </c>
      <c r="AR632" t="inlineStr">
        <is>
          <t>No</t>
        </is>
      </c>
      <c r="AS632" t="inlineStr">
        <is>
          <t>No</t>
        </is>
      </c>
      <c r="AU632">
        <f>HYPERLINK("https://creighton-primo.hosted.exlibrisgroup.com/primo-explore/search?tab=default_tab&amp;search_scope=EVERYTHING&amp;vid=01CRU&amp;lang=en_US&amp;offset=0&amp;query=any,contains,991004607569702656","Catalog Record")</f>
        <v/>
      </c>
      <c r="AV632">
        <f>HYPERLINK("http://www.worldcat.org/oclc/4195228","WorldCat Record")</f>
        <v/>
      </c>
      <c r="AW632" t="inlineStr">
        <is>
          <t>3856034553:eng</t>
        </is>
      </c>
      <c r="AX632" t="inlineStr">
        <is>
          <t>4195228</t>
        </is>
      </c>
      <c r="AY632" t="inlineStr">
        <is>
          <t>991004607569702656</t>
        </is>
      </c>
      <c r="AZ632" t="inlineStr">
        <is>
          <t>991004607569702656</t>
        </is>
      </c>
      <c r="BA632" t="inlineStr">
        <is>
          <t>2260966860002656</t>
        </is>
      </c>
      <c r="BB632" t="inlineStr">
        <is>
          <t>BOOK</t>
        </is>
      </c>
      <c r="BD632" t="inlineStr">
        <is>
          <t>9780132528092</t>
        </is>
      </c>
      <c r="BE632" t="inlineStr">
        <is>
          <t>32285001403129</t>
        </is>
      </c>
      <c r="BF632" t="inlineStr">
        <is>
          <t>893593894</t>
        </is>
      </c>
    </row>
    <row r="633">
      <c r="B633" t="inlineStr">
        <is>
          <t>CURAL</t>
        </is>
      </c>
      <c r="C633" t="inlineStr">
        <is>
          <t>SHELVES</t>
        </is>
      </c>
      <c r="D633" t="inlineStr">
        <is>
          <t>QP514.2 .E33</t>
        </is>
      </c>
      <c r="E633" t="inlineStr">
        <is>
          <t>0                      QP 0514200E  33</t>
        </is>
      </c>
      <c r="F633" t="inlineStr">
        <is>
          <t>Introductory biochemistry : fundamentals of cellular metabolism and molecular biology / [by] Stuart J. Edelstein.</t>
        </is>
      </c>
      <c r="H633" t="inlineStr">
        <is>
          <t>No</t>
        </is>
      </c>
      <c r="I633" t="inlineStr">
        <is>
          <t>1</t>
        </is>
      </c>
      <c r="J633" t="inlineStr">
        <is>
          <t>No</t>
        </is>
      </c>
      <c r="K633" t="inlineStr">
        <is>
          <t>No</t>
        </is>
      </c>
      <c r="L633" t="inlineStr">
        <is>
          <t>0</t>
        </is>
      </c>
      <c r="M633" t="inlineStr">
        <is>
          <t>Edelstein, Stuart J.</t>
        </is>
      </c>
      <c r="N633" t="inlineStr">
        <is>
          <t>San Francisco : Holden-Day, [1973]</t>
        </is>
      </c>
      <c r="O633" t="inlineStr">
        <is>
          <t>1973</t>
        </is>
      </c>
      <c r="Q633" t="inlineStr">
        <is>
          <t>eng</t>
        </is>
      </c>
      <c r="R633" t="inlineStr">
        <is>
          <t>cau</t>
        </is>
      </c>
      <c r="T633" t="inlineStr">
        <is>
          <t xml:space="preserve">QP </t>
        </is>
      </c>
      <c r="U633" t="n">
        <v>9</v>
      </c>
      <c r="V633" t="n">
        <v>9</v>
      </c>
      <c r="W633" t="inlineStr">
        <is>
          <t>1994-09-28</t>
        </is>
      </c>
      <c r="X633" t="inlineStr">
        <is>
          <t>1994-09-28</t>
        </is>
      </c>
      <c r="Y633" t="inlineStr">
        <is>
          <t>1990-03-05</t>
        </is>
      </c>
      <c r="Z633" t="inlineStr">
        <is>
          <t>1990-03-05</t>
        </is>
      </c>
      <c r="AA633" t="n">
        <v>231</v>
      </c>
      <c r="AB633" t="n">
        <v>151</v>
      </c>
      <c r="AC633" t="n">
        <v>159</v>
      </c>
      <c r="AD633" t="n">
        <v>2</v>
      </c>
      <c r="AE633" t="n">
        <v>2</v>
      </c>
      <c r="AF633" t="n">
        <v>3</v>
      </c>
      <c r="AG633" t="n">
        <v>3</v>
      </c>
      <c r="AH633" t="n">
        <v>1</v>
      </c>
      <c r="AI633" t="n">
        <v>1</v>
      </c>
      <c r="AJ633" t="n">
        <v>1</v>
      </c>
      <c r="AK633" t="n">
        <v>1</v>
      </c>
      <c r="AL633" t="n">
        <v>0</v>
      </c>
      <c r="AM633" t="n">
        <v>0</v>
      </c>
      <c r="AN633" t="n">
        <v>1</v>
      </c>
      <c r="AO633" t="n">
        <v>1</v>
      </c>
      <c r="AP633" t="n">
        <v>0</v>
      </c>
      <c r="AQ633" t="n">
        <v>0</v>
      </c>
      <c r="AR633" t="inlineStr">
        <is>
          <t>No</t>
        </is>
      </c>
      <c r="AS633" t="inlineStr">
        <is>
          <t>Yes</t>
        </is>
      </c>
      <c r="AT633">
        <f>HYPERLINK("http://catalog.hathitrust.org/Record/009915385","HathiTrust Record")</f>
        <v/>
      </c>
      <c r="AU633">
        <f>HYPERLINK("https://creighton-primo.hosted.exlibrisgroup.com/primo-explore/search?tab=default_tab&amp;search_scope=EVERYTHING&amp;vid=01CRU&amp;lang=en_US&amp;offset=0&amp;query=any,contains,991003155729702656","Catalog Record")</f>
        <v/>
      </c>
      <c r="AV633">
        <f>HYPERLINK("http://www.worldcat.org/oclc/695188","WorldCat Record")</f>
        <v/>
      </c>
      <c r="AW633" t="inlineStr">
        <is>
          <t>1808638:eng</t>
        </is>
      </c>
      <c r="AX633" t="inlineStr">
        <is>
          <t>695188</t>
        </is>
      </c>
      <c r="AY633" t="inlineStr">
        <is>
          <t>991003155729702656</t>
        </is>
      </c>
      <c r="AZ633" t="inlineStr">
        <is>
          <t>991003155729702656</t>
        </is>
      </c>
      <c r="BA633" t="inlineStr">
        <is>
          <t>2267782980002656</t>
        </is>
      </c>
      <c r="BB633" t="inlineStr">
        <is>
          <t>BOOK</t>
        </is>
      </c>
      <c r="BD633" t="inlineStr">
        <is>
          <t>9780816225309</t>
        </is>
      </c>
      <c r="BE633" t="inlineStr">
        <is>
          <t>32285000064617</t>
        </is>
      </c>
      <c r="BF633" t="inlineStr">
        <is>
          <t>893610773</t>
        </is>
      </c>
    </row>
    <row r="634">
      <c r="B634" t="inlineStr">
        <is>
          <t>CURAL</t>
        </is>
      </c>
      <c r="C634" t="inlineStr">
        <is>
          <t>SHELVES</t>
        </is>
      </c>
      <c r="D634" t="inlineStr">
        <is>
          <t>QP514.2 .H36 1984</t>
        </is>
      </c>
      <c r="E634" t="inlineStr">
        <is>
          <t>0                      QP 0514200H  36          1984</t>
        </is>
      </c>
      <c r="F634" t="inlineStr">
        <is>
          <t>Essentials of bio-organic chemistry / R.W. Hanson.</t>
        </is>
      </c>
      <c r="H634" t="inlineStr">
        <is>
          <t>No</t>
        </is>
      </c>
      <c r="I634" t="inlineStr">
        <is>
          <t>1</t>
        </is>
      </c>
      <c r="J634" t="inlineStr">
        <is>
          <t>No</t>
        </is>
      </c>
      <c r="K634" t="inlineStr">
        <is>
          <t>No</t>
        </is>
      </c>
      <c r="L634" t="inlineStr">
        <is>
          <t>0</t>
        </is>
      </c>
      <c r="M634" t="inlineStr">
        <is>
          <t>Hanson, Richard W.</t>
        </is>
      </c>
      <c r="N634" t="inlineStr">
        <is>
          <t>London : E. Arnold, 1984.</t>
        </is>
      </c>
      <c r="O634" t="inlineStr">
        <is>
          <t>1984</t>
        </is>
      </c>
      <c r="Q634" t="inlineStr">
        <is>
          <t>eng</t>
        </is>
      </c>
      <c r="R634" t="inlineStr">
        <is>
          <t>xxk</t>
        </is>
      </c>
      <c r="T634" t="inlineStr">
        <is>
          <t xml:space="preserve">QP </t>
        </is>
      </c>
      <c r="U634" t="n">
        <v>3</v>
      </c>
      <c r="V634" t="n">
        <v>3</v>
      </c>
      <c r="W634" t="inlineStr">
        <is>
          <t>1992-08-07</t>
        </is>
      </c>
      <c r="X634" t="inlineStr">
        <is>
          <t>1992-08-07</t>
        </is>
      </c>
      <c r="Y634" t="inlineStr">
        <is>
          <t>1990-06-29</t>
        </is>
      </c>
      <c r="Z634" t="inlineStr">
        <is>
          <t>1990-06-29</t>
        </is>
      </c>
      <c r="AA634" t="n">
        <v>216</v>
      </c>
      <c r="AB634" t="n">
        <v>119</v>
      </c>
      <c r="AC634" t="n">
        <v>124</v>
      </c>
      <c r="AD634" t="n">
        <v>2</v>
      </c>
      <c r="AE634" t="n">
        <v>2</v>
      </c>
      <c r="AF634" t="n">
        <v>6</v>
      </c>
      <c r="AG634" t="n">
        <v>6</v>
      </c>
      <c r="AH634" t="n">
        <v>1</v>
      </c>
      <c r="AI634" t="n">
        <v>1</v>
      </c>
      <c r="AJ634" t="n">
        <v>2</v>
      </c>
      <c r="AK634" t="n">
        <v>2</v>
      </c>
      <c r="AL634" t="n">
        <v>5</v>
      </c>
      <c r="AM634" t="n">
        <v>5</v>
      </c>
      <c r="AN634" t="n">
        <v>1</v>
      </c>
      <c r="AO634" t="n">
        <v>1</v>
      </c>
      <c r="AP634" t="n">
        <v>0</v>
      </c>
      <c r="AQ634" t="n">
        <v>0</v>
      </c>
      <c r="AR634" t="inlineStr">
        <is>
          <t>No</t>
        </is>
      </c>
      <c r="AS634" t="inlineStr">
        <is>
          <t>No</t>
        </is>
      </c>
      <c r="AU634">
        <f>HYPERLINK("https://creighton-primo.hosted.exlibrisgroup.com/primo-explore/search?tab=default_tab&amp;search_scope=EVERYTHING&amp;vid=01CRU&amp;lang=en_US&amp;offset=0&amp;query=any,contains,991000544879702656","Catalog Record")</f>
        <v/>
      </c>
      <c r="AV634">
        <f>HYPERLINK("http://www.worldcat.org/oclc/13359276","WorldCat Record")</f>
        <v/>
      </c>
      <c r="AW634" t="inlineStr">
        <is>
          <t>6893970:eng</t>
        </is>
      </c>
      <c r="AX634" t="inlineStr">
        <is>
          <t>13359276</t>
        </is>
      </c>
      <c r="AY634" t="inlineStr">
        <is>
          <t>991000544879702656</t>
        </is>
      </c>
      <c r="AZ634" t="inlineStr">
        <is>
          <t>991000544879702656</t>
        </is>
      </c>
      <c r="BA634" t="inlineStr">
        <is>
          <t>2266046710002656</t>
        </is>
      </c>
      <c r="BB634" t="inlineStr">
        <is>
          <t>BOOK</t>
        </is>
      </c>
      <c r="BD634" t="inlineStr">
        <is>
          <t>9780713135008</t>
        </is>
      </c>
      <c r="BE634" t="inlineStr">
        <is>
          <t>32285000217512</t>
        </is>
      </c>
      <c r="BF634" t="inlineStr">
        <is>
          <t>893890794</t>
        </is>
      </c>
    </row>
    <row r="635">
      <c r="B635" t="inlineStr">
        <is>
          <t>CURAL</t>
        </is>
      </c>
      <c r="C635" t="inlineStr">
        <is>
          <t>SHELVES</t>
        </is>
      </c>
      <c r="D635" t="inlineStr">
        <is>
          <t>QP514.2 .H68 1995</t>
        </is>
      </c>
      <c r="E635" t="inlineStr">
        <is>
          <t>0                      QP 0514200H  68          1995</t>
        </is>
      </c>
      <c r="F635" t="inlineStr">
        <is>
          <t>Biochemistry primer for exercise science / Michael E. Houston.</t>
        </is>
      </c>
      <c r="H635" t="inlineStr">
        <is>
          <t>No</t>
        </is>
      </c>
      <c r="I635" t="inlineStr">
        <is>
          <t>1</t>
        </is>
      </c>
      <c r="J635" t="inlineStr">
        <is>
          <t>No</t>
        </is>
      </c>
      <c r="K635" t="inlineStr">
        <is>
          <t>Yes</t>
        </is>
      </c>
      <c r="L635" t="inlineStr">
        <is>
          <t>0</t>
        </is>
      </c>
      <c r="M635" t="inlineStr">
        <is>
          <t>Houston, Michael E., 1941-2008.</t>
        </is>
      </c>
      <c r="N635" t="inlineStr">
        <is>
          <t>Champaign, IL : Human Kinetics, c1995.</t>
        </is>
      </c>
      <c r="O635" t="inlineStr">
        <is>
          <t>1995</t>
        </is>
      </c>
      <c r="Q635" t="inlineStr">
        <is>
          <t>eng</t>
        </is>
      </c>
      <c r="R635" t="inlineStr">
        <is>
          <t>ilu</t>
        </is>
      </c>
      <c r="T635" t="inlineStr">
        <is>
          <t xml:space="preserve">QP </t>
        </is>
      </c>
      <c r="U635" t="n">
        <v>5</v>
      </c>
      <c r="V635" t="n">
        <v>5</v>
      </c>
      <c r="W635" t="inlineStr">
        <is>
          <t>2005-05-19</t>
        </is>
      </c>
      <c r="X635" t="inlineStr">
        <is>
          <t>2005-05-19</t>
        </is>
      </c>
      <c r="Y635" t="inlineStr">
        <is>
          <t>1995-10-23</t>
        </is>
      </c>
      <c r="Z635" t="inlineStr">
        <is>
          <t>1995-10-23</t>
        </is>
      </c>
      <c r="AA635" t="n">
        <v>330</v>
      </c>
      <c r="AB635" t="n">
        <v>242</v>
      </c>
      <c r="AC635" t="n">
        <v>490</v>
      </c>
      <c r="AD635" t="n">
        <v>3</v>
      </c>
      <c r="AE635" t="n">
        <v>7</v>
      </c>
      <c r="AF635" t="n">
        <v>8</v>
      </c>
      <c r="AG635" t="n">
        <v>17</v>
      </c>
      <c r="AH635" t="n">
        <v>3</v>
      </c>
      <c r="AI635" t="n">
        <v>9</v>
      </c>
      <c r="AJ635" t="n">
        <v>2</v>
      </c>
      <c r="AK635" t="n">
        <v>3</v>
      </c>
      <c r="AL635" t="n">
        <v>2</v>
      </c>
      <c r="AM635" t="n">
        <v>5</v>
      </c>
      <c r="AN635" t="n">
        <v>2</v>
      </c>
      <c r="AO635" t="n">
        <v>4</v>
      </c>
      <c r="AP635" t="n">
        <v>0</v>
      </c>
      <c r="AQ635" t="n">
        <v>0</v>
      </c>
      <c r="AR635" t="inlineStr">
        <is>
          <t>No</t>
        </is>
      </c>
      <c r="AS635" t="inlineStr">
        <is>
          <t>Yes</t>
        </is>
      </c>
      <c r="AT635">
        <f>HYPERLINK("http://catalog.hathitrust.org/Record/003101850","HathiTrust Record")</f>
        <v/>
      </c>
      <c r="AU635">
        <f>HYPERLINK("https://creighton-primo.hosted.exlibrisgroup.com/primo-explore/search?tab=default_tab&amp;search_scope=EVERYTHING&amp;vid=01CRU&amp;lang=en_US&amp;offset=0&amp;query=any,contains,991002409789702656","Catalog Record")</f>
        <v/>
      </c>
      <c r="AV635">
        <f>HYPERLINK("http://www.worldcat.org/oclc/31374201","WorldCat Record")</f>
        <v/>
      </c>
      <c r="AW635" t="inlineStr">
        <is>
          <t>33353937:eng</t>
        </is>
      </c>
      <c r="AX635" t="inlineStr">
        <is>
          <t>31374201</t>
        </is>
      </c>
      <c r="AY635" t="inlineStr">
        <is>
          <t>991002409789702656</t>
        </is>
      </c>
      <c r="AZ635" t="inlineStr">
        <is>
          <t>991002409789702656</t>
        </is>
      </c>
      <c r="BA635" t="inlineStr">
        <is>
          <t>2255424880002656</t>
        </is>
      </c>
      <c r="BB635" t="inlineStr">
        <is>
          <t>BOOK</t>
        </is>
      </c>
      <c r="BD635" t="inlineStr">
        <is>
          <t>9780873225779</t>
        </is>
      </c>
      <c r="BE635" t="inlineStr">
        <is>
          <t>32285002069069</t>
        </is>
      </c>
      <c r="BF635" t="inlineStr">
        <is>
          <t>893779780</t>
        </is>
      </c>
    </row>
    <row r="636">
      <c r="B636" t="inlineStr">
        <is>
          <t>CURAL</t>
        </is>
      </c>
      <c r="C636" t="inlineStr">
        <is>
          <t>SHELVES</t>
        </is>
      </c>
      <c r="D636" t="inlineStr">
        <is>
          <t>QP514.2 .P374 1998</t>
        </is>
      </c>
      <c r="E636" t="inlineStr">
        <is>
          <t>0                      QP 0514200P  374         1998</t>
        </is>
      </c>
      <c r="F636" t="inlineStr">
        <is>
          <t>The molecules within us : our body in health and disease / Charles A. Pasternak.</t>
        </is>
      </c>
      <c r="H636" t="inlineStr">
        <is>
          <t>No</t>
        </is>
      </c>
      <c r="I636" t="inlineStr">
        <is>
          <t>1</t>
        </is>
      </c>
      <c r="J636" t="inlineStr">
        <is>
          <t>No</t>
        </is>
      </c>
      <c r="K636" t="inlineStr">
        <is>
          <t>No</t>
        </is>
      </c>
      <c r="L636" t="inlineStr">
        <is>
          <t>0</t>
        </is>
      </c>
      <c r="M636" t="inlineStr">
        <is>
          <t>Pasternak, Charles A. (Charles Alexander)</t>
        </is>
      </c>
      <c r="N636" t="inlineStr">
        <is>
          <t>New York : Plenum, c1998.</t>
        </is>
      </c>
      <c r="O636" t="inlineStr">
        <is>
          <t>1998</t>
        </is>
      </c>
      <c r="Q636" t="inlineStr">
        <is>
          <t>eng</t>
        </is>
      </c>
      <c r="R636" t="inlineStr">
        <is>
          <t>nyu</t>
        </is>
      </c>
      <c r="T636" t="inlineStr">
        <is>
          <t xml:space="preserve">QP </t>
        </is>
      </c>
      <c r="U636" t="n">
        <v>3</v>
      </c>
      <c r="V636" t="n">
        <v>3</v>
      </c>
      <c r="W636" t="inlineStr">
        <is>
          <t>1999-03-04</t>
        </is>
      </c>
      <c r="X636" t="inlineStr">
        <is>
          <t>1999-03-04</t>
        </is>
      </c>
      <c r="Y636" t="inlineStr">
        <is>
          <t>1998-10-28</t>
        </is>
      </c>
      <c r="Z636" t="inlineStr">
        <is>
          <t>1998-10-28</t>
        </is>
      </c>
      <c r="AA636" t="n">
        <v>560</v>
      </c>
      <c r="AB636" t="n">
        <v>507</v>
      </c>
      <c r="AC636" t="n">
        <v>530</v>
      </c>
      <c r="AD636" t="n">
        <v>2</v>
      </c>
      <c r="AE636" t="n">
        <v>2</v>
      </c>
      <c r="AF636" t="n">
        <v>16</v>
      </c>
      <c r="AG636" t="n">
        <v>17</v>
      </c>
      <c r="AH636" t="n">
        <v>7</v>
      </c>
      <c r="AI636" t="n">
        <v>7</v>
      </c>
      <c r="AJ636" t="n">
        <v>3</v>
      </c>
      <c r="AK636" t="n">
        <v>3</v>
      </c>
      <c r="AL636" t="n">
        <v>12</v>
      </c>
      <c r="AM636" t="n">
        <v>13</v>
      </c>
      <c r="AN636" t="n">
        <v>1</v>
      </c>
      <c r="AO636" t="n">
        <v>1</v>
      </c>
      <c r="AP636" t="n">
        <v>0</v>
      </c>
      <c r="AQ636" t="n">
        <v>0</v>
      </c>
      <c r="AR636" t="inlineStr">
        <is>
          <t>No</t>
        </is>
      </c>
      <c r="AS636" t="inlineStr">
        <is>
          <t>Yes</t>
        </is>
      </c>
      <c r="AT636">
        <f>HYPERLINK("http://catalog.hathitrust.org/Record/003993512","HathiTrust Record")</f>
        <v/>
      </c>
      <c r="AU636">
        <f>HYPERLINK("https://creighton-primo.hosted.exlibrisgroup.com/primo-explore/search?tab=default_tab&amp;search_scope=EVERYTHING&amp;vid=01CRU&amp;lang=en_US&amp;offset=0&amp;query=any,contains,991002948759702656","Catalog Record")</f>
        <v/>
      </c>
      <c r="AV636">
        <f>HYPERLINK("http://www.worldcat.org/oclc/39282399","WorldCat Record")</f>
        <v/>
      </c>
      <c r="AW636" t="inlineStr">
        <is>
          <t>20623309:eng</t>
        </is>
      </c>
      <c r="AX636" t="inlineStr">
        <is>
          <t>39282399</t>
        </is>
      </c>
      <c r="AY636" t="inlineStr">
        <is>
          <t>991002948759702656</t>
        </is>
      </c>
      <c r="AZ636" t="inlineStr">
        <is>
          <t>991002948759702656</t>
        </is>
      </c>
      <c r="BA636" t="inlineStr">
        <is>
          <t>2264772890002656</t>
        </is>
      </c>
      <c r="BB636" t="inlineStr">
        <is>
          <t>BOOK</t>
        </is>
      </c>
      <c r="BD636" t="inlineStr">
        <is>
          <t>9780306459870</t>
        </is>
      </c>
      <c r="BE636" t="inlineStr">
        <is>
          <t>32285003478467</t>
        </is>
      </c>
      <c r="BF636" t="inlineStr">
        <is>
          <t>893348143</t>
        </is>
      </c>
    </row>
    <row r="637">
      <c r="B637" t="inlineStr">
        <is>
          <t>CURAL</t>
        </is>
      </c>
      <c r="C637" t="inlineStr">
        <is>
          <t>SHELVES</t>
        </is>
      </c>
      <c r="D637" t="inlineStr">
        <is>
          <t>QP517.B54 G37 1995</t>
        </is>
      </c>
      <c r="E637" t="inlineStr">
        <is>
          <t>0                      QP 0517000B  54                 G  37          1995</t>
        </is>
      </c>
      <c r="F637" t="inlineStr">
        <is>
          <t>Bioenergetics : its thermodynamic foundations / Lars Garby and Poul S. Larsen.</t>
        </is>
      </c>
      <c r="H637" t="inlineStr">
        <is>
          <t>No</t>
        </is>
      </c>
      <c r="I637" t="inlineStr">
        <is>
          <t>1</t>
        </is>
      </c>
      <c r="J637" t="inlineStr">
        <is>
          <t>No</t>
        </is>
      </c>
      <c r="K637" t="inlineStr">
        <is>
          <t>No</t>
        </is>
      </c>
      <c r="L637" t="inlineStr">
        <is>
          <t>0</t>
        </is>
      </c>
      <c r="M637" t="inlineStr">
        <is>
          <t>Garby, Lars.</t>
        </is>
      </c>
      <c r="N637" t="inlineStr">
        <is>
          <t>Cambridge ; New York : Cambridge University Press, 1995.</t>
        </is>
      </c>
      <c r="O637" t="inlineStr">
        <is>
          <t>1995</t>
        </is>
      </c>
      <c r="Q637" t="inlineStr">
        <is>
          <t>eng</t>
        </is>
      </c>
      <c r="R637" t="inlineStr">
        <is>
          <t>enk</t>
        </is>
      </c>
      <c r="T637" t="inlineStr">
        <is>
          <t xml:space="preserve">QP </t>
        </is>
      </c>
      <c r="U637" t="n">
        <v>3</v>
      </c>
      <c r="V637" t="n">
        <v>3</v>
      </c>
      <c r="W637" t="inlineStr">
        <is>
          <t>2006-12-09</t>
        </is>
      </c>
      <c r="X637" t="inlineStr">
        <is>
          <t>2006-12-09</t>
        </is>
      </c>
      <c r="Y637" t="inlineStr">
        <is>
          <t>1995-09-27</t>
        </is>
      </c>
      <c r="Z637" t="inlineStr">
        <is>
          <t>1995-09-27</t>
        </is>
      </c>
      <c r="AA637" t="n">
        <v>235</v>
      </c>
      <c r="AB637" t="n">
        <v>172</v>
      </c>
      <c r="AC637" t="n">
        <v>175</v>
      </c>
      <c r="AD637" t="n">
        <v>3</v>
      </c>
      <c r="AE637" t="n">
        <v>3</v>
      </c>
      <c r="AF637" t="n">
        <v>7</v>
      </c>
      <c r="AG637" t="n">
        <v>7</v>
      </c>
      <c r="AH637" t="n">
        <v>1</v>
      </c>
      <c r="AI637" t="n">
        <v>1</v>
      </c>
      <c r="AJ637" t="n">
        <v>2</v>
      </c>
      <c r="AK637" t="n">
        <v>2</v>
      </c>
      <c r="AL637" t="n">
        <v>3</v>
      </c>
      <c r="AM637" t="n">
        <v>3</v>
      </c>
      <c r="AN637" t="n">
        <v>2</v>
      </c>
      <c r="AO637" t="n">
        <v>2</v>
      </c>
      <c r="AP637" t="n">
        <v>0</v>
      </c>
      <c r="AQ637" t="n">
        <v>0</v>
      </c>
      <c r="AR637" t="inlineStr">
        <is>
          <t>No</t>
        </is>
      </c>
      <c r="AS637" t="inlineStr">
        <is>
          <t>No</t>
        </is>
      </c>
      <c r="AU637">
        <f>HYPERLINK("https://creighton-primo.hosted.exlibrisgroup.com/primo-explore/search?tab=default_tab&amp;search_scope=EVERYTHING&amp;vid=01CRU&amp;lang=en_US&amp;offset=0&amp;query=any,contains,991002292309702656","Catalog Record")</f>
        <v/>
      </c>
      <c r="AV637">
        <f>HYPERLINK("http://www.worldcat.org/oclc/29703669","WorldCat Record")</f>
        <v/>
      </c>
      <c r="AW637" t="inlineStr">
        <is>
          <t>31703239:eng</t>
        </is>
      </c>
      <c r="AX637" t="inlineStr">
        <is>
          <t>29703669</t>
        </is>
      </c>
      <c r="AY637" t="inlineStr">
        <is>
          <t>991002292309702656</t>
        </is>
      </c>
      <c r="AZ637" t="inlineStr">
        <is>
          <t>991002292309702656</t>
        </is>
      </c>
      <c r="BA637" t="inlineStr">
        <is>
          <t>2261784110002656</t>
        </is>
      </c>
      <c r="BB637" t="inlineStr">
        <is>
          <t>BOOK</t>
        </is>
      </c>
      <c r="BD637" t="inlineStr">
        <is>
          <t>9780521451437</t>
        </is>
      </c>
      <c r="BE637" t="inlineStr">
        <is>
          <t>32285002094679</t>
        </is>
      </c>
      <c r="BF637" t="inlineStr">
        <is>
          <t>893439994</t>
        </is>
      </c>
    </row>
    <row r="638">
      <c r="B638" t="inlineStr">
        <is>
          <t>CURAL</t>
        </is>
      </c>
      <c r="C638" t="inlineStr">
        <is>
          <t>SHELVES</t>
        </is>
      </c>
      <c r="D638" t="inlineStr">
        <is>
          <t>QP517.B54 W48 1994</t>
        </is>
      </c>
      <c r="E638" t="inlineStr">
        <is>
          <t>0                      QP 0517000B  54                 W  48          1994</t>
        </is>
      </c>
      <c r="F638" t="inlineStr">
        <is>
          <t>What is controlling life? : 50 years after Erwin Schrödinger's What is Life? / edited by Erich Gnaiger, Frank N. Gellerich, Markus Wyss.</t>
        </is>
      </c>
      <c r="H638" t="inlineStr">
        <is>
          <t>No</t>
        </is>
      </c>
      <c r="I638" t="inlineStr">
        <is>
          <t>1</t>
        </is>
      </c>
      <c r="J638" t="inlineStr">
        <is>
          <t>No</t>
        </is>
      </c>
      <c r="K638" t="inlineStr">
        <is>
          <t>No</t>
        </is>
      </c>
      <c r="L638" t="inlineStr">
        <is>
          <t>0</t>
        </is>
      </c>
      <c r="N638" t="inlineStr">
        <is>
          <t>Innsbruck, Austria : Innsbruck University Press, c1994.</t>
        </is>
      </c>
      <c r="O638" t="inlineStr">
        <is>
          <t>1994</t>
        </is>
      </c>
      <c r="Q638" t="inlineStr">
        <is>
          <t>eng</t>
        </is>
      </c>
      <c r="R638" t="inlineStr">
        <is>
          <t xml:space="preserve">au </t>
        </is>
      </c>
      <c r="S638" t="inlineStr">
        <is>
          <t>Modern trends in biothermokinetics ; v. 3</t>
        </is>
      </c>
      <c r="T638" t="inlineStr">
        <is>
          <t xml:space="preserve">QP </t>
        </is>
      </c>
      <c r="U638" t="n">
        <v>4</v>
      </c>
      <c r="V638" t="n">
        <v>4</v>
      </c>
      <c r="W638" t="inlineStr">
        <is>
          <t>2009-02-16</t>
        </is>
      </c>
      <c r="X638" t="inlineStr">
        <is>
          <t>2009-02-16</t>
        </is>
      </c>
      <c r="Y638" t="inlineStr">
        <is>
          <t>1996-05-29</t>
        </is>
      </c>
      <c r="Z638" t="inlineStr">
        <is>
          <t>1996-05-29</t>
        </is>
      </c>
      <c r="AA638" t="n">
        <v>55</v>
      </c>
      <c r="AB638" t="n">
        <v>28</v>
      </c>
      <c r="AC638" t="n">
        <v>29</v>
      </c>
      <c r="AD638" t="n">
        <v>1</v>
      </c>
      <c r="AE638" t="n">
        <v>1</v>
      </c>
      <c r="AF638" t="n">
        <v>0</v>
      </c>
      <c r="AG638" t="n">
        <v>0</v>
      </c>
      <c r="AH638" t="n">
        <v>0</v>
      </c>
      <c r="AI638" t="n">
        <v>0</v>
      </c>
      <c r="AJ638" t="n">
        <v>0</v>
      </c>
      <c r="AK638" t="n">
        <v>0</v>
      </c>
      <c r="AL638" t="n">
        <v>0</v>
      </c>
      <c r="AM638" t="n">
        <v>0</v>
      </c>
      <c r="AN638" t="n">
        <v>0</v>
      </c>
      <c r="AO638" t="n">
        <v>0</v>
      </c>
      <c r="AP638" t="n">
        <v>0</v>
      </c>
      <c r="AQ638" t="n">
        <v>0</v>
      </c>
      <c r="AR638" t="inlineStr">
        <is>
          <t>No</t>
        </is>
      </c>
      <c r="AS638" t="inlineStr">
        <is>
          <t>Yes</t>
        </is>
      </c>
      <c r="AT638">
        <f>HYPERLINK("http://catalog.hathitrust.org/Record/007207037","HathiTrust Record")</f>
        <v/>
      </c>
      <c r="AU638">
        <f>HYPERLINK("https://creighton-primo.hosted.exlibrisgroup.com/primo-explore/search?tab=default_tab&amp;search_scope=EVERYTHING&amp;vid=01CRU&amp;lang=en_US&amp;offset=0&amp;query=any,contains,991002525329702656","Catalog Record")</f>
        <v/>
      </c>
      <c r="AV638">
        <f>HYPERLINK("http://www.worldcat.org/oclc/32846037","WorldCat Record")</f>
        <v/>
      </c>
      <c r="AW638" t="inlineStr">
        <is>
          <t>889718817:eng</t>
        </is>
      </c>
      <c r="AX638" t="inlineStr">
        <is>
          <t>32846037</t>
        </is>
      </c>
      <c r="AY638" t="inlineStr">
        <is>
          <t>991002525329702656</t>
        </is>
      </c>
      <c r="AZ638" t="inlineStr">
        <is>
          <t>991002525329702656</t>
        </is>
      </c>
      <c r="BA638" t="inlineStr">
        <is>
          <t>2265909340002656</t>
        </is>
      </c>
      <c r="BB638" t="inlineStr">
        <is>
          <t>BOOK</t>
        </is>
      </c>
      <c r="BD638" t="inlineStr">
        <is>
          <t>9783901249174</t>
        </is>
      </c>
      <c r="BE638" t="inlineStr">
        <is>
          <t>32285002178910</t>
        </is>
      </c>
      <c r="BF638" t="inlineStr">
        <is>
          <t>893251333</t>
        </is>
      </c>
    </row>
    <row r="639">
      <c r="B639" t="inlineStr">
        <is>
          <t>CURAL</t>
        </is>
      </c>
      <c r="C639" t="inlineStr">
        <is>
          <t>SHELVES</t>
        </is>
      </c>
      <c r="D639" t="inlineStr">
        <is>
          <t>QP517.C45 C45 1991</t>
        </is>
      </c>
      <c r="E639" t="inlineStr">
        <is>
          <t>0                      QP 0517000C  45                 C  45          1991</t>
        </is>
      </c>
      <c r="F639" t="inlineStr">
        <is>
          <t>Cell activation : genetic approaches / editors, James J. Mond, John C. Cambier, Arthur Weiss.</t>
        </is>
      </c>
      <c r="H639" t="inlineStr">
        <is>
          <t>No</t>
        </is>
      </c>
      <c r="I639" t="inlineStr">
        <is>
          <t>1</t>
        </is>
      </c>
      <c r="J639" t="inlineStr">
        <is>
          <t>No</t>
        </is>
      </c>
      <c r="K639" t="inlineStr">
        <is>
          <t>No</t>
        </is>
      </c>
      <c r="L639" t="inlineStr">
        <is>
          <t>0</t>
        </is>
      </c>
      <c r="N639" t="inlineStr">
        <is>
          <t>New York : Raven Press, c1991.</t>
        </is>
      </c>
      <c r="O639" t="inlineStr">
        <is>
          <t>1991</t>
        </is>
      </c>
      <c r="Q639" t="inlineStr">
        <is>
          <t>eng</t>
        </is>
      </c>
      <c r="R639" t="inlineStr">
        <is>
          <t>nyu</t>
        </is>
      </c>
      <c r="S639" t="inlineStr">
        <is>
          <t>Advances in regulation of cell growth ; v. 2</t>
        </is>
      </c>
      <c r="T639" t="inlineStr">
        <is>
          <t xml:space="preserve">QP </t>
        </is>
      </c>
      <c r="U639" t="n">
        <v>6</v>
      </c>
      <c r="V639" t="n">
        <v>6</v>
      </c>
      <c r="W639" t="inlineStr">
        <is>
          <t>2002-02-26</t>
        </is>
      </c>
      <c r="X639" t="inlineStr">
        <is>
          <t>2002-02-26</t>
        </is>
      </c>
      <c r="Y639" t="inlineStr">
        <is>
          <t>1992-12-08</t>
        </is>
      </c>
      <c r="Z639" t="inlineStr">
        <is>
          <t>1992-12-08</t>
        </is>
      </c>
      <c r="AA639" t="n">
        <v>123</v>
      </c>
      <c r="AB639" t="n">
        <v>98</v>
      </c>
      <c r="AC639" t="n">
        <v>105</v>
      </c>
      <c r="AD639" t="n">
        <v>1</v>
      </c>
      <c r="AE639" t="n">
        <v>1</v>
      </c>
      <c r="AF639" t="n">
        <v>2</v>
      </c>
      <c r="AG639" t="n">
        <v>2</v>
      </c>
      <c r="AH639" t="n">
        <v>0</v>
      </c>
      <c r="AI639" t="n">
        <v>0</v>
      </c>
      <c r="AJ639" t="n">
        <v>1</v>
      </c>
      <c r="AK639" t="n">
        <v>1</v>
      </c>
      <c r="AL639" t="n">
        <v>2</v>
      </c>
      <c r="AM639" t="n">
        <v>2</v>
      </c>
      <c r="AN639" t="n">
        <v>0</v>
      </c>
      <c r="AO639" t="n">
        <v>0</v>
      </c>
      <c r="AP639" t="n">
        <v>0</v>
      </c>
      <c r="AQ639" t="n">
        <v>0</v>
      </c>
      <c r="AR639" t="inlineStr">
        <is>
          <t>No</t>
        </is>
      </c>
      <c r="AS639" t="inlineStr">
        <is>
          <t>Yes</t>
        </is>
      </c>
      <c r="AT639">
        <f>HYPERLINK("http://catalog.hathitrust.org/Record/002493181","HathiTrust Record")</f>
        <v/>
      </c>
      <c r="AU639">
        <f>HYPERLINK("https://creighton-primo.hosted.exlibrisgroup.com/primo-explore/search?tab=default_tab&amp;search_scope=EVERYTHING&amp;vid=01CRU&amp;lang=en_US&amp;offset=0&amp;query=any,contains,991001889989702656","Catalog Record")</f>
        <v/>
      </c>
      <c r="AV639">
        <f>HYPERLINK("http://www.worldcat.org/oclc/23868152","WorldCat Record")</f>
        <v/>
      </c>
      <c r="AW639" t="inlineStr">
        <is>
          <t>795627773:eng</t>
        </is>
      </c>
      <c r="AX639" t="inlineStr">
        <is>
          <t>23868152</t>
        </is>
      </c>
      <c r="AY639" t="inlineStr">
        <is>
          <t>991001889989702656</t>
        </is>
      </c>
      <c r="AZ639" t="inlineStr">
        <is>
          <t>991001889989702656</t>
        </is>
      </c>
      <c r="BA639" t="inlineStr">
        <is>
          <t>2269186170002656</t>
        </is>
      </c>
      <c r="BB639" t="inlineStr">
        <is>
          <t>BOOK</t>
        </is>
      </c>
      <c r="BD639" t="inlineStr">
        <is>
          <t>9780881678192</t>
        </is>
      </c>
      <c r="BE639" t="inlineStr">
        <is>
          <t>32285001402105</t>
        </is>
      </c>
      <c r="BF639" t="inlineStr">
        <is>
          <t>893691001</t>
        </is>
      </c>
    </row>
    <row r="640">
      <c r="B640" t="inlineStr">
        <is>
          <t>CURAL</t>
        </is>
      </c>
      <c r="C640" t="inlineStr">
        <is>
          <t>SHELVES</t>
        </is>
      </c>
      <c r="D640" t="inlineStr">
        <is>
          <t>QP517.C45 H37 1991</t>
        </is>
      </c>
      <c r="E640" t="inlineStr">
        <is>
          <t>0                      QP 0517000C  45                 H  37          1991</t>
        </is>
      </c>
      <c r="F640" t="inlineStr">
        <is>
          <t>Biochemical messengers : hormones, neurotransmitters, and growth factors / D.G. Hardie.</t>
        </is>
      </c>
      <c r="H640" t="inlineStr">
        <is>
          <t>No</t>
        </is>
      </c>
      <c r="I640" t="inlineStr">
        <is>
          <t>1</t>
        </is>
      </c>
      <c r="J640" t="inlineStr">
        <is>
          <t>No</t>
        </is>
      </c>
      <c r="K640" t="inlineStr">
        <is>
          <t>No</t>
        </is>
      </c>
      <c r="L640" t="inlineStr">
        <is>
          <t>0</t>
        </is>
      </c>
      <c r="M640" t="inlineStr">
        <is>
          <t>Hardie, D. G. (D. Grahame)</t>
        </is>
      </c>
      <c r="N640" t="inlineStr">
        <is>
          <t>London ; New York : Chapman &amp; Hall, 1991.</t>
        </is>
      </c>
      <c r="O640" t="inlineStr">
        <is>
          <t>1991</t>
        </is>
      </c>
      <c r="P640" t="inlineStr">
        <is>
          <t>1st ed.</t>
        </is>
      </c>
      <c r="Q640" t="inlineStr">
        <is>
          <t>eng</t>
        </is>
      </c>
      <c r="R640" t="inlineStr">
        <is>
          <t>enk</t>
        </is>
      </c>
      <c r="T640" t="inlineStr">
        <is>
          <t xml:space="preserve">QP </t>
        </is>
      </c>
      <c r="U640" t="n">
        <v>21</v>
      </c>
      <c r="V640" t="n">
        <v>21</v>
      </c>
      <c r="W640" t="inlineStr">
        <is>
          <t>2001-01-08</t>
        </is>
      </c>
      <c r="X640" t="inlineStr">
        <is>
          <t>2001-01-08</t>
        </is>
      </c>
      <c r="Y640" t="inlineStr">
        <is>
          <t>1991-09-20</t>
        </is>
      </c>
      <c r="Z640" t="inlineStr">
        <is>
          <t>1991-09-20</t>
        </is>
      </c>
      <c r="AA640" t="n">
        <v>529</v>
      </c>
      <c r="AB640" t="n">
        <v>373</v>
      </c>
      <c r="AC640" t="n">
        <v>381</v>
      </c>
      <c r="AD640" t="n">
        <v>3</v>
      </c>
      <c r="AE640" t="n">
        <v>3</v>
      </c>
      <c r="AF640" t="n">
        <v>17</v>
      </c>
      <c r="AG640" t="n">
        <v>17</v>
      </c>
      <c r="AH640" t="n">
        <v>7</v>
      </c>
      <c r="AI640" t="n">
        <v>7</v>
      </c>
      <c r="AJ640" t="n">
        <v>4</v>
      </c>
      <c r="AK640" t="n">
        <v>4</v>
      </c>
      <c r="AL640" t="n">
        <v>11</v>
      </c>
      <c r="AM640" t="n">
        <v>11</v>
      </c>
      <c r="AN640" t="n">
        <v>2</v>
      </c>
      <c r="AO640" t="n">
        <v>2</v>
      </c>
      <c r="AP640" t="n">
        <v>0</v>
      </c>
      <c r="AQ640" t="n">
        <v>0</v>
      </c>
      <c r="AR640" t="inlineStr">
        <is>
          <t>No</t>
        </is>
      </c>
      <c r="AS640" t="inlineStr">
        <is>
          <t>No</t>
        </is>
      </c>
      <c r="AU640">
        <f>HYPERLINK("https://creighton-primo.hosted.exlibrisgroup.com/primo-explore/search?tab=default_tab&amp;search_scope=EVERYTHING&amp;vid=01CRU&amp;lang=en_US&amp;offset=0&amp;query=any,contains,991001854029702656","Catalog Record")</f>
        <v/>
      </c>
      <c r="AV640">
        <f>HYPERLINK("http://www.worldcat.org/oclc/23254606","WorldCat Record")</f>
        <v/>
      </c>
      <c r="AW640" t="inlineStr">
        <is>
          <t>24137717:eng</t>
        </is>
      </c>
      <c r="AX640" t="inlineStr">
        <is>
          <t>23254606</t>
        </is>
      </c>
      <c r="AY640" t="inlineStr">
        <is>
          <t>991001854029702656</t>
        </is>
      </c>
      <c r="AZ640" t="inlineStr">
        <is>
          <t>991001854029702656</t>
        </is>
      </c>
      <c r="BA640" t="inlineStr">
        <is>
          <t>2268599660002656</t>
        </is>
      </c>
      <c r="BB640" t="inlineStr">
        <is>
          <t>BOOK</t>
        </is>
      </c>
      <c r="BD640" t="inlineStr">
        <is>
          <t>9780412303500</t>
        </is>
      </c>
      <c r="BE640" t="inlineStr">
        <is>
          <t>32285000704576</t>
        </is>
      </c>
      <c r="BF640" t="inlineStr">
        <is>
          <t>893261963</t>
        </is>
      </c>
    </row>
    <row r="641">
      <c r="B641" t="inlineStr">
        <is>
          <t>CURAL</t>
        </is>
      </c>
      <c r="C641" t="inlineStr">
        <is>
          <t>SHELVES</t>
        </is>
      </c>
      <c r="D641" t="inlineStr">
        <is>
          <t>QP517.L54 M38 1993</t>
        </is>
      </c>
      <c r="E641" t="inlineStr">
        <is>
          <t>0                      QP 0517000L  54                 M  38          1993</t>
        </is>
      </c>
      <c r="F641" t="inlineStr">
        <is>
          <t>Fundamentals of receptor, enzyme, and transport kinetics / John C. Matthews.</t>
        </is>
      </c>
      <c r="H641" t="inlineStr">
        <is>
          <t>No</t>
        </is>
      </c>
      <c r="I641" t="inlineStr">
        <is>
          <t>1</t>
        </is>
      </c>
      <c r="J641" t="inlineStr">
        <is>
          <t>No</t>
        </is>
      </c>
      <c r="K641" t="inlineStr">
        <is>
          <t>No</t>
        </is>
      </c>
      <c r="L641" t="inlineStr">
        <is>
          <t>0</t>
        </is>
      </c>
      <c r="M641" t="inlineStr">
        <is>
          <t>Matthews, John C. (John Charles)</t>
        </is>
      </c>
      <c r="N641" t="inlineStr">
        <is>
          <t>Boca Raton : CRC Press, c1993.</t>
        </is>
      </c>
      <c r="O641" t="inlineStr">
        <is>
          <t>1993</t>
        </is>
      </c>
      <c r="Q641" t="inlineStr">
        <is>
          <t>eng</t>
        </is>
      </c>
      <c r="R641" t="inlineStr">
        <is>
          <t>flu</t>
        </is>
      </c>
      <c r="T641" t="inlineStr">
        <is>
          <t xml:space="preserve">QP </t>
        </is>
      </c>
      <c r="U641" t="n">
        <v>6</v>
      </c>
      <c r="V641" t="n">
        <v>6</v>
      </c>
      <c r="W641" t="inlineStr">
        <is>
          <t>2006-03-08</t>
        </is>
      </c>
      <c r="X641" t="inlineStr">
        <is>
          <t>2006-03-08</t>
        </is>
      </c>
      <c r="Y641" t="inlineStr">
        <is>
          <t>1996-09-09</t>
        </is>
      </c>
      <c r="Z641" t="inlineStr">
        <is>
          <t>1996-09-09</t>
        </is>
      </c>
      <c r="AA641" t="n">
        <v>188</v>
      </c>
      <c r="AB641" t="n">
        <v>153</v>
      </c>
      <c r="AC641" t="n">
        <v>163</v>
      </c>
      <c r="AD641" t="n">
        <v>1</v>
      </c>
      <c r="AE641" t="n">
        <v>1</v>
      </c>
      <c r="AF641" t="n">
        <v>3</v>
      </c>
      <c r="AG641" t="n">
        <v>3</v>
      </c>
      <c r="AH641" t="n">
        <v>1</v>
      </c>
      <c r="AI641" t="n">
        <v>1</v>
      </c>
      <c r="AJ641" t="n">
        <v>2</v>
      </c>
      <c r="AK641" t="n">
        <v>2</v>
      </c>
      <c r="AL641" t="n">
        <v>1</v>
      </c>
      <c r="AM641" t="n">
        <v>1</v>
      </c>
      <c r="AN641" t="n">
        <v>0</v>
      </c>
      <c r="AO641" t="n">
        <v>0</v>
      </c>
      <c r="AP641" t="n">
        <v>0</v>
      </c>
      <c r="AQ641" t="n">
        <v>0</v>
      </c>
      <c r="AR641" t="inlineStr">
        <is>
          <t>No</t>
        </is>
      </c>
      <c r="AS641" t="inlineStr">
        <is>
          <t>No</t>
        </is>
      </c>
      <c r="AU641">
        <f>HYPERLINK("https://creighton-primo.hosted.exlibrisgroup.com/primo-explore/search?tab=default_tab&amp;search_scope=EVERYTHING&amp;vid=01CRU&amp;lang=en_US&amp;offset=0&amp;query=any,contains,991002117539702656","Catalog Record")</f>
        <v/>
      </c>
      <c r="AV641">
        <f>HYPERLINK("http://www.worldcat.org/oclc/27144953","WorldCat Record")</f>
        <v/>
      </c>
      <c r="AW641" t="inlineStr">
        <is>
          <t>365327153:eng</t>
        </is>
      </c>
      <c r="AX641" t="inlineStr">
        <is>
          <t>27144953</t>
        </is>
      </c>
      <c r="AY641" t="inlineStr">
        <is>
          <t>991002117539702656</t>
        </is>
      </c>
      <c r="AZ641" t="inlineStr">
        <is>
          <t>991002117539702656</t>
        </is>
      </c>
      <c r="BA641" t="inlineStr">
        <is>
          <t>2254806320002656</t>
        </is>
      </c>
      <c r="BB641" t="inlineStr">
        <is>
          <t>BOOK</t>
        </is>
      </c>
      <c r="BD641" t="inlineStr">
        <is>
          <t>9780849344268</t>
        </is>
      </c>
      <c r="BE641" t="inlineStr">
        <is>
          <t>32285002316205</t>
        </is>
      </c>
      <c r="BF641" t="inlineStr">
        <is>
          <t>893621930</t>
        </is>
      </c>
    </row>
    <row r="642">
      <c r="B642" t="inlineStr">
        <is>
          <t>CURAL</t>
        </is>
      </c>
      <c r="C642" t="inlineStr">
        <is>
          <t>SHELVES</t>
        </is>
      </c>
      <c r="D642" t="inlineStr">
        <is>
          <t>QP517.M3 H64 2008</t>
        </is>
      </c>
      <c r="E642" t="inlineStr">
        <is>
          <t>0                      QP 0517000M  3                  H  64          2008</t>
        </is>
      </c>
      <c r="F642" t="inlineStr">
        <is>
          <t>Molecular modeling : basic principles and applications / Hans-Dieter Höltje ... [et al.].</t>
        </is>
      </c>
      <c r="H642" t="inlineStr">
        <is>
          <t>No</t>
        </is>
      </c>
      <c r="I642" t="inlineStr">
        <is>
          <t>1</t>
        </is>
      </c>
      <c r="J642" t="inlineStr">
        <is>
          <t>No</t>
        </is>
      </c>
      <c r="K642" t="inlineStr">
        <is>
          <t>No</t>
        </is>
      </c>
      <c r="L642" t="inlineStr">
        <is>
          <t>0</t>
        </is>
      </c>
      <c r="N642" t="inlineStr">
        <is>
          <t>Weinheim : Wiley-VCH, c2008.</t>
        </is>
      </c>
      <c r="O642" t="inlineStr">
        <is>
          <t>2008</t>
        </is>
      </c>
      <c r="P642" t="inlineStr">
        <is>
          <t>3rd rev. and expanded ed.</t>
        </is>
      </c>
      <c r="Q642" t="inlineStr">
        <is>
          <t>eng</t>
        </is>
      </c>
      <c r="R642" t="inlineStr">
        <is>
          <t xml:space="preserve">gw </t>
        </is>
      </c>
      <c r="T642" t="inlineStr">
        <is>
          <t xml:space="preserve">QP </t>
        </is>
      </c>
      <c r="U642" t="n">
        <v>1</v>
      </c>
      <c r="V642" t="n">
        <v>1</v>
      </c>
      <c r="W642" t="inlineStr">
        <is>
          <t>2008-09-18</t>
        </is>
      </c>
      <c r="X642" t="inlineStr">
        <is>
          <t>2008-09-18</t>
        </is>
      </c>
      <c r="Y642" t="inlineStr">
        <is>
          <t>2008-09-18</t>
        </is>
      </c>
      <c r="Z642" t="inlineStr">
        <is>
          <t>2008-09-18</t>
        </is>
      </c>
      <c r="AA642" t="n">
        <v>275</v>
      </c>
      <c r="AB642" t="n">
        <v>158</v>
      </c>
      <c r="AC642" t="n">
        <v>493</v>
      </c>
      <c r="AD642" t="n">
        <v>3</v>
      </c>
      <c r="AE642" t="n">
        <v>5</v>
      </c>
      <c r="AF642" t="n">
        <v>9</v>
      </c>
      <c r="AG642" t="n">
        <v>24</v>
      </c>
      <c r="AH642" t="n">
        <v>4</v>
      </c>
      <c r="AI642" t="n">
        <v>9</v>
      </c>
      <c r="AJ642" t="n">
        <v>3</v>
      </c>
      <c r="AK642" t="n">
        <v>5</v>
      </c>
      <c r="AL642" t="n">
        <v>3</v>
      </c>
      <c r="AM642" t="n">
        <v>11</v>
      </c>
      <c r="AN642" t="n">
        <v>2</v>
      </c>
      <c r="AO642" t="n">
        <v>4</v>
      </c>
      <c r="AP642" t="n">
        <v>0</v>
      </c>
      <c r="AQ642" t="n">
        <v>0</v>
      </c>
      <c r="AR642" t="inlineStr">
        <is>
          <t>No</t>
        </is>
      </c>
      <c r="AS642" t="inlineStr">
        <is>
          <t>No</t>
        </is>
      </c>
      <c r="AU642">
        <f>HYPERLINK("https://creighton-primo.hosted.exlibrisgroup.com/primo-explore/search?tab=default_tab&amp;search_scope=EVERYTHING&amp;vid=01CRU&amp;lang=en_US&amp;offset=0&amp;query=any,contains,991005262849702656","Catalog Record")</f>
        <v/>
      </c>
      <c r="AV642">
        <f>HYPERLINK("http://www.worldcat.org/oclc/191889943","WorldCat Record")</f>
        <v/>
      </c>
      <c r="AW642" t="inlineStr">
        <is>
          <t>839408233:eng</t>
        </is>
      </c>
      <c r="AX642" t="inlineStr">
        <is>
          <t>191889943</t>
        </is>
      </c>
      <c r="AY642" t="inlineStr">
        <is>
          <t>991005262849702656</t>
        </is>
      </c>
      <c r="AZ642" t="inlineStr">
        <is>
          <t>991005262849702656</t>
        </is>
      </c>
      <c r="BA642" t="inlineStr">
        <is>
          <t>2261275700002656</t>
        </is>
      </c>
      <c r="BB642" t="inlineStr">
        <is>
          <t>BOOK</t>
        </is>
      </c>
      <c r="BD642" t="inlineStr">
        <is>
          <t>9783527315680</t>
        </is>
      </c>
      <c r="BE642" t="inlineStr">
        <is>
          <t>32285005458889</t>
        </is>
      </c>
      <c r="BF642" t="inlineStr">
        <is>
          <t>893418644</t>
        </is>
      </c>
    </row>
    <row r="643">
      <c r="B643" t="inlineStr">
        <is>
          <t>CURAL</t>
        </is>
      </c>
      <c r="C643" t="inlineStr">
        <is>
          <t>SHELVES</t>
        </is>
      </c>
      <c r="D643" t="inlineStr">
        <is>
          <t>QP517.M3 T46 1991</t>
        </is>
      </c>
      <c r="E643" t="inlineStr">
        <is>
          <t>0                      QP 0517000M  3                  T  46          1991</t>
        </is>
      </c>
      <c r="F643" t="inlineStr">
        <is>
          <t>Theoretical biochemistry &amp; molecular biophysics / edited by David L. Beveridge and Richard Lavery.</t>
        </is>
      </c>
      <c r="G643" t="inlineStr">
        <is>
          <t>V.1</t>
        </is>
      </c>
      <c r="H643" t="inlineStr">
        <is>
          <t>Yes</t>
        </is>
      </c>
      <c r="I643" t="inlineStr">
        <is>
          <t>1</t>
        </is>
      </c>
      <c r="J643" t="inlineStr">
        <is>
          <t>No</t>
        </is>
      </c>
      <c r="K643" t="inlineStr">
        <is>
          <t>No</t>
        </is>
      </c>
      <c r="L643" t="inlineStr">
        <is>
          <t>0</t>
        </is>
      </c>
      <c r="N643" t="inlineStr">
        <is>
          <t>Schenectady, NY : Adenine Press, c1991.</t>
        </is>
      </c>
      <c r="O643" t="inlineStr">
        <is>
          <t>1991</t>
        </is>
      </c>
      <c r="Q643" t="inlineStr">
        <is>
          <t>eng</t>
        </is>
      </c>
      <c r="R643" t="inlineStr">
        <is>
          <t>nyu</t>
        </is>
      </c>
      <c r="T643" t="inlineStr">
        <is>
          <t xml:space="preserve">QP </t>
        </is>
      </c>
      <c r="U643" t="n">
        <v>2</v>
      </c>
      <c r="V643" t="n">
        <v>2</v>
      </c>
      <c r="W643" t="inlineStr">
        <is>
          <t>1992-07-14</t>
        </is>
      </c>
      <c r="X643" t="inlineStr">
        <is>
          <t>1992-07-14</t>
        </is>
      </c>
      <c r="Y643" t="inlineStr">
        <is>
          <t>1991-06-11</t>
        </is>
      </c>
      <c r="Z643" t="inlineStr">
        <is>
          <t>1991-06-11</t>
        </is>
      </c>
      <c r="AA643" t="n">
        <v>124</v>
      </c>
      <c r="AB643" t="n">
        <v>102</v>
      </c>
      <c r="AC643" t="n">
        <v>103</v>
      </c>
      <c r="AD643" t="n">
        <v>2</v>
      </c>
      <c r="AE643" t="n">
        <v>2</v>
      </c>
      <c r="AF643" t="n">
        <v>4</v>
      </c>
      <c r="AG643" t="n">
        <v>4</v>
      </c>
      <c r="AH643" t="n">
        <v>1</v>
      </c>
      <c r="AI643" t="n">
        <v>1</v>
      </c>
      <c r="AJ643" t="n">
        <v>1</v>
      </c>
      <c r="AK643" t="n">
        <v>1</v>
      </c>
      <c r="AL643" t="n">
        <v>1</v>
      </c>
      <c r="AM643" t="n">
        <v>1</v>
      </c>
      <c r="AN643" t="n">
        <v>1</v>
      </c>
      <c r="AO643" t="n">
        <v>1</v>
      </c>
      <c r="AP643" t="n">
        <v>0</v>
      </c>
      <c r="AQ643" t="n">
        <v>0</v>
      </c>
      <c r="AR643" t="inlineStr">
        <is>
          <t>No</t>
        </is>
      </c>
      <c r="AS643" t="inlineStr">
        <is>
          <t>Yes</t>
        </is>
      </c>
      <c r="AT643">
        <f>HYPERLINK("http://catalog.hathitrust.org/Record/002444933","HathiTrust Record")</f>
        <v/>
      </c>
      <c r="AU643">
        <f>HYPERLINK("https://creighton-primo.hosted.exlibrisgroup.com/primo-explore/search?tab=default_tab&amp;search_scope=EVERYTHING&amp;vid=01CRU&amp;lang=en_US&amp;offset=0&amp;query=any,contains,991001817969702656","Catalog Record")</f>
        <v/>
      </c>
      <c r="AV643">
        <f>HYPERLINK("http://www.worldcat.org/oclc/22860073","WorldCat Record")</f>
        <v/>
      </c>
      <c r="AW643" t="inlineStr">
        <is>
          <t>5610391823:eng</t>
        </is>
      </c>
      <c r="AX643" t="inlineStr">
        <is>
          <t>22860073</t>
        </is>
      </c>
      <c r="AY643" t="inlineStr">
        <is>
          <t>991001817969702656</t>
        </is>
      </c>
      <c r="AZ643" t="inlineStr">
        <is>
          <t>991001817969702656</t>
        </is>
      </c>
      <c r="BA643" t="inlineStr">
        <is>
          <t>2267019740002656</t>
        </is>
      </c>
      <c r="BB643" t="inlineStr">
        <is>
          <t>BOOK</t>
        </is>
      </c>
      <c r="BD643" t="inlineStr">
        <is>
          <t>9780940030343</t>
        </is>
      </c>
      <c r="BE643" t="inlineStr">
        <is>
          <t>32285000594662</t>
        </is>
      </c>
      <c r="BF643" t="inlineStr">
        <is>
          <t>893779105</t>
        </is>
      </c>
    </row>
    <row r="644">
      <c r="B644" t="inlineStr">
        <is>
          <t>CURAL</t>
        </is>
      </c>
      <c r="C644" t="inlineStr">
        <is>
          <t>SHELVES</t>
        </is>
      </c>
      <c r="D644" t="inlineStr">
        <is>
          <t>QP517.M65 C66 1995</t>
        </is>
      </c>
      <c r="E644" t="inlineStr">
        <is>
          <t>0                      QP 0517000M  65                 C  66          1995</t>
        </is>
      </c>
      <c r="F644" t="inlineStr">
        <is>
          <t>Biological structure and dynamics : proceedings of the ninth Conversation in the Discipline Biomolecular Stereodynamics, held at the State University of New York at Albany, June 20-24, 1995 / edited by R.H. Sarma &amp; M.H. Sarma.</t>
        </is>
      </c>
      <c r="G644" t="inlineStr">
        <is>
          <t>V.1</t>
        </is>
      </c>
      <c r="H644" t="inlineStr">
        <is>
          <t>Yes</t>
        </is>
      </c>
      <c r="I644" t="inlineStr">
        <is>
          <t>1</t>
        </is>
      </c>
      <c r="J644" t="inlineStr">
        <is>
          <t>No</t>
        </is>
      </c>
      <c r="K644" t="inlineStr">
        <is>
          <t>No</t>
        </is>
      </c>
      <c r="L644" t="inlineStr">
        <is>
          <t>0</t>
        </is>
      </c>
      <c r="M644" t="inlineStr">
        <is>
          <t>Conversation in Biomolecular Stereodynamics (9th : 1995 : State University of New York at Albany)</t>
        </is>
      </c>
      <c r="N644" t="inlineStr">
        <is>
          <t>Schenectady, NY, USA : Adenine Press, c1996.</t>
        </is>
      </c>
      <c r="O644" t="inlineStr">
        <is>
          <t>1996</t>
        </is>
      </c>
      <c r="Q644" t="inlineStr">
        <is>
          <t>eng</t>
        </is>
      </c>
      <c r="R644" t="inlineStr">
        <is>
          <t>nyu</t>
        </is>
      </c>
      <c r="T644" t="inlineStr">
        <is>
          <t xml:space="preserve">QP </t>
        </is>
      </c>
      <c r="U644" t="n">
        <v>2</v>
      </c>
      <c r="V644" t="n">
        <v>4</v>
      </c>
      <c r="W644" t="inlineStr">
        <is>
          <t>2009-10-12</t>
        </is>
      </c>
      <c r="X644" t="inlineStr">
        <is>
          <t>2009-10-12</t>
        </is>
      </c>
      <c r="Y644" t="inlineStr">
        <is>
          <t>1996-12-05</t>
        </is>
      </c>
      <c r="Z644" t="inlineStr">
        <is>
          <t>1996-12-05</t>
        </is>
      </c>
      <c r="AA644" t="n">
        <v>58</v>
      </c>
      <c r="AB644" t="n">
        <v>49</v>
      </c>
      <c r="AC644" t="n">
        <v>51</v>
      </c>
      <c r="AD644" t="n">
        <v>1</v>
      </c>
      <c r="AE644" t="n">
        <v>1</v>
      </c>
      <c r="AF644" t="n">
        <v>0</v>
      </c>
      <c r="AG644" t="n">
        <v>0</v>
      </c>
      <c r="AH644" t="n">
        <v>0</v>
      </c>
      <c r="AI644" t="n">
        <v>0</v>
      </c>
      <c r="AJ644" t="n">
        <v>0</v>
      </c>
      <c r="AK644" t="n">
        <v>0</v>
      </c>
      <c r="AL644" t="n">
        <v>0</v>
      </c>
      <c r="AM644" t="n">
        <v>0</v>
      </c>
      <c r="AN644" t="n">
        <v>0</v>
      </c>
      <c r="AO644" t="n">
        <v>0</v>
      </c>
      <c r="AP644" t="n">
        <v>0</v>
      </c>
      <c r="AQ644" t="n">
        <v>0</v>
      </c>
      <c r="AR644" t="inlineStr">
        <is>
          <t>No</t>
        </is>
      </c>
      <c r="AS644" t="inlineStr">
        <is>
          <t>Yes</t>
        </is>
      </c>
      <c r="AT644">
        <f>HYPERLINK("http://catalog.hathitrust.org/Record/003108404","HathiTrust Record")</f>
        <v/>
      </c>
      <c r="AU644">
        <f>HYPERLINK("https://creighton-primo.hosted.exlibrisgroup.com/primo-explore/search?tab=default_tab&amp;search_scope=EVERYTHING&amp;vid=01CRU&amp;lang=en_US&amp;offset=0&amp;query=any,contains,991002653549702656","Catalog Record")</f>
        <v/>
      </c>
      <c r="AV644">
        <f>HYPERLINK("http://www.worldcat.org/oclc/34699500","WorldCat Record")</f>
        <v/>
      </c>
      <c r="AW644" t="inlineStr">
        <is>
          <t>474874874:eng</t>
        </is>
      </c>
      <c r="AX644" t="inlineStr">
        <is>
          <t>34699500</t>
        </is>
      </c>
      <c r="AY644" t="inlineStr">
        <is>
          <t>991002653549702656</t>
        </is>
      </c>
      <c r="AZ644" t="inlineStr">
        <is>
          <t>991002653549702656</t>
        </is>
      </c>
      <c r="BA644" t="inlineStr">
        <is>
          <t>2261974920002656</t>
        </is>
      </c>
      <c r="BB644" t="inlineStr">
        <is>
          <t>BOOK</t>
        </is>
      </c>
      <c r="BD644" t="inlineStr">
        <is>
          <t>9780940030466</t>
        </is>
      </c>
      <c r="BE644" t="inlineStr">
        <is>
          <t>32285002388329</t>
        </is>
      </c>
      <c r="BF644" t="inlineStr">
        <is>
          <t>893329370</t>
        </is>
      </c>
    </row>
    <row r="645">
      <c r="B645" t="inlineStr">
        <is>
          <t>CURAL</t>
        </is>
      </c>
      <c r="C645" t="inlineStr">
        <is>
          <t>SHELVES</t>
        </is>
      </c>
      <c r="D645" t="inlineStr">
        <is>
          <t>QP517.M65 C66 1995</t>
        </is>
      </c>
      <c r="E645" t="inlineStr">
        <is>
          <t>0                      QP 0517000M  65                 C  66          1995</t>
        </is>
      </c>
      <c r="F645" t="inlineStr">
        <is>
          <t>Biological structure and dynamics : proceedings of the ninth Conversation in the Discipline Biomolecular Stereodynamics, held at the State University of New York at Albany, June 20-24, 1995 / edited by R.H. Sarma &amp; M.H. Sarma.</t>
        </is>
      </c>
      <c r="G645" t="inlineStr">
        <is>
          <t>V.2</t>
        </is>
      </c>
      <c r="H645" t="inlineStr">
        <is>
          <t>Yes</t>
        </is>
      </c>
      <c r="I645" t="inlineStr">
        <is>
          <t>1</t>
        </is>
      </c>
      <c r="J645" t="inlineStr">
        <is>
          <t>No</t>
        </is>
      </c>
      <c r="K645" t="inlineStr">
        <is>
          <t>No</t>
        </is>
      </c>
      <c r="L645" t="inlineStr">
        <is>
          <t>0</t>
        </is>
      </c>
      <c r="M645" t="inlineStr">
        <is>
          <t>Conversation in Biomolecular Stereodynamics (9th : 1995 : State University of New York at Albany)</t>
        </is>
      </c>
      <c r="N645" t="inlineStr">
        <is>
          <t>Schenectady, NY, USA : Adenine Press, c1996.</t>
        </is>
      </c>
      <c r="O645" t="inlineStr">
        <is>
          <t>1996</t>
        </is>
      </c>
      <c r="Q645" t="inlineStr">
        <is>
          <t>eng</t>
        </is>
      </c>
      <c r="R645" t="inlineStr">
        <is>
          <t>nyu</t>
        </is>
      </c>
      <c r="T645" t="inlineStr">
        <is>
          <t xml:space="preserve">QP </t>
        </is>
      </c>
      <c r="U645" t="n">
        <v>2</v>
      </c>
      <c r="V645" t="n">
        <v>4</v>
      </c>
      <c r="W645" t="inlineStr">
        <is>
          <t>2009-10-12</t>
        </is>
      </c>
      <c r="X645" t="inlineStr">
        <is>
          <t>2009-10-12</t>
        </is>
      </c>
      <c r="Y645" t="inlineStr">
        <is>
          <t>1996-12-05</t>
        </is>
      </c>
      <c r="Z645" t="inlineStr">
        <is>
          <t>1996-12-05</t>
        </is>
      </c>
      <c r="AA645" t="n">
        <v>58</v>
      </c>
      <c r="AB645" t="n">
        <v>49</v>
      </c>
      <c r="AC645" t="n">
        <v>51</v>
      </c>
      <c r="AD645" t="n">
        <v>1</v>
      </c>
      <c r="AE645" t="n">
        <v>1</v>
      </c>
      <c r="AF645" t="n">
        <v>0</v>
      </c>
      <c r="AG645" t="n">
        <v>0</v>
      </c>
      <c r="AH645" t="n">
        <v>0</v>
      </c>
      <c r="AI645" t="n">
        <v>0</v>
      </c>
      <c r="AJ645" t="n">
        <v>0</v>
      </c>
      <c r="AK645" t="n">
        <v>0</v>
      </c>
      <c r="AL645" t="n">
        <v>0</v>
      </c>
      <c r="AM645" t="n">
        <v>0</v>
      </c>
      <c r="AN645" t="n">
        <v>0</v>
      </c>
      <c r="AO645" t="n">
        <v>0</v>
      </c>
      <c r="AP645" t="n">
        <v>0</v>
      </c>
      <c r="AQ645" t="n">
        <v>0</v>
      </c>
      <c r="AR645" t="inlineStr">
        <is>
          <t>No</t>
        </is>
      </c>
      <c r="AS645" t="inlineStr">
        <is>
          <t>Yes</t>
        </is>
      </c>
      <c r="AT645">
        <f>HYPERLINK("http://catalog.hathitrust.org/Record/003108404","HathiTrust Record")</f>
        <v/>
      </c>
      <c r="AU645">
        <f>HYPERLINK("https://creighton-primo.hosted.exlibrisgroup.com/primo-explore/search?tab=default_tab&amp;search_scope=EVERYTHING&amp;vid=01CRU&amp;lang=en_US&amp;offset=0&amp;query=any,contains,991002653549702656","Catalog Record")</f>
        <v/>
      </c>
      <c r="AV645">
        <f>HYPERLINK("http://www.worldcat.org/oclc/34699500","WorldCat Record")</f>
        <v/>
      </c>
      <c r="AW645" t="inlineStr">
        <is>
          <t>474874874:eng</t>
        </is>
      </c>
      <c r="AX645" t="inlineStr">
        <is>
          <t>34699500</t>
        </is>
      </c>
      <c r="AY645" t="inlineStr">
        <is>
          <t>991002653549702656</t>
        </is>
      </c>
      <c r="AZ645" t="inlineStr">
        <is>
          <t>991002653549702656</t>
        </is>
      </c>
      <c r="BA645" t="inlineStr">
        <is>
          <t>2261974920002656</t>
        </is>
      </c>
      <c r="BB645" t="inlineStr">
        <is>
          <t>BOOK</t>
        </is>
      </c>
      <c r="BD645" t="inlineStr">
        <is>
          <t>9780940030466</t>
        </is>
      </c>
      <c r="BE645" t="inlineStr">
        <is>
          <t>32285002388337</t>
        </is>
      </c>
      <c r="BF645" t="inlineStr">
        <is>
          <t>893329371</t>
        </is>
      </c>
    </row>
    <row r="646">
      <c r="B646" t="inlineStr">
        <is>
          <t>CURAL</t>
        </is>
      </c>
      <c r="C646" t="inlineStr">
        <is>
          <t>SHELVES</t>
        </is>
      </c>
      <c r="D646" t="inlineStr">
        <is>
          <t>QP517.S85 C66 1987</t>
        </is>
      </c>
      <c r="E646" t="inlineStr">
        <is>
          <t>0                      QP 0517000S  85                 C  66          1987</t>
        </is>
      </c>
      <c r="F646" t="inlineStr">
        <is>
          <t>Structure &amp; expression : proceedings of the Fifth Conversation in the Discipline Biomolecular Stereodynamics held at the State University of New York at Albany, June 2-6, 1987 / edited by M.H. Sarma &amp; R.H. Sarma.</t>
        </is>
      </c>
      <c r="H646" t="inlineStr">
        <is>
          <t>Yes</t>
        </is>
      </c>
      <c r="I646" t="inlineStr">
        <is>
          <t>1</t>
        </is>
      </c>
      <c r="J646" t="inlineStr">
        <is>
          <t>No</t>
        </is>
      </c>
      <c r="K646" t="inlineStr">
        <is>
          <t>No</t>
        </is>
      </c>
      <c r="L646" t="inlineStr">
        <is>
          <t>0</t>
        </is>
      </c>
      <c r="M646" t="inlineStr">
        <is>
          <t>Conversation in Biomolecular Stereodynamics (5th : 1987 : State University of New York at Albany)</t>
        </is>
      </c>
      <c r="N646" t="inlineStr">
        <is>
          <t>Schenectady, NY : Adenine Press, c1988.</t>
        </is>
      </c>
      <c r="O646" t="inlineStr">
        <is>
          <t>1988</t>
        </is>
      </c>
      <c r="Q646" t="inlineStr">
        <is>
          <t>eng</t>
        </is>
      </c>
      <c r="R646" t="inlineStr">
        <is>
          <t>nyu</t>
        </is>
      </c>
      <c r="T646" t="inlineStr">
        <is>
          <t xml:space="preserve">QP </t>
        </is>
      </c>
      <c r="U646" t="n">
        <v>2</v>
      </c>
      <c r="V646" t="n">
        <v>2</v>
      </c>
      <c r="W646" t="inlineStr">
        <is>
          <t>1992-01-13</t>
        </is>
      </c>
      <c r="X646" t="inlineStr">
        <is>
          <t>1992-01-13</t>
        </is>
      </c>
      <c r="Y646" t="inlineStr">
        <is>
          <t>1991-12-16</t>
        </is>
      </c>
      <c r="Z646" t="inlineStr">
        <is>
          <t>1991-12-16</t>
        </is>
      </c>
      <c r="AA646" t="n">
        <v>124</v>
      </c>
      <c r="AB646" t="n">
        <v>101</v>
      </c>
      <c r="AC646" t="n">
        <v>103</v>
      </c>
      <c r="AD646" t="n">
        <v>1</v>
      </c>
      <c r="AE646" t="n">
        <v>1</v>
      </c>
      <c r="AF646" t="n">
        <v>1</v>
      </c>
      <c r="AG646" t="n">
        <v>1</v>
      </c>
      <c r="AH646" t="n">
        <v>0</v>
      </c>
      <c r="AI646" t="n">
        <v>0</v>
      </c>
      <c r="AJ646" t="n">
        <v>1</v>
      </c>
      <c r="AK646" t="n">
        <v>1</v>
      </c>
      <c r="AL646" t="n">
        <v>0</v>
      </c>
      <c r="AM646" t="n">
        <v>0</v>
      </c>
      <c r="AN646" t="n">
        <v>0</v>
      </c>
      <c r="AO646" t="n">
        <v>0</v>
      </c>
      <c r="AP646" t="n">
        <v>0</v>
      </c>
      <c r="AQ646" t="n">
        <v>0</v>
      </c>
      <c r="AR646" t="inlineStr">
        <is>
          <t>No</t>
        </is>
      </c>
      <c r="AS646" t="inlineStr">
        <is>
          <t>Yes</t>
        </is>
      </c>
      <c r="AT646">
        <f>HYPERLINK("http://catalog.hathitrust.org/Record/000916303","HathiTrust Record")</f>
        <v/>
      </c>
      <c r="AU646">
        <f>HYPERLINK("https://creighton-primo.hosted.exlibrisgroup.com/primo-explore/search?tab=default_tab&amp;search_scope=EVERYTHING&amp;vid=01CRU&amp;lang=en_US&amp;offset=0&amp;query=any,contains,991001226639702656","Catalog Record")</f>
        <v/>
      </c>
      <c r="AV646">
        <f>HYPERLINK("http://www.worldcat.org/oclc/17508160","WorldCat Record")</f>
        <v/>
      </c>
      <c r="AW646" t="inlineStr">
        <is>
          <t>3768442236:eng</t>
        </is>
      </c>
      <c r="AX646" t="inlineStr">
        <is>
          <t>17508160</t>
        </is>
      </c>
      <c r="AY646" t="inlineStr">
        <is>
          <t>991001226639702656</t>
        </is>
      </c>
      <c r="AZ646" t="inlineStr">
        <is>
          <t>991001226639702656</t>
        </is>
      </c>
      <c r="BA646" t="inlineStr">
        <is>
          <t>2272533500002656</t>
        </is>
      </c>
      <c r="BB646" t="inlineStr">
        <is>
          <t>BOOK</t>
        </is>
      </c>
      <c r="BD646" t="inlineStr">
        <is>
          <t>9780940030244</t>
        </is>
      </c>
      <c r="BE646" t="inlineStr">
        <is>
          <t>32285000860808</t>
        </is>
      </c>
      <c r="BF646" t="inlineStr">
        <is>
          <t>893438982</t>
        </is>
      </c>
    </row>
    <row r="647">
      <c r="B647" t="inlineStr">
        <is>
          <t>CURAL</t>
        </is>
      </c>
      <c r="C647" t="inlineStr">
        <is>
          <t>SHELVES</t>
        </is>
      </c>
      <c r="D647" t="inlineStr">
        <is>
          <t>QP517.T48 A42 2003</t>
        </is>
      </c>
      <c r="E647" t="inlineStr">
        <is>
          <t>0                      QP 0517000T  48                 A  42          2003</t>
        </is>
      </c>
      <c r="F647" t="inlineStr">
        <is>
          <t>Thermodynamics of biochemical reactions / Robert A. Alberty.</t>
        </is>
      </c>
      <c r="H647" t="inlineStr">
        <is>
          <t>No</t>
        </is>
      </c>
      <c r="I647" t="inlineStr">
        <is>
          <t>1</t>
        </is>
      </c>
      <c r="J647" t="inlineStr">
        <is>
          <t>No</t>
        </is>
      </c>
      <c r="K647" t="inlineStr">
        <is>
          <t>No</t>
        </is>
      </c>
      <c r="L647" t="inlineStr">
        <is>
          <t>0</t>
        </is>
      </c>
      <c r="M647" t="inlineStr">
        <is>
          <t>Alberty, Robert A.</t>
        </is>
      </c>
      <c r="N647" t="inlineStr">
        <is>
          <t>Hoboken, N.J. : Wiley-Interscience, c2003.</t>
        </is>
      </c>
      <c r="O647" t="inlineStr">
        <is>
          <t>2003</t>
        </is>
      </c>
      <c r="Q647" t="inlineStr">
        <is>
          <t>eng</t>
        </is>
      </c>
      <c r="R647" t="inlineStr">
        <is>
          <t>nju</t>
        </is>
      </c>
      <c r="T647" t="inlineStr">
        <is>
          <t xml:space="preserve">QP </t>
        </is>
      </c>
      <c r="U647" t="n">
        <v>1</v>
      </c>
      <c r="V647" t="n">
        <v>1</v>
      </c>
      <c r="W647" t="inlineStr">
        <is>
          <t>2005-04-07</t>
        </is>
      </c>
      <c r="X647" t="inlineStr">
        <is>
          <t>2005-04-07</t>
        </is>
      </c>
      <c r="Y647" t="inlineStr">
        <is>
          <t>2005-04-07</t>
        </is>
      </c>
      <c r="Z647" t="inlineStr">
        <is>
          <t>2005-04-07</t>
        </is>
      </c>
      <c r="AA647" t="n">
        <v>465</v>
      </c>
      <c r="AB647" t="n">
        <v>365</v>
      </c>
      <c r="AC647" t="n">
        <v>443</v>
      </c>
      <c r="AD647" t="n">
        <v>7</v>
      </c>
      <c r="AE647" t="n">
        <v>7</v>
      </c>
      <c r="AF647" t="n">
        <v>25</v>
      </c>
      <c r="AG647" t="n">
        <v>25</v>
      </c>
      <c r="AH647" t="n">
        <v>11</v>
      </c>
      <c r="AI647" t="n">
        <v>11</v>
      </c>
      <c r="AJ647" t="n">
        <v>3</v>
      </c>
      <c r="AK647" t="n">
        <v>3</v>
      </c>
      <c r="AL647" t="n">
        <v>10</v>
      </c>
      <c r="AM647" t="n">
        <v>10</v>
      </c>
      <c r="AN647" t="n">
        <v>6</v>
      </c>
      <c r="AO647" t="n">
        <v>6</v>
      </c>
      <c r="AP647" t="n">
        <v>0</v>
      </c>
      <c r="AQ647" t="n">
        <v>0</v>
      </c>
      <c r="AR647" t="inlineStr">
        <is>
          <t>No</t>
        </is>
      </c>
      <c r="AS647" t="inlineStr">
        <is>
          <t>Yes</t>
        </is>
      </c>
      <c r="AT647">
        <f>HYPERLINK("http://catalog.hathitrust.org/Record/004313571","HathiTrust Record")</f>
        <v/>
      </c>
      <c r="AU647">
        <f>HYPERLINK("https://creighton-primo.hosted.exlibrisgroup.com/primo-explore/search?tab=default_tab&amp;search_scope=EVERYTHING&amp;vid=01CRU&amp;lang=en_US&amp;offset=0&amp;query=any,contains,991004495249702656","Catalog Record")</f>
        <v/>
      </c>
      <c r="AV647">
        <f>HYPERLINK("http://www.worldcat.org/oclc/51242181","WorldCat Record")</f>
        <v/>
      </c>
      <c r="AW647" t="inlineStr">
        <is>
          <t>703079:eng</t>
        </is>
      </c>
      <c r="AX647" t="inlineStr">
        <is>
          <t>51242181</t>
        </is>
      </c>
      <c r="AY647" t="inlineStr">
        <is>
          <t>991004495249702656</t>
        </is>
      </c>
      <c r="AZ647" t="inlineStr">
        <is>
          <t>991004495249702656</t>
        </is>
      </c>
      <c r="BA647" t="inlineStr">
        <is>
          <t>2268601870002656</t>
        </is>
      </c>
      <c r="BB647" t="inlineStr">
        <is>
          <t>BOOK</t>
        </is>
      </c>
      <c r="BD647" t="inlineStr">
        <is>
          <t>9780471228516</t>
        </is>
      </c>
      <c r="BE647" t="inlineStr">
        <is>
          <t>32285005048524</t>
        </is>
      </c>
      <c r="BF647" t="inlineStr">
        <is>
          <t>893794918</t>
        </is>
      </c>
    </row>
    <row r="648">
      <c r="B648" t="inlineStr">
        <is>
          <t>CURAL</t>
        </is>
      </c>
      <c r="C648" t="inlineStr">
        <is>
          <t>SHELVES</t>
        </is>
      </c>
      <c r="D648" t="inlineStr">
        <is>
          <t>QP518.3 .M37 1999</t>
        </is>
      </c>
      <c r="E648" t="inlineStr">
        <is>
          <t>0                      QP 0518300M  37          1999</t>
        </is>
      </c>
      <c r="F648" t="inlineStr">
        <is>
          <t>Biochemistry / Dawn B. Marks.</t>
        </is>
      </c>
      <c r="H648" t="inlineStr">
        <is>
          <t>No</t>
        </is>
      </c>
      <c r="I648" t="inlineStr">
        <is>
          <t>1</t>
        </is>
      </c>
      <c r="J648" t="inlineStr">
        <is>
          <t>No</t>
        </is>
      </c>
      <c r="K648" t="inlineStr">
        <is>
          <t>No</t>
        </is>
      </c>
      <c r="L648" t="inlineStr">
        <is>
          <t>0</t>
        </is>
      </c>
      <c r="M648" t="inlineStr">
        <is>
          <t>Marks, Dawn B.</t>
        </is>
      </c>
      <c r="N648" t="inlineStr">
        <is>
          <t>Baltimore : Williams &amp; Wilkins, c1999.</t>
        </is>
      </c>
      <c r="O648" t="inlineStr">
        <is>
          <t>1999</t>
        </is>
      </c>
      <c r="P648" t="inlineStr">
        <is>
          <t>3rd ed.</t>
        </is>
      </c>
      <c r="Q648" t="inlineStr">
        <is>
          <t>eng</t>
        </is>
      </c>
      <c r="R648" t="inlineStr">
        <is>
          <t>mdu</t>
        </is>
      </c>
      <c r="S648" t="inlineStr">
        <is>
          <t>Board review series</t>
        </is>
      </c>
      <c r="T648" t="inlineStr">
        <is>
          <t xml:space="preserve">QP </t>
        </is>
      </c>
      <c r="U648" t="n">
        <v>23</v>
      </c>
      <c r="V648" t="n">
        <v>23</v>
      </c>
      <c r="W648" t="inlineStr">
        <is>
          <t>2009-05-05</t>
        </is>
      </c>
      <c r="X648" t="inlineStr">
        <is>
          <t>2009-05-05</t>
        </is>
      </c>
      <c r="Y648" t="inlineStr">
        <is>
          <t>1999-03-04</t>
        </is>
      </c>
      <c r="Z648" t="inlineStr">
        <is>
          <t>1999-03-04</t>
        </is>
      </c>
      <c r="AA648" t="n">
        <v>153</v>
      </c>
      <c r="AB648" t="n">
        <v>110</v>
      </c>
      <c r="AC648" t="n">
        <v>200</v>
      </c>
      <c r="AD648" t="n">
        <v>1</v>
      </c>
      <c r="AE648" t="n">
        <v>2</v>
      </c>
      <c r="AF648" t="n">
        <v>3</v>
      </c>
      <c r="AG648" t="n">
        <v>7</v>
      </c>
      <c r="AH648" t="n">
        <v>1</v>
      </c>
      <c r="AI648" t="n">
        <v>1</v>
      </c>
      <c r="AJ648" t="n">
        <v>1</v>
      </c>
      <c r="AK648" t="n">
        <v>2</v>
      </c>
      <c r="AL648" t="n">
        <v>1</v>
      </c>
      <c r="AM648" t="n">
        <v>4</v>
      </c>
      <c r="AN648" t="n">
        <v>0</v>
      </c>
      <c r="AO648" t="n">
        <v>1</v>
      </c>
      <c r="AP648" t="n">
        <v>0</v>
      </c>
      <c r="AQ648" t="n">
        <v>0</v>
      </c>
      <c r="AR648" t="inlineStr">
        <is>
          <t>No</t>
        </is>
      </c>
      <c r="AS648" t="inlineStr">
        <is>
          <t>No</t>
        </is>
      </c>
      <c r="AU648">
        <f>HYPERLINK("https://creighton-primo.hosted.exlibrisgroup.com/primo-explore/search?tab=default_tab&amp;search_scope=EVERYTHING&amp;vid=01CRU&amp;lang=en_US&amp;offset=0&amp;query=any,contains,991002956969702656","Catalog Record")</f>
        <v/>
      </c>
      <c r="AV648">
        <f>HYPERLINK("http://www.worldcat.org/oclc/39485297","WorldCat Record")</f>
        <v/>
      </c>
      <c r="AW648" t="inlineStr">
        <is>
          <t>21214827:eng</t>
        </is>
      </c>
      <c r="AX648" t="inlineStr">
        <is>
          <t>39485297</t>
        </is>
      </c>
      <c r="AY648" t="inlineStr">
        <is>
          <t>991002956969702656</t>
        </is>
      </c>
      <c r="AZ648" t="inlineStr">
        <is>
          <t>991002956969702656</t>
        </is>
      </c>
      <c r="BA648" t="inlineStr">
        <is>
          <t>2258911850002656</t>
        </is>
      </c>
      <c r="BB648" t="inlineStr">
        <is>
          <t>BOOK</t>
        </is>
      </c>
      <c r="BD648" t="inlineStr">
        <is>
          <t>9780683304916</t>
        </is>
      </c>
      <c r="BE648" t="inlineStr">
        <is>
          <t>32285003529392</t>
        </is>
      </c>
      <c r="BF648" t="inlineStr">
        <is>
          <t>893257914</t>
        </is>
      </c>
    </row>
    <row r="649">
      <c r="B649" t="inlineStr">
        <is>
          <t>CURAL</t>
        </is>
      </c>
      <c r="C649" t="inlineStr">
        <is>
          <t>SHELVES</t>
        </is>
      </c>
      <c r="D649" t="inlineStr">
        <is>
          <t>QP519 .D79 1989</t>
        </is>
      </c>
      <c r="E649" t="inlineStr">
        <is>
          <t>0                      QP 0519000D  79          1989</t>
        </is>
      </c>
      <c r="F649" t="inlineStr">
        <is>
          <t>Experimental biochemistry / by Robert L. Dryer and Gene F. Lata.</t>
        </is>
      </c>
      <c r="H649" t="inlineStr">
        <is>
          <t>No</t>
        </is>
      </c>
      <c r="I649" t="inlineStr">
        <is>
          <t>1</t>
        </is>
      </c>
      <c r="J649" t="inlineStr">
        <is>
          <t>No</t>
        </is>
      </c>
      <c r="K649" t="inlineStr">
        <is>
          <t>No</t>
        </is>
      </c>
      <c r="L649" t="inlineStr">
        <is>
          <t>0</t>
        </is>
      </c>
      <c r="M649" t="inlineStr">
        <is>
          <t>Dryer, Robert L.</t>
        </is>
      </c>
      <c r="N649" t="inlineStr">
        <is>
          <t>New York : Oxford University Press, 1989.</t>
        </is>
      </c>
      <c r="O649" t="inlineStr">
        <is>
          <t>1989</t>
        </is>
      </c>
      <c r="Q649" t="inlineStr">
        <is>
          <t>eng</t>
        </is>
      </c>
      <c r="R649" t="inlineStr">
        <is>
          <t>nyu</t>
        </is>
      </c>
      <c r="T649" t="inlineStr">
        <is>
          <t xml:space="preserve">QP </t>
        </is>
      </c>
      <c r="U649" t="n">
        <v>5</v>
      </c>
      <c r="V649" t="n">
        <v>5</v>
      </c>
      <c r="W649" t="inlineStr">
        <is>
          <t>1998-07-01</t>
        </is>
      </c>
      <c r="X649" t="inlineStr">
        <is>
          <t>1998-07-01</t>
        </is>
      </c>
      <c r="Y649" t="inlineStr">
        <is>
          <t>1991-11-25</t>
        </is>
      </c>
      <c r="Z649" t="inlineStr">
        <is>
          <t>1991-11-25</t>
        </is>
      </c>
      <c r="AA649" t="n">
        <v>322</v>
      </c>
      <c r="AB649" t="n">
        <v>227</v>
      </c>
      <c r="AC649" t="n">
        <v>231</v>
      </c>
      <c r="AD649" t="n">
        <v>2</v>
      </c>
      <c r="AE649" t="n">
        <v>2</v>
      </c>
      <c r="AF649" t="n">
        <v>5</v>
      </c>
      <c r="AG649" t="n">
        <v>6</v>
      </c>
      <c r="AH649" t="n">
        <v>1</v>
      </c>
      <c r="AI649" t="n">
        <v>2</v>
      </c>
      <c r="AJ649" t="n">
        <v>3</v>
      </c>
      <c r="AK649" t="n">
        <v>3</v>
      </c>
      <c r="AL649" t="n">
        <v>3</v>
      </c>
      <c r="AM649" t="n">
        <v>4</v>
      </c>
      <c r="AN649" t="n">
        <v>1</v>
      </c>
      <c r="AO649" t="n">
        <v>1</v>
      </c>
      <c r="AP649" t="n">
        <v>0</v>
      </c>
      <c r="AQ649" t="n">
        <v>0</v>
      </c>
      <c r="AR649" t="inlineStr">
        <is>
          <t>No</t>
        </is>
      </c>
      <c r="AS649" t="inlineStr">
        <is>
          <t>Yes</t>
        </is>
      </c>
      <c r="AT649">
        <f>HYPERLINK("http://catalog.hathitrust.org/Record/001091068","HathiTrust Record")</f>
        <v/>
      </c>
      <c r="AU649">
        <f>HYPERLINK("https://creighton-primo.hosted.exlibrisgroup.com/primo-explore/search?tab=default_tab&amp;search_scope=EVERYTHING&amp;vid=01CRU&amp;lang=en_US&amp;offset=0&amp;query=any,contains,991001276589702656","Catalog Record")</f>
        <v/>
      </c>
      <c r="AV649">
        <f>HYPERLINK("http://www.worldcat.org/oclc/17875714","WorldCat Record")</f>
        <v/>
      </c>
      <c r="AW649" t="inlineStr">
        <is>
          <t>134213470:eng</t>
        </is>
      </c>
      <c r="AX649" t="inlineStr">
        <is>
          <t>17875714</t>
        </is>
      </c>
      <c r="AY649" t="inlineStr">
        <is>
          <t>991001276589702656</t>
        </is>
      </c>
      <c r="AZ649" t="inlineStr">
        <is>
          <t>991001276589702656</t>
        </is>
      </c>
      <c r="BA649" t="inlineStr">
        <is>
          <t>2270446520002656</t>
        </is>
      </c>
      <c r="BB649" t="inlineStr">
        <is>
          <t>BOOK</t>
        </is>
      </c>
      <c r="BD649" t="inlineStr">
        <is>
          <t>9780195050837</t>
        </is>
      </c>
      <c r="BE649" t="inlineStr">
        <is>
          <t>32285000845478</t>
        </is>
      </c>
      <c r="BF649" t="inlineStr">
        <is>
          <t>893715327</t>
        </is>
      </c>
    </row>
    <row r="650">
      <c r="B650" t="inlineStr">
        <is>
          <t>CURAL</t>
        </is>
      </c>
      <c r="C650" t="inlineStr">
        <is>
          <t>SHELVES</t>
        </is>
      </c>
      <c r="D650" t="inlineStr">
        <is>
          <t>QP519.7 .H64 1993</t>
        </is>
      </c>
      <c r="E650" t="inlineStr">
        <is>
          <t>0                      QP 0519700H  64          1993</t>
        </is>
      </c>
      <c r="F650" t="inlineStr">
        <is>
          <t>Analytical biochemistry / David J. Holme and Hazel Peck.</t>
        </is>
      </c>
      <c r="H650" t="inlineStr">
        <is>
          <t>No</t>
        </is>
      </c>
      <c r="I650" t="inlineStr">
        <is>
          <t>1</t>
        </is>
      </c>
      <c r="J650" t="inlineStr">
        <is>
          <t>No</t>
        </is>
      </c>
      <c r="K650" t="inlineStr">
        <is>
          <t>No</t>
        </is>
      </c>
      <c r="L650" t="inlineStr">
        <is>
          <t>0</t>
        </is>
      </c>
      <c r="M650" t="inlineStr">
        <is>
          <t>Holme, David J. (David James), 1934-</t>
        </is>
      </c>
      <c r="N650" t="inlineStr">
        <is>
          <t>Burnt Mill, Harlow, Essex, England : Longman Scientific &amp; Technical ; New York : Copublished in the U.S. with Wiley, 1993.</t>
        </is>
      </c>
      <c r="O650" t="inlineStr">
        <is>
          <t>1993</t>
        </is>
      </c>
      <c r="P650" t="inlineStr">
        <is>
          <t>2nd ed.</t>
        </is>
      </c>
      <c r="Q650" t="inlineStr">
        <is>
          <t>eng</t>
        </is>
      </c>
      <c r="R650" t="inlineStr">
        <is>
          <t>enk</t>
        </is>
      </c>
      <c r="T650" t="inlineStr">
        <is>
          <t xml:space="preserve">QP </t>
        </is>
      </c>
      <c r="U650" t="n">
        <v>15</v>
      </c>
      <c r="V650" t="n">
        <v>15</v>
      </c>
      <c r="W650" t="inlineStr">
        <is>
          <t>2005-04-29</t>
        </is>
      </c>
      <c r="X650" t="inlineStr">
        <is>
          <t>2005-04-29</t>
        </is>
      </c>
      <c r="Y650" t="inlineStr">
        <is>
          <t>1994-04-25</t>
        </is>
      </c>
      <c r="Z650" t="inlineStr">
        <is>
          <t>1994-04-25</t>
        </is>
      </c>
      <c r="AA650" t="n">
        <v>318</v>
      </c>
      <c r="AB650" t="n">
        <v>169</v>
      </c>
      <c r="AC650" t="n">
        <v>333</v>
      </c>
      <c r="AD650" t="n">
        <v>1</v>
      </c>
      <c r="AE650" t="n">
        <v>3</v>
      </c>
      <c r="AF650" t="n">
        <v>7</v>
      </c>
      <c r="AG650" t="n">
        <v>14</v>
      </c>
      <c r="AH650" t="n">
        <v>1</v>
      </c>
      <c r="AI650" t="n">
        <v>3</v>
      </c>
      <c r="AJ650" t="n">
        <v>4</v>
      </c>
      <c r="AK650" t="n">
        <v>5</v>
      </c>
      <c r="AL650" t="n">
        <v>4</v>
      </c>
      <c r="AM650" t="n">
        <v>8</v>
      </c>
      <c r="AN650" t="n">
        <v>0</v>
      </c>
      <c r="AO650" t="n">
        <v>2</v>
      </c>
      <c r="AP650" t="n">
        <v>0</v>
      </c>
      <c r="AQ650" t="n">
        <v>0</v>
      </c>
      <c r="AR650" t="inlineStr">
        <is>
          <t>No</t>
        </is>
      </c>
      <c r="AS650" t="inlineStr">
        <is>
          <t>Yes</t>
        </is>
      </c>
      <c r="AT650">
        <f>HYPERLINK("http://catalog.hathitrust.org/Record/002643246","HathiTrust Record")</f>
        <v/>
      </c>
      <c r="AU650">
        <f>HYPERLINK("https://creighton-primo.hosted.exlibrisgroup.com/primo-explore/search?tab=default_tab&amp;search_scope=EVERYTHING&amp;vid=01CRU&amp;lang=en_US&amp;offset=0&amp;query=any,contains,991002032099702656","Catalog Record")</f>
        <v/>
      </c>
      <c r="AV650">
        <f>HYPERLINK("http://www.worldcat.org/oclc/25873509","WorldCat Record")</f>
        <v/>
      </c>
      <c r="AW650" t="inlineStr">
        <is>
          <t>19059476:eng</t>
        </is>
      </c>
      <c r="AX650" t="inlineStr">
        <is>
          <t>25873509</t>
        </is>
      </c>
      <c r="AY650" t="inlineStr">
        <is>
          <t>991002032099702656</t>
        </is>
      </c>
      <c r="AZ650" t="inlineStr">
        <is>
          <t>991002032099702656</t>
        </is>
      </c>
      <c r="BA650" t="inlineStr">
        <is>
          <t>2269607280002656</t>
        </is>
      </c>
      <c r="BB650" t="inlineStr">
        <is>
          <t>BOOK</t>
        </is>
      </c>
      <c r="BD650" t="inlineStr">
        <is>
          <t>9780470220450</t>
        </is>
      </c>
      <c r="BE650" t="inlineStr">
        <is>
          <t>32285001877355</t>
        </is>
      </c>
      <c r="BF650" t="inlineStr">
        <is>
          <t>893414746</t>
        </is>
      </c>
    </row>
    <row r="651">
      <c r="B651" t="inlineStr">
        <is>
          <t>CURAL</t>
        </is>
      </c>
      <c r="C651" t="inlineStr">
        <is>
          <t>SHELVES</t>
        </is>
      </c>
      <c r="D651" t="inlineStr">
        <is>
          <t>QP519.7 .M36 2004</t>
        </is>
      </c>
      <c r="E651" t="inlineStr">
        <is>
          <t>0                      QP 0519700M  36          2004</t>
        </is>
      </c>
      <c r="F651" t="inlineStr">
        <is>
          <t>Bioanalytical chemistry / Andreas Manz, Nicole Pamme, Dimitri Iossifidis.</t>
        </is>
      </c>
      <c r="H651" t="inlineStr">
        <is>
          <t>No</t>
        </is>
      </c>
      <c r="I651" t="inlineStr">
        <is>
          <t>1</t>
        </is>
      </c>
      <c r="J651" t="inlineStr">
        <is>
          <t>No</t>
        </is>
      </c>
      <c r="K651" t="inlineStr">
        <is>
          <t>No</t>
        </is>
      </c>
      <c r="L651" t="inlineStr">
        <is>
          <t>0</t>
        </is>
      </c>
      <c r="M651" t="inlineStr">
        <is>
          <t>Manz, A. (Andreas)</t>
        </is>
      </c>
      <c r="N651" t="inlineStr">
        <is>
          <t>London : Imperial College Press ; River Edge, NJ : Distributed by World Scientific Pub., c2004.</t>
        </is>
      </c>
      <c r="O651" t="inlineStr">
        <is>
          <t>2004</t>
        </is>
      </c>
      <c r="Q651" t="inlineStr">
        <is>
          <t>eng</t>
        </is>
      </c>
      <c r="R651" t="inlineStr">
        <is>
          <t>enk</t>
        </is>
      </c>
      <c r="T651" t="inlineStr">
        <is>
          <t xml:space="preserve">QP </t>
        </is>
      </c>
      <c r="U651" t="n">
        <v>2</v>
      </c>
      <c r="V651" t="n">
        <v>2</v>
      </c>
      <c r="W651" t="inlineStr">
        <is>
          <t>2006-03-06</t>
        </is>
      </c>
      <c r="X651" t="inlineStr">
        <is>
          <t>2006-03-06</t>
        </is>
      </c>
      <c r="Y651" t="inlineStr">
        <is>
          <t>2006-02-08</t>
        </is>
      </c>
      <c r="Z651" t="inlineStr">
        <is>
          <t>2006-02-08</t>
        </is>
      </c>
      <c r="AA651" t="n">
        <v>367</v>
      </c>
      <c r="AB651" t="n">
        <v>237</v>
      </c>
      <c r="AC651" t="n">
        <v>590</v>
      </c>
      <c r="AD651" t="n">
        <v>3</v>
      </c>
      <c r="AE651" t="n">
        <v>8</v>
      </c>
      <c r="AF651" t="n">
        <v>14</v>
      </c>
      <c r="AG651" t="n">
        <v>25</v>
      </c>
      <c r="AH651" t="n">
        <v>3</v>
      </c>
      <c r="AI651" t="n">
        <v>8</v>
      </c>
      <c r="AJ651" t="n">
        <v>4</v>
      </c>
      <c r="AK651" t="n">
        <v>4</v>
      </c>
      <c r="AL651" t="n">
        <v>7</v>
      </c>
      <c r="AM651" t="n">
        <v>9</v>
      </c>
      <c r="AN651" t="n">
        <v>2</v>
      </c>
      <c r="AO651" t="n">
        <v>7</v>
      </c>
      <c r="AP651" t="n">
        <v>0</v>
      </c>
      <c r="AQ651" t="n">
        <v>0</v>
      </c>
      <c r="AR651" t="inlineStr">
        <is>
          <t>No</t>
        </is>
      </c>
      <c r="AS651" t="inlineStr">
        <is>
          <t>No</t>
        </is>
      </c>
      <c r="AU651">
        <f>HYPERLINK("https://creighton-primo.hosted.exlibrisgroup.com/primo-explore/search?tab=default_tab&amp;search_scope=EVERYTHING&amp;vid=01CRU&amp;lang=en_US&amp;offset=0&amp;query=any,contains,991004724689702656","Catalog Record")</f>
        <v/>
      </c>
      <c r="AV651">
        <f>HYPERLINK("http://www.worldcat.org/oclc/56138932","WorldCat Record")</f>
        <v/>
      </c>
      <c r="AW651" t="inlineStr">
        <is>
          <t>3922897192:eng</t>
        </is>
      </c>
      <c r="AX651" t="inlineStr">
        <is>
          <t>56138932</t>
        </is>
      </c>
      <c r="AY651" t="inlineStr">
        <is>
          <t>991004724689702656</t>
        </is>
      </c>
      <c r="AZ651" t="inlineStr">
        <is>
          <t>991004724689702656</t>
        </is>
      </c>
      <c r="BA651" t="inlineStr">
        <is>
          <t>2264184370002656</t>
        </is>
      </c>
      <c r="BB651" t="inlineStr">
        <is>
          <t>BOOK</t>
        </is>
      </c>
      <c r="BD651" t="inlineStr">
        <is>
          <t>9781860943706</t>
        </is>
      </c>
      <c r="BE651" t="inlineStr">
        <is>
          <t>32285005157911</t>
        </is>
      </c>
      <c r="BF651" t="inlineStr">
        <is>
          <t>893229757</t>
        </is>
      </c>
    </row>
    <row r="652">
      <c r="B652" t="inlineStr">
        <is>
          <t>CURAL</t>
        </is>
      </c>
      <c r="C652" t="inlineStr">
        <is>
          <t>SHELVES</t>
        </is>
      </c>
      <c r="D652" t="inlineStr">
        <is>
          <t>QP519.7 .P75 1994</t>
        </is>
      </c>
      <c r="E652" t="inlineStr">
        <is>
          <t>0                      QP 0519700P  75          1994</t>
        </is>
      </c>
      <c r="F652" t="inlineStr">
        <is>
          <t>Principles and techniques of practical biochemistry / edited by Keith Wilson and John M. Walker.</t>
        </is>
      </c>
      <c r="H652" t="inlineStr">
        <is>
          <t>No</t>
        </is>
      </c>
      <c r="I652" t="inlineStr">
        <is>
          <t>1</t>
        </is>
      </c>
      <c r="J652" t="inlineStr">
        <is>
          <t>No</t>
        </is>
      </c>
      <c r="K652" t="inlineStr">
        <is>
          <t>No</t>
        </is>
      </c>
      <c r="L652" t="inlineStr">
        <is>
          <t>0</t>
        </is>
      </c>
      <c r="N652" t="inlineStr">
        <is>
          <t>Cambridge ; New York : Cambridge University Press, 1994.</t>
        </is>
      </c>
      <c r="O652" t="inlineStr">
        <is>
          <t>1994</t>
        </is>
      </c>
      <c r="P652" t="inlineStr">
        <is>
          <t>4th ed.</t>
        </is>
      </c>
      <c r="Q652" t="inlineStr">
        <is>
          <t>eng</t>
        </is>
      </c>
      <c r="R652" t="inlineStr">
        <is>
          <t>enk</t>
        </is>
      </c>
      <c r="T652" t="inlineStr">
        <is>
          <t xml:space="preserve">QP </t>
        </is>
      </c>
      <c r="U652" t="n">
        <v>20</v>
      </c>
      <c r="V652" t="n">
        <v>20</v>
      </c>
      <c r="W652" t="inlineStr">
        <is>
          <t>2006-10-27</t>
        </is>
      </c>
      <c r="X652" t="inlineStr">
        <is>
          <t>2006-10-27</t>
        </is>
      </c>
      <c r="Y652" t="inlineStr">
        <is>
          <t>1995-08-16</t>
        </is>
      </c>
      <c r="Z652" t="inlineStr">
        <is>
          <t>1995-08-16</t>
        </is>
      </c>
      <c r="AA652" t="n">
        <v>377</v>
      </c>
      <c r="AB652" t="n">
        <v>207</v>
      </c>
      <c r="AC652" t="n">
        <v>374</v>
      </c>
      <c r="AD652" t="n">
        <v>2</v>
      </c>
      <c r="AE652" t="n">
        <v>4</v>
      </c>
      <c r="AF652" t="n">
        <v>8</v>
      </c>
      <c r="AG652" t="n">
        <v>17</v>
      </c>
      <c r="AH652" t="n">
        <v>2</v>
      </c>
      <c r="AI652" t="n">
        <v>5</v>
      </c>
      <c r="AJ652" t="n">
        <v>2</v>
      </c>
      <c r="AK652" t="n">
        <v>4</v>
      </c>
      <c r="AL652" t="n">
        <v>7</v>
      </c>
      <c r="AM652" t="n">
        <v>10</v>
      </c>
      <c r="AN652" t="n">
        <v>1</v>
      </c>
      <c r="AO652" t="n">
        <v>3</v>
      </c>
      <c r="AP652" t="n">
        <v>0</v>
      </c>
      <c r="AQ652" t="n">
        <v>0</v>
      </c>
      <c r="AR652" t="inlineStr">
        <is>
          <t>No</t>
        </is>
      </c>
      <c r="AS652" t="inlineStr">
        <is>
          <t>No</t>
        </is>
      </c>
      <c r="AU652">
        <f>HYPERLINK("https://creighton-primo.hosted.exlibrisgroup.com/primo-explore/search?tab=default_tab&amp;search_scope=EVERYTHING&amp;vid=01CRU&amp;lang=en_US&amp;offset=0&amp;query=any,contains,991002141079702656","Catalog Record")</f>
        <v/>
      </c>
      <c r="AV652">
        <f>HYPERLINK("http://www.worldcat.org/oclc/27431977","WorldCat Record")</f>
        <v/>
      </c>
      <c r="AW652" t="inlineStr">
        <is>
          <t>3901318530:eng</t>
        </is>
      </c>
      <c r="AX652" t="inlineStr">
        <is>
          <t>27431977</t>
        </is>
      </c>
      <c r="AY652" t="inlineStr">
        <is>
          <t>991002141079702656</t>
        </is>
      </c>
      <c r="AZ652" t="inlineStr">
        <is>
          <t>991002141079702656</t>
        </is>
      </c>
      <c r="BA652" t="inlineStr">
        <is>
          <t>2264506760002656</t>
        </is>
      </c>
      <c r="BB652" t="inlineStr">
        <is>
          <t>BOOK</t>
        </is>
      </c>
      <c r="BD652" t="inlineStr">
        <is>
          <t>9780521417693</t>
        </is>
      </c>
      <c r="BE652" t="inlineStr">
        <is>
          <t>32285002077765</t>
        </is>
      </c>
      <c r="BF652" t="inlineStr">
        <is>
          <t>893721299</t>
        </is>
      </c>
    </row>
    <row r="653">
      <c r="B653" t="inlineStr">
        <is>
          <t>CURAL</t>
        </is>
      </c>
      <c r="C653" t="inlineStr">
        <is>
          <t>SHELVES</t>
        </is>
      </c>
      <c r="D653" t="inlineStr">
        <is>
          <t>QP519.9.C36 K84 1993</t>
        </is>
      </c>
      <c r="E653" t="inlineStr">
        <is>
          <t>0                      QP 0519900C  36                 K  84          1993</t>
        </is>
      </c>
      <c r="F653" t="inlineStr">
        <is>
          <t>Capillary electrophoresis : principles and practice / R. Kuhn, S. Hoffstetter-Kuhn.</t>
        </is>
      </c>
      <c r="H653" t="inlineStr">
        <is>
          <t>No</t>
        </is>
      </c>
      <c r="I653" t="inlineStr">
        <is>
          <t>1</t>
        </is>
      </c>
      <c r="J653" t="inlineStr">
        <is>
          <t>No</t>
        </is>
      </c>
      <c r="K653" t="inlineStr">
        <is>
          <t>No</t>
        </is>
      </c>
      <c r="L653" t="inlineStr">
        <is>
          <t>0</t>
        </is>
      </c>
      <c r="M653" t="inlineStr">
        <is>
          <t>Kuhn, R. (Reinhard), 1956-</t>
        </is>
      </c>
      <c r="N653" t="inlineStr">
        <is>
          <t>Berlin ; New York ; Springer-Verlag, c1993.</t>
        </is>
      </c>
      <c r="O653" t="inlineStr">
        <is>
          <t>1993</t>
        </is>
      </c>
      <c r="Q653" t="inlineStr">
        <is>
          <t>eng</t>
        </is>
      </c>
      <c r="R653" t="inlineStr">
        <is>
          <t xml:space="preserve">gw </t>
        </is>
      </c>
      <c r="T653" t="inlineStr">
        <is>
          <t xml:space="preserve">QP </t>
        </is>
      </c>
      <c r="U653" t="n">
        <v>4</v>
      </c>
      <c r="V653" t="n">
        <v>4</v>
      </c>
      <c r="W653" t="inlineStr">
        <is>
          <t>2005-10-04</t>
        </is>
      </c>
      <c r="X653" t="inlineStr">
        <is>
          <t>2005-10-04</t>
        </is>
      </c>
      <c r="Y653" t="inlineStr">
        <is>
          <t>1994-12-21</t>
        </is>
      </c>
      <c r="Z653" t="inlineStr">
        <is>
          <t>1994-12-21</t>
        </is>
      </c>
      <c r="AA653" t="n">
        <v>271</v>
      </c>
      <c r="AB653" t="n">
        <v>161</v>
      </c>
      <c r="AC653" t="n">
        <v>179</v>
      </c>
      <c r="AD653" t="n">
        <v>2</v>
      </c>
      <c r="AE653" t="n">
        <v>2</v>
      </c>
      <c r="AF653" t="n">
        <v>5</v>
      </c>
      <c r="AG653" t="n">
        <v>5</v>
      </c>
      <c r="AH653" t="n">
        <v>1</v>
      </c>
      <c r="AI653" t="n">
        <v>1</v>
      </c>
      <c r="AJ653" t="n">
        <v>2</v>
      </c>
      <c r="AK653" t="n">
        <v>2</v>
      </c>
      <c r="AL653" t="n">
        <v>3</v>
      </c>
      <c r="AM653" t="n">
        <v>3</v>
      </c>
      <c r="AN653" t="n">
        <v>1</v>
      </c>
      <c r="AO653" t="n">
        <v>1</v>
      </c>
      <c r="AP653" t="n">
        <v>0</v>
      </c>
      <c r="AQ653" t="n">
        <v>0</v>
      </c>
      <c r="AR653" t="inlineStr">
        <is>
          <t>No</t>
        </is>
      </c>
      <c r="AS653" t="inlineStr">
        <is>
          <t>Yes</t>
        </is>
      </c>
      <c r="AT653">
        <f>HYPERLINK("http://catalog.hathitrust.org/Record/002730344","HathiTrust Record")</f>
        <v/>
      </c>
      <c r="AU653">
        <f>HYPERLINK("https://creighton-primo.hosted.exlibrisgroup.com/primo-explore/search?tab=default_tab&amp;search_scope=EVERYTHING&amp;vid=01CRU&amp;lang=en_US&amp;offset=0&amp;query=any,contains,991002173209702656","Catalog Record")</f>
        <v/>
      </c>
      <c r="AV653">
        <f>HYPERLINK("http://www.worldcat.org/oclc/27974851","WorldCat Record")</f>
        <v/>
      </c>
      <c r="AW653" t="inlineStr">
        <is>
          <t>890381932:eng</t>
        </is>
      </c>
      <c r="AX653" t="inlineStr">
        <is>
          <t>27974851</t>
        </is>
      </c>
      <c r="AY653" t="inlineStr">
        <is>
          <t>991002173209702656</t>
        </is>
      </c>
      <c r="AZ653" t="inlineStr">
        <is>
          <t>991002173209702656</t>
        </is>
      </c>
      <c r="BA653" t="inlineStr">
        <is>
          <t>2261890620002656</t>
        </is>
      </c>
      <c r="BB653" t="inlineStr">
        <is>
          <t>BOOK</t>
        </is>
      </c>
      <c r="BD653" t="inlineStr">
        <is>
          <t>9780387564340</t>
        </is>
      </c>
      <c r="BE653" t="inlineStr">
        <is>
          <t>32285001978005</t>
        </is>
      </c>
      <c r="BF653" t="inlineStr">
        <is>
          <t>893238726</t>
        </is>
      </c>
    </row>
    <row r="654">
      <c r="B654" t="inlineStr">
        <is>
          <t>CURAL</t>
        </is>
      </c>
      <c r="C654" t="inlineStr">
        <is>
          <t>SHELVES</t>
        </is>
      </c>
      <c r="D654" t="inlineStr">
        <is>
          <t>QP519.9.C36 W45 2000</t>
        </is>
      </c>
      <c r="E654" t="inlineStr">
        <is>
          <t>0                      QP 0519900C  36                 W  45          2000</t>
        </is>
      </c>
      <c r="F654" t="inlineStr">
        <is>
          <t>Practical capillary electrophoresis / Robert Weinberger.</t>
        </is>
      </c>
      <c r="H654" t="inlineStr">
        <is>
          <t>No</t>
        </is>
      </c>
      <c r="I654" t="inlineStr">
        <is>
          <t>1</t>
        </is>
      </c>
      <c r="J654" t="inlineStr">
        <is>
          <t>No</t>
        </is>
      </c>
      <c r="K654" t="inlineStr">
        <is>
          <t>No</t>
        </is>
      </c>
      <c r="L654" t="inlineStr">
        <is>
          <t>0</t>
        </is>
      </c>
      <c r="M654" t="inlineStr">
        <is>
          <t>Weinberger, Robert.</t>
        </is>
      </c>
      <c r="N654" t="inlineStr">
        <is>
          <t>San Diego, CA : Academic Press, c2000.</t>
        </is>
      </c>
      <c r="O654" t="inlineStr">
        <is>
          <t>2000</t>
        </is>
      </c>
      <c r="P654" t="inlineStr">
        <is>
          <t>2nd ed.</t>
        </is>
      </c>
      <c r="Q654" t="inlineStr">
        <is>
          <t>eng</t>
        </is>
      </c>
      <c r="R654" t="inlineStr">
        <is>
          <t>cau</t>
        </is>
      </c>
      <c r="T654" t="inlineStr">
        <is>
          <t xml:space="preserve">QP </t>
        </is>
      </c>
      <c r="U654" t="n">
        <v>3</v>
      </c>
      <c r="V654" t="n">
        <v>3</v>
      </c>
      <c r="W654" t="inlineStr">
        <is>
          <t>2006-06-20</t>
        </is>
      </c>
      <c r="X654" t="inlineStr">
        <is>
          <t>2006-06-20</t>
        </is>
      </c>
      <c r="Y654" t="inlineStr">
        <is>
          <t>2005-11-19</t>
        </is>
      </c>
      <c r="Z654" t="inlineStr">
        <is>
          <t>2005-11-19</t>
        </is>
      </c>
      <c r="AA654" t="n">
        <v>232</v>
      </c>
      <c r="AB654" t="n">
        <v>170</v>
      </c>
      <c r="AC654" t="n">
        <v>332</v>
      </c>
      <c r="AD654" t="n">
        <v>2</v>
      </c>
      <c r="AE654" t="n">
        <v>2</v>
      </c>
      <c r="AF654" t="n">
        <v>10</v>
      </c>
      <c r="AG654" t="n">
        <v>13</v>
      </c>
      <c r="AH654" t="n">
        <v>3</v>
      </c>
      <c r="AI654" t="n">
        <v>4</v>
      </c>
      <c r="AJ654" t="n">
        <v>2</v>
      </c>
      <c r="AK654" t="n">
        <v>4</v>
      </c>
      <c r="AL654" t="n">
        <v>6</v>
      </c>
      <c r="AM654" t="n">
        <v>7</v>
      </c>
      <c r="AN654" t="n">
        <v>1</v>
      </c>
      <c r="AO654" t="n">
        <v>1</v>
      </c>
      <c r="AP654" t="n">
        <v>0</v>
      </c>
      <c r="AQ654" t="n">
        <v>0</v>
      </c>
      <c r="AR654" t="inlineStr">
        <is>
          <t>No</t>
        </is>
      </c>
      <c r="AS654" t="inlineStr">
        <is>
          <t>Yes</t>
        </is>
      </c>
      <c r="AT654">
        <f>HYPERLINK("http://catalog.hathitrust.org/Record/004088038","HathiTrust Record")</f>
        <v/>
      </c>
      <c r="AU654">
        <f>HYPERLINK("https://creighton-primo.hosted.exlibrisgroup.com/primo-explore/search?tab=default_tab&amp;search_scope=EVERYTHING&amp;vid=01CRU&amp;lang=en_US&amp;offset=0&amp;query=any,contains,991004687249702656","Catalog Record")</f>
        <v/>
      </c>
      <c r="AV654">
        <f>HYPERLINK("http://www.worldcat.org/oclc/43070163","WorldCat Record")</f>
        <v/>
      </c>
      <c r="AW654" t="inlineStr">
        <is>
          <t>27960714:eng</t>
        </is>
      </c>
      <c r="AX654" t="inlineStr">
        <is>
          <t>43070163</t>
        </is>
      </c>
      <c r="AY654" t="inlineStr">
        <is>
          <t>991004687249702656</t>
        </is>
      </c>
      <c r="AZ654" t="inlineStr">
        <is>
          <t>991004687249702656</t>
        </is>
      </c>
      <c r="BA654" t="inlineStr">
        <is>
          <t>2264439620002656</t>
        </is>
      </c>
      <c r="BB654" t="inlineStr">
        <is>
          <t>BOOK</t>
        </is>
      </c>
      <c r="BD654" t="inlineStr">
        <is>
          <t>9780127423562</t>
        </is>
      </c>
      <c r="BE654" t="inlineStr">
        <is>
          <t>32285005148456</t>
        </is>
      </c>
      <c r="BF654" t="inlineStr">
        <is>
          <t>893446336</t>
        </is>
      </c>
    </row>
    <row r="655">
      <c r="B655" t="inlineStr">
        <is>
          <t>CURAL</t>
        </is>
      </c>
      <c r="C655" t="inlineStr">
        <is>
          <t>SHELVES</t>
        </is>
      </c>
      <c r="D655" t="inlineStr">
        <is>
          <t>QP519.9.C44 S53</t>
        </is>
      </c>
      <c r="E655" t="inlineStr">
        <is>
          <t>0                      QP 0519900C  44                 S  53</t>
        </is>
      </c>
      <c r="F655" t="inlineStr">
        <is>
          <t>Centrifugation in biology and medical science / Phillip Sheeler.</t>
        </is>
      </c>
      <c r="H655" t="inlineStr">
        <is>
          <t>No</t>
        </is>
      </c>
      <c r="I655" t="inlineStr">
        <is>
          <t>1</t>
        </is>
      </c>
      <c r="J655" t="inlineStr">
        <is>
          <t>Yes</t>
        </is>
      </c>
      <c r="K655" t="inlineStr">
        <is>
          <t>No</t>
        </is>
      </c>
      <c r="L655" t="inlineStr">
        <is>
          <t>0</t>
        </is>
      </c>
      <c r="M655" t="inlineStr">
        <is>
          <t>Sheeler, Phillip.</t>
        </is>
      </c>
      <c r="N655" t="inlineStr">
        <is>
          <t>New York : Wiley, c1981.</t>
        </is>
      </c>
      <c r="O655" t="inlineStr">
        <is>
          <t>1981</t>
        </is>
      </c>
      <c r="Q655" t="inlineStr">
        <is>
          <t>eng</t>
        </is>
      </c>
      <c r="R655" t="inlineStr">
        <is>
          <t>nyu</t>
        </is>
      </c>
      <c r="T655" t="inlineStr">
        <is>
          <t xml:space="preserve">QP </t>
        </is>
      </c>
      <c r="U655" t="n">
        <v>2</v>
      </c>
      <c r="V655" t="n">
        <v>8</v>
      </c>
      <c r="X655" t="inlineStr">
        <is>
          <t>1995-10-22</t>
        </is>
      </c>
      <c r="Y655" t="inlineStr">
        <is>
          <t>1993-03-04</t>
        </is>
      </c>
      <c r="Z655" t="inlineStr">
        <is>
          <t>1993-03-04</t>
        </is>
      </c>
      <c r="AA655" t="n">
        <v>357</v>
      </c>
      <c r="AB655" t="n">
        <v>292</v>
      </c>
      <c r="AC655" t="n">
        <v>293</v>
      </c>
      <c r="AD655" t="n">
        <v>4</v>
      </c>
      <c r="AE655" t="n">
        <v>4</v>
      </c>
      <c r="AF655" t="n">
        <v>10</v>
      </c>
      <c r="AG655" t="n">
        <v>10</v>
      </c>
      <c r="AH655" t="n">
        <v>3</v>
      </c>
      <c r="AI655" t="n">
        <v>3</v>
      </c>
      <c r="AJ655" t="n">
        <v>3</v>
      </c>
      <c r="AK655" t="n">
        <v>3</v>
      </c>
      <c r="AL655" t="n">
        <v>7</v>
      </c>
      <c r="AM655" t="n">
        <v>7</v>
      </c>
      <c r="AN655" t="n">
        <v>2</v>
      </c>
      <c r="AO655" t="n">
        <v>2</v>
      </c>
      <c r="AP655" t="n">
        <v>0</v>
      </c>
      <c r="AQ655" t="n">
        <v>0</v>
      </c>
      <c r="AR655" t="inlineStr">
        <is>
          <t>No</t>
        </is>
      </c>
      <c r="AS655" t="inlineStr">
        <is>
          <t>Yes</t>
        </is>
      </c>
      <c r="AT655">
        <f>HYPERLINK("http://catalog.hathitrust.org/Record/000310574","HathiTrust Record")</f>
        <v/>
      </c>
      <c r="AU655">
        <f>HYPERLINK("https://creighton-primo.hosted.exlibrisgroup.com/primo-explore/search?tab=default_tab&amp;search_scope=EVERYTHING&amp;vid=01CRU&amp;lang=en_US&amp;offset=0&amp;query=any,contains,991001771039702656","Catalog Record")</f>
        <v/>
      </c>
      <c r="AV655">
        <f>HYPERLINK("http://www.worldcat.org/oclc/6708092","WorldCat Record")</f>
        <v/>
      </c>
      <c r="AW655" t="inlineStr">
        <is>
          <t>488795:eng</t>
        </is>
      </c>
      <c r="AX655" t="inlineStr">
        <is>
          <t>6708092</t>
        </is>
      </c>
      <c r="AY655" t="inlineStr">
        <is>
          <t>991001771039702656</t>
        </is>
      </c>
      <c r="AZ655" t="inlineStr">
        <is>
          <t>991001771039702656</t>
        </is>
      </c>
      <c r="BA655" t="inlineStr">
        <is>
          <t>2255068150002656</t>
        </is>
      </c>
      <c r="BB655" t="inlineStr">
        <is>
          <t>BOOK</t>
        </is>
      </c>
      <c r="BD655" t="inlineStr">
        <is>
          <t>9780471052340</t>
        </is>
      </c>
      <c r="BE655" t="inlineStr">
        <is>
          <t>32285001562775</t>
        </is>
      </c>
      <c r="BF655" t="inlineStr">
        <is>
          <t>893596722</t>
        </is>
      </c>
    </row>
    <row r="656">
      <c r="B656" t="inlineStr">
        <is>
          <t>CURAL</t>
        </is>
      </c>
      <c r="C656" t="inlineStr">
        <is>
          <t>SHELVES</t>
        </is>
      </c>
      <c r="D656" t="inlineStr">
        <is>
          <t>QP519.9.E43 M53 1994</t>
        </is>
      </c>
      <c r="E656" t="inlineStr">
        <is>
          <t>0                      QP 0519900E  43                 M  53          1994</t>
        </is>
      </c>
      <c r="F656" t="inlineStr">
        <is>
          <t>Microelectrode techniques : the Plymouth Workshop handbook / edited by David Ogden.</t>
        </is>
      </c>
      <c r="H656" t="inlineStr">
        <is>
          <t>No</t>
        </is>
      </c>
      <c r="I656" t="inlineStr">
        <is>
          <t>1</t>
        </is>
      </c>
      <c r="J656" t="inlineStr">
        <is>
          <t>No</t>
        </is>
      </c>
      <c r="K656" t="inlineStr">
        <is>
          <t>No</t>
        </is>
      </c>
      <c r="L656" t="inlineStr">
        <is>
          <t>0</t>
        </is>
      </c>
      <c r="N656" t="inlineStr">
        <is>
          <t>Cambridge : Company of Biologists, 1994.</t>
        </is>
      </c>
      <c r="O656" t="inlineStr">
        <is>
          <t>1994</t>
        </is>
      </c>
      <c r="P656" t="inlineStr">
        <is>
          <t>2nd ed.</t>
        </is>
      </c>
      <c r="Q656" t="inlineStr">
        <is>
          <t>eng</t>
        </is>
      </c>
      <c r="R656" t="inlineStr">
        <is>
          <t>enk</t>
        </is>
      </c>
      <c r="T656" t="inlineStr">
        <is>
          <t xml:space="preserve">QP </t>
        </is>
      </c>
      <c r="U656" t="n">
        <v>1</v>
      </c>
      <c r="V656" t="n">
        <v>1</v>
      </c>
      <c r="W656" t="inlineStr">
        <is>
          <t>1997-06-19</t>
        </is>
      </c>
      <c r="X656" t="inlineStr">
        <is>
          <t>1997-06-19</t>
        </is>
      </c>
      <c r="Y656" t="inlineStr">
        <is>
          <t>1996-11-20</t>
        </is>
      </c>
      <c r="Z656" t="inlineStr">
        <is>
          <t>1996-11-20</t>
        </is>
      </c>
      <c r="AA656" t="n">
        <v>96</v>
      </c>
      <c r="AB656" t="n">
        <v>47</v>
      </c>
      <c r="AC656" t="n">
        <v>53</v>
      </c>
      <c r="AD656" t="n">
        <v>2</v>
      </c>
      <c r="AE656" t="n">
        <v>2</v>
      </c>
      <c r="AF656" t="n">
        <v>4</v>
      </c>
      <c r="AG656" t="n">
        <v>4</v>
      </c>
      <c r="AH656" t="n">
        <v>1</v>
      </c>
      <c r="AI656" t="n">
        <v>1</v>
      </c>
      <c r="AJ656" t="n">
        <v>1</v>
      </c>
      <c r="AK656" t="n">
        <v>1</v>
      </c>
      <c r="AL656" t="n">
        <v>3</v>
      </c>
      <c r="AM656" t="n">
        <v>3</v>
      </c>
      <c r="AN656" t="n">
        <v>1</v>
      </c>
      <c r="AO656" t="n">
        <v>1</v>
      </c>
      <c r="AP656" t="n">
        <v>0</v>
      </c>
      <c r="AQ656" t="n">
        <v>0</v>
      </c>
      <c r="AR656" t="inlineStr">
        <is>
          <t>No</t>
        </is>
      </c>
      <c r="AS656" t="inlineStr">
        <is>
          <t>No</t>
        </is>
      </c>
      <c r="AU656">
        <f>HYPERLINK("https://creighton-primo.hosted.exlibrisgroup.com/primo-explore/search?tab=default_tab&amp;search_scope=EVERYTHING&amp;vid=01CRU&amp;lang=en_US&amp;offset=0&amp;query=any,contains,991002391449702656","Catalog Record")</f>
        <v/>
      </c>
      <c r="AV656">
        <f>HYPERLINK("http://www.worldcat.org/oclc/31050404","WorldCat Record")</f>
        <v/>
      </c>
      <c r="AW656" t="inlineStr">
        <is>
          <t>1151509859:eng</t>
        </is>
      </c>
      <c r="AX656" t="inlineStr">
        <is>
          <t>31050404</t>
        </is>
      </c>
      <c r="AY656" t="inlineStr">
        <is>
          <t>991002391449702656</t>
        </is>
      </c>
      <c r="AZ656" t="inlineStr">
        <is>
          <t>991002391449702656</t>
        </is>
      </c>
      <c r="BA656" t="inlineStr">
        <is>
          <t>2270797290002656</t>
        </is>
      </c>
      <c r="BB656" t="inlineStr">
        <is>
          <t>BOOK</t>
        </is>
      </c>
      <c r="BD656" t="inlineStr">
        <is>
          <t>9780948601491</t>
        </is>
      </c>
      <c r="BE656" t="inlineStr">
        <is>
          <t>32285002374618</t>
        </is>
      </c>
      <c r="BF656" t="inlineStr">
        <is>
          <t>893597405</t>
        </is>
      </c>
    </row>
    <row r="657">
      <c r="B657" t="inlineStr">
        <is>
          <t>CURAL</t>
        </is>
      </c>
      <c r="C657" t="inlineStr">
        <is>
          <t>SHELVES</t>
        </is>
      </c>
      <c r="D657" t="inlineStr">
        <is>
          <t>QP519.9.G42 P88 1993</t>
        </is>
      </c>
      <c r="E657" t="inlineStr">
        <is>
          <t>0                      QP 0519900G  42                 P  88          1993</t>
        </is>
      </c>
      <c r="F657" t="inlineStr">
        <is>
          <t>Pulsed field gel electrophoresis : a practical guide / Bruce Birren, Eric Lai.</t>
        </is>
      </c>
      <c r="H657" t="inlineStr">
        <is>
          <t>No</t>
        </is>
      </c>
      <c r="I657" t="inlineStr">
        <is>
          <t>1</t>
        </is>
      </c>
      <c r="J657" t="inlineStr">
        <is>
          <t>No</t>
        </is>
      </c>
      <c r="K657" t="inlineStr">
        <is>
          <t>No</t>
        </is>
      </c>
      <c r="L657" t="inlineStr">
        <is>
          <t>0</t>
        </is>
      </c>
      <c r="M657" t="inlineStr">
        <is>
          <t>Birren, Bruce W.</t>
        </is>
      </c>
      <c r="N657" t="inlineStr">
        <is>
          <t>San Diego : Academic Press, c1993.</t>
        </is>
      </c>
      <c r="O657" t="inlineStr">
        <is>
          <t>1993</t>
        </is>
      </c>
      <c r="Q657" t="inlineStr">
        <is>
          <t>eng</t>
        </is>
      </c>
      <c r="R657" t="inlineStr">
        <is>
          <t>cau</t>
        </is>
      </c>
      <c r="T657" t="inlineStr">
        <is>
          <t xml:space="preserve">QP </t>
        </is>
      </c>
      <c r="U657" t="n">
        <v>3</v>
      </c>
      <c r="V657" t="n">
        <v>3</v>
      </c>
      <c r="W657" t="inlineStr">
        <is>
          <t>1994-03-24</t>
        </is>
      </c>
      <c r="X657" t="inlineStr">
        <is>
          <t>1994-03-24</t>
        </is>
      </c>
      <c r="Y657" t="inlineStr">
        <is>
          <t>1994-02-07</t>
        </is>
      </c>
      <c r="Z657" t="inlineStr">
        <is>
          <t>1994-02-07</t>
        </is>
      </c>
      <c r="AA657" t="n">
        <v>249</v>
      </c>
      <c r="AB657" t="n">
        <v>152</v>
      </c>
      <c r="AC657" t="n">
        <v>196</v>
      </c>
      <c r="AD657" t="n">
        <v>3</v>
      </c>
      <c r="AE657" t="n">
        <v>4</v>
      </c>
      <c r="AF657" t="n">
        <v>5</v>
      </c>
      <c r="AG657" t="n">
        <v>9</v>
      </c>
      <c r="AH657" t="n">
        <v>0</v>
      </c>
      <c r="AI657" t="n">
        <v>2</v>
      </c>
      <c r="AJ657" t="n">
        <v>1</v>
      </c>
      <c r="AK657" t="n">
        <v>3</v>
      </c>
      <c r="AL657" t="n">
        <v>3</v>
      </c>
      <c r="AM657" t="n">
        <v>3</v>
      </c>
      <c r="AN657" t="n">
        <v>2</v>
      </c>
      <c r="AO657" t="n">
        <v>3</v>
      </c>
      <c r="AP657" t="n">
        <v>0</v>
      </c>
      <c r="AQ657" t="n">
        <v>0</v>
      </c>
      <c r="AR657" t="inlineStr">
        <is>
          <t>No</t>
        </is>
      </c>
      <c r="AS657" t="inlineStr">
        <is>
          <t>Yes</t>
        </is>
      </c>
      <c r="AT657">
        <f>HYPERLINK("http://catalog.hathitrust.org/Record/002631063","HathiTrust Record")</f>
        <v/>
      </c>
      <c r="AU657">
        <f>HYPERLINK("https://creighton-primo.hosted.exlibrisgroup.com/primo-explore/search?tab=default_tab&amp;search_scope=EVERYTHING&amp;vid=01CRU&amp;lang=en_US&amp;offset=0&amp;query=any,contains,991002175129702656","Catalog Record")</f>
        <v/>
      </c>
      <c r="AV657">
        <f>HYPERLINK("http://www.worldcat.org/oclc/31865767","WorldCat Record")</f>
        <v/>
      </c>
      <c r="AW657" t="inlineStr">
        <is>
          <t>364371198:eng</t>
        </is>
      </c>
      <c r="AX657" t="inlineStr">
        <is>
          <t>31865767</t>
        </is>
      </c>
      <c r="AY657" t="inlineStr">
        <is>
          <t>991002175129702656</t>
        </is>
      </c>
      <c r="AZ657" t="inlineStr">
        <is>
          <t>991002175129702656</t>
        </is>
      </c>
      <c r="BA657" t="inlineStr">
        <is>
          <t>2265294340002656</t>
        </is>
      </c>
      <c r="BB657" t="inlineStr">
        <is>
          <t>BOOK</t>
        </is>
      </c>
      <c r="BD657" t="inlineStr">
        <is>
          <t>9780121012908</t>
        </is>
      </c>
      <c r="BE657" t="inlineStr">
        <is>
          <t>32285001840528</t>
        </is>
      </c>
      <c r="BF657" t="inlineStr">
        <is>
          <t>893597106</t>
        </is>
      </c>
    </row>
    <row r="658">
      <c r="B658" t="inlineStr">
        <is>
          <t>CURAL</t>
        </is>
      </c>
      <c r="C658" t="inlineStr">
        <is>
          <t>SHELVES</t>
        </is>
      </c>
      <c r="D658" t="inlineStr">
        <is>
          <t>QP519.9.M3 E44 1997</t>
        </is>
      </c>
      <c r="E658" t="inlineStr">
        <is>
          <t>0                      QP 0519900M  3                  E  44          1997</t>
        </is>
      </c>
      <c r="F658" t="inlineStr">
        <is>
          <t>Electrospray ionization mass spectrometry : fundamentals, instrumentation, and applications / edited by Richard B. Cole.</t>
        </is>
      </c>
      <c r="H658" t="inlineStr">
        <is>
          <t>No</t>
        </is>
      </c>
      <c r="I658" t="inlineStr">
        <is>
          <t>1</t>
        </is>
      </c>
      <c r="J658" t="inlineStr">
        <is>
          <t>No</t>
        </is>
      </c>
      <c r="K658" t="inlineStr">
        <is>
          <t>No</t>
        </is>
      </c>
      <c r="L658" t="inlineStr">
        <is>
          <t>0</t>
        </is>
      </c>
      <c r="N658" t="inlineStr">
        <is>
          <t>New York : Wiley, c1997.</t>
        </is>
      </c>
      <c r="O658" t="inlineStr">
        <is>
          <t>1997</t>
        </is>
      </c>
      <c r="Q658" t="inlineStr">
        <is>
          <t>eng</t>
        </is>
      </c>
      <c r="R658" t="inlineStr">
        <is>
          <t>nyu</t>
        </is>
      </c>
      <c r="T658" t="inlineStr">
        <is>
          <t xml:space="preserve">QP </t>
        </is>
      </c>
      <c r="U658" t="n">
        <v>19</v>
      </c>
      <c r="V658" t="n">
        <v>19</v>
      </c>
      <c r="W658" t="inlineStr">
        <is>
          <t>2001-02-14</t>
        </is>
      </c>
      <c r="X658" t="inlineStr">
        <is>
          <t>2001-02-14</t>
        </is>
      </c>
      <c r="Y658" t="inlineStr">
        <is>
          <t>1997-05-28</t>
        </is>
      </c>
      <c r="Z658" t="inlineStr">
        <is>
          <t>1997-05-28</t>
        </is>
      </c>
      <c r="AA658" t="n">
        <v>360</v>
      </c>
      <c r="AB658" t="n">
        <v>258</v>
      </c>
      <c r="AC658" t="n">
        <v>259</v>
      </c>
      <c r="AD658" t="n">
        <v>2</v>
      </c>
      <c r="AE658" t="n">
        <v>2</v>
      </c>
      <c r="AF658" t="n">
        <v>9</v>
      </c>
      <c r="AG658" t="n">
        <v>9</v>
      </c>
      <c r="AH658" t="n">
        <v>3</v>
      </c>
      <c r="AI658" t="n">
        <v>3</v>
      </c>
      <c r="AJ658" t="n">
        <v>3</v>
      </c>
      <c r="AK658" t="n">
        <v>3</v>
      </c>
      <c r="AL658" t="n">
        <v>4</v>
      </c>
      <c r="AM658" t="n">
        <v>4</v>
      </c>
      <c r="AN658" t="n">
        <v>1</v>
      </c>
      <c r="AO658" t="n">
        <v>1</v>
      </c>
      <c r="AP658" t="n">
        <v>0</v>
      </c>
      <c r="AQ658" t="n">
        <v>0</v>
      </c>
      <c r="AR658" t="inlineStr">
        <is>
          <t>No</t>
        </is>
      </c>
      <c r="AS658" t="inlineStr">
        <is>
          <t>Yes</t>
        </is>
      </c>
      <c r="AT658">
        <f>HYPERLINK("http://catalog.hathitrust.org/Record/004334921","HathiTrust Record")</f>
        <v/>
      </c>
      <c r="AU658">
        <f>HYPERLINK("https://creighton-primo.hosted.exlibrisgroup.com/primo-explore/search?tab=default_tab&amp;search_scope=EVERYTHING&amp;vid=01CRU&amp;lang=en_US&amp;offset=0&amp;query=any,contains,991005424919702656","Catalog Record")</f>
        <v/>
      </c>
      <c r="AV658">
        <f>HYPERLINK("http://www.worldcat.org/oclc/35637508","WorldCat Record")</f>
        <v/>
      </c>
      <c r="AW658" t="inlineStr">
        <is>
          <t>806942390:eng</t>
        </is>
      </c>
      <c r="AX658" t="inlineStr">
        <is>
          <t>35637508</t>
        </is>
      </c>
      <c r="AY658" t="inlineStr">
        <is>
          <t>991005424919702656</t>
        </is>
      </c>
      <c r="AZ658" t="inlineStr">
        <is>
          <t>991005424919702656</t>
        </is>
      </c>
      <c r="BA658" t="inlineStr">
        <is>
          <t>2270186810002656</t>
        </is>
      </c>
      <c r="BB658" t="inlineStr">
        <is>
          <t>BOOK</t>
        </is>
      </c>
      <c r="BD658" t="inlineStr">
        <is>
          <t>9780471145646</t>
        </is>
      </c>
      <c r="BE658" t="inlineStr">
        <is>
          <t>32285002612124</t>
        </is>
      </c>
      <c r="BF658" t="inlineStr">
        <is>
          <t>893883871</t>
        </is>
      </c>
    </row>
    <row r="659">
      <c r="B659" t="inlineStr">
        <is>
          <t>CURAL</t>
        </is>
      </c>
      <c r="C659" t="inlineStr">
        <is>
          <t>SHELVES</t>
        </is>
      </c>
      <c r="D659" t="inlineStr">
        <is>
          <t>QP519.9.N83 F7513 2005</t>
        </is>
      </c>
      <c r="E659" t="inlineStr">
        <is>
          <t>0                      QP 0519900N  83                 F  7513        2005</t>
        </is>
      </c>
      <c r="F659" t="inlineStr">
        <is>
          <t>Basic one- and two-dimensional NMR spectroscopy / Horst Friebolin ; translated by Jack K. Becconsall.</t>
        </is>
      </c>
      <c r="H659" t="inlineStr">
        <is>
          <t>No</t>
        </is>
      </c>
      <c r="I659" t="inlineStr">
        <is>
          <t>1</t>
        </is>
      </c>
      <c r="J659" t="inlineStr">
        <is>
          <t>No</t>
        </is>
      </c>
      <c r="K659" t="inlineStr">
        <is>
          <t>No</t>
        </is>
      </c>
      <c r="L659" t="inlineStr">
        <is>
          <t>0</t>
        </is>
      </c>
      <c r="M659" t="inlineStr">
        <is>
          <t>Friebolin, Horst.</t>
        </is>
      </c>
      <c r="N659" t="inlineStr">
        <is>
          <t>Weinheim : Wiley-VCH, c2005.</t>
        </is>
      </c>
      <c r="O659" t="inlineStr">
        <is>
          <t>2005</t>
        </is>
      </c>
      <c r="P659" t="inlineStr">
        <is>
          <t>4th completely rev. &amp; updated ed.</t>
        </is>
      </c>
      <c r="Q659" t="inlineStr">
        <is>
          <t>eng</t>
        </is>
      </c>
      <c r="R659" t="inlineStr">
        <is>
          <t xml:space="preserve">gw </t>
        </is>
      </c>
      <c r="T659" t="inlineStr">
        <is>
          <t xml:space="preserve">QP </t>
        </is>
      </c>
      <c r="U659" t="n">
        <v>1</v>
      </c>
      <c r="V659" t="n">
        <v>1</v>
      </c>
      <c r="W659" t="inlineStr">
        <is>
          <t>2006-02-14</t>
        </is>
      </c>
      <c r="X659" t="inlineStr">
        <is>
          <t>2006-02-14</t>
        </is>
      </c>
      <c r="Y659" t="inlineStr">
        <is>
          <t>2006-02-14</t>
        </is>
      </c>
      <c r="Z659" t="inlineStr">
        <is>
          <t>2006-02-14</t>
        </is>
      </c>
      <c r="AA659" t="n">
        <v>482</v>
      </c>
      <c r="AB659" t="n">
        <v>355</v>
      </c>
      <c r="AC659" t="n">
        <v>715</v>
      </c>
      <c r="AD659" t="n">
        <v>2</v>
      </c>
      <c r="AE659" t="n">
        <v>8</v>
      </c>
      <c r="AF659" t="n">
        <v>21</v>
      </c>
      <c r="AG659" t="n">
        <v>41</v>
      </c>
      <c r="AH659" t="n">
        <v>9</v>
      </c>
      <c r="AI659" t="n">
        <v>19</v>
      </c>
      <c r="AJ659" t="n">
        <v>4</v>
      </c>
      <c r="AK659" t="n">
        <v>7</v>
      </c>
      <c r="AL659" t="n">
        <v>11</v>
      </c>
      <c r="AM659" t="n">
        <v>17</v>
      </c>
      <c r="AN659" t="n">
        <v>1</v>
      </c>
      <c r="AO659" t="n">
        <v>7</v>
      </c>
      <c r="AP659" t="n">
        <v>0</v>
      </c>
      <c r="AQ659" t="n">
        <v>0</v>
      </c>
      <c r="AR659" t="inlineStr">
        <is>
          <t>No</t>
        </is>
      </c>
      <c r="AS659" t="inlineStr">
        <is>
          <t>Yes</t>
        </is>
      </c>
      <c r="AT659">
        <f>HYPERLINK("http://catalog.hathitrust.org/Record/102043577","HathiTrust Record")</f>
        <v/>
      </c>
      <c r="AU659">
        <f>HYPERLINK("https://creighton-primo.hosted.exlibrisgroup.com/primo-explore/search?tab=default_tab&amp;search_scope=EVERYTHING&amp;vid=01CRU&amp;lang=en_US&amp;offset=0&amp;query=any,contains,991004724909702656","Catalog Record")</f>
        <v/>
      </c>
      <c r="AV659">
        <f>HYPERLINK("http://www.worldcat.org/oclc/59205064","WorldCat Record")</f>
        <v/>
      </c>
      <c r="AW659" t="inlineStr">
        <is>
          <t>960511:eng</t>
        </is>
      </c>
      <c r="AX659" t="inlineStr">
        <is>
          <t>59205064</t>
        </is>
      </c>
      <c r="AY659" t="inlineStr">
        <is>
          <t>991004724909702656</t>
        </is>
      </c>
      <c r="AZ659" t="inlineStr">
        <is>
          <t>991004724909702656</t>
        </is>
      </c>
      <c r="BA659" t="inlineStr">
        <is>
          <t>2270577730002656</t>
        </is>
      </c>
      <c r="BB659" t="inlineStr">
        <is>
          <t>BOOK</t>
        </is>
      </c>
      <c r="BD659" t="inlineStr">
        <is>
          <t>9783527312337</t>
        </is>
      </c>
      <c r="BE659" t="inlineStr">
        <is>
          <t>32285005158737</t>
        </is>
      </c>
      <c r="BF659" t="inlineStr">
        <is>
          <t>893526431</t>
        </is>
      </c>
    </row>
    <row r="660">
      <c r="B660" t="inlineStr">
        <is>
          <t>CURAL</t>
        </is>
      </c>
      <c r="C660" t="inlineStr">
        <is>
          <t>SHELVES</t>
        </is>
      </c>
      <c r="D660" t="inlineStr">
        <is>
          <t>QP521 .S92</t>
        </is>
      </c>
      <c r="E660" t="inlineStr">
        <is>
          <t>0                      QP 0521000S  92</t>
        </is>
      </c>
      <c r="F660" t="inlineStr">
        <is>
          <t>Bioelectronics; a study in cellular regulations, defense, and cancer.</t>
        </is>
      </c>
      <c r="H660" t="inlineStr">
        <is>
          <t>No</t>
        </is>
      </c>
      <c r="I660" t="inlineStr">
        <is>
          <t>1</t>
        </is>
      </c>
      <c r="J660" t="inlineStr">
        <is>
          <t>No</t>
        </is>
      </c>
      <c r="K660" t="inlineStr">
        <is>
          <t>No</t>
        </is>
      </c>
      <c r="L660" t="inlineStr">
        <is>
          <t>0</t>
        </is>
      </c>
      <c r="M660" t="inlineStr">
        <is>
          <t>Szent-Györgyi, Albert, 1893-1986.</t>
        </is>
      </c>
      <c r="N660" t="inlineStr">
        <is>
          <t>New York, Academic Press, 1968.</t>
        </is>
      </c>
      <c r="O660" t="inlineStr">
        <is>
          <t>1968</t>
        </is>
      </c>
      <c r="Q660" t="inlineStr">
        <is>
          <t>eng</t>
        </is>
      </c>
      <c r="R660" t="inlineStr">
        <is>
          <t>nyu</t>
        </is>
      </c>
      <c r="T660" t="inlineStr">
        <is>
          <t xml:space="preserve">QP </t>
        </is>
      </c>
      <c r="U660" t="n">
        <v>2</v>
      </c>
      <c r="V660" t="n">
        <v>2</v>
      </c>
      <c r="W660" t="inlineStr">
        <is>
          <t>2010-02-13</t>
        </is>
      </c>
      <c r="X660" t="inlineStr">
        <is>
          <t>2010-02-13</t>
        </is>
      </c>
      <c r="Y660" t="inlineStr">
        <is>
          <t>1997-08-06</t>
        </is>
      </c>
      <c r="Z660" t="inlineStr">
        <is>
          <t>1997-08-06</t>
        </is>
      </c>
      <c r="AA660" t="n">
        <v>400</v>
      </c>
      <c r="AB660" t="n">
        <v>280</v>
      </c>
      <c r="AC660" t="n">
        <v>322</v>
      </c>
      <c r="AD660" t="n">
        <v>2</v>
      </c>
      <c r="AE660" t="n">
        <v>3</v>
      </c>
      <c r="AF660" t="n">
        <v>11</v>
      </c>
      <c r="AG660" t="n">
        <v>15</v>
      </c>
      <c r="AH660" t="n">
        <v>2</v>
      </c>
      <c r="AI660" t="n">
        <v>4</v>
      </c>
      <c r="AJ660" t="n">
        <v>3</v>
      </c>
      <c r="AK660" t="n">
        <v>5</v>
      </c>
      <c r="AL660" t="n">
        <v>7</v>
      </c>
      <c r="AM660" t="n">
        <v>7</v>
      </c>
      <c r="AN660" t="n">
        <v>1</v>
      </c>
      <c r="AO660" t="n">
        <v>2</v>
      </c>
      <c r="AP660" t="n">
        <v>0</v>
      </c>
      <c r="AQ660" t="n">
        <v>0</v>
      </c>
      <c r="AR660" t="inlineStr">
        <is>
          <t>No</t>
        </is>
      </c>
      <c r="AS660" t="inlineStr">
        <is>
          <t>Yes</t>
        </is>
      </c>
      <c r="AT660">
        <f>HYPERLINK("http://catalog.hathitrust.org/Record/001555322","HathiTrust Record")</f>
        <v/>
      </c>
      <c r="AU660">
        <f>HYPERLINK("https://creighton-primo.hosted.exlibrisgroup.com/primo-explore/search?tab=default_tab&amp;search_scope=EVERYTHING&amp;vid=01CRU&amp;lang=en_US&amp;offset=0&amp;query=any,contains,991000090759702656","Catalog Record")</f>
        <v/>
      </c>
      <c r="AV660">
        <f>HYPERLINK("http://www.worldcat.org/oclc/36176","WorldCat Record")</f>
        <v/>
      </c>
      <c r="AW660" t="inlineStr">
        <is>
          <t>365781880:eng</t>
        </is>
      </c>
      <c r="AX660" t="inlineStr">
        <is>
          <t>36176</t>
        </is>
      </c>
      <c r="AY660" t="inlineStr">
        <is>
          <t>991000090759702656</t>
        </is>
      </c>
      <c r="AZ660" t="inlineStr">
        <is>
          <t>991000090759702656</t>
        </is>
      </c>
      <c r="BA660" t="inlineStr">
        <is>
          <t>2264851590002656</t>
        </is>
      </c>
      <c r="BB660" t="inlineStr">
        <is>
          <t>BOOK</t>
        </is>
      </c>
      <c r="BE660" t="inlineStr">
        <is>
          <t>32285003080503</t>
        </is>
      </c>
      <c r="BF660" t="inlineStr">
        <is>
          <t>893890400</t>
        </is>
      </c>
    </row>
    <row r="661">
      <c r="B661" t="inlineStr">
        <is>
          <t>CURAL</t>
        </is>
      </c>
      <c r="C661" t="inlineStr">
        <is>
          <t>SHELVES</t>
        </is>
      </c>
      <c r="D661" t="inlineStr">
        <is>
          <t>QP521 .S93 1960</t>
        </is>
      </c>
      <c r="E661" t="inlineStr">
        <is>
          <t>0                      QP 0521000S  93          1960</t>
        </is>
      </c>
      <c r="F661" t="inlineStr">
        <is>
          <t>Introduction to a submolecular biology.</t>
        </is>
      </c>
      <c r="H661" t="inlineStr">
        <is>
          <t>No</t>
        </is>
      </c>
      <c r="I661" t="inlineStr">
        <is>
          <t>1</t>
        </is>
      </c>
      <c r="J661" t="inlineStr">
        <is>
          <t>No</t>
        </is>
      </c>
      <c r="K661" t="inlineStr">
        <is>
          <t>No</t>
        </is>
      </c>
      <c r="L661" t="inlineStr">
        <is>
          <t>0</t>
        </is>
      </c>
      <c r="M661" t="inlineStr">
        <is>
          <t>Szent-Györgyi, Albert, 1893-1986.</t>
        </is>
      </c>
      <c r="N661" t="inlineStr">
        <is>
          <t>New York, Academic Press, 1960.</t>
        </is>
      </c>
      <c r="O661" t="inlineStr">
        <is>
          <t>1960</t>
        </is>
      </c>
      <c r="Q661" t="inlineStr">
        <is>
          <t>eng</t>
        </is>
      </c>
      <c r="R661" t="inlineStr">
        <is>
          <t>nyu</t>
        </is>
      </c>
      <c r="T661" t="inlineStr">
        <is>
          <t xml:space="preserve">QP </t>
        </is>
      </c>
      <c r="U661" t="n">
        <v>2</v>
      </c>
      <c r="V661" t="n">
        <v>2</v>
      </c>
      <c r="W661" t="inlineStr">
        <is>
          <t>2010-02-13</t>
        </is>
      </c>
      <c r="X661" t="inlineStr">
        <is>
          <t>2010-02-13</t>
        </is>
      </c>
      <c r="Y661" t="inlineStr">
        <is>
          <t>1997-08-06</t>
        </is>
      </c>
      <c r="Z661" t="inlineStr">
        <is>
          <t>1997-08-06</t>
        </is>
      </c>
      <c r="AA661" t="n">
        <v>550</v>
      </c>
      <c r="AB661" t="n">
        <v>428</v>
      </c>
      <c r="AC661" t="n">
        <v>475</v>
      </c>
      <c r="AD661" t="n">
        <v>3</v>
      </c>
      <c r="AE661" t="n">
        <v>3</v>
      </c>
      <c r="AF661" t="n">
        <v>16</v>
      </c>
      <c r="AG661" t="n">
        <v>19</v>
      </c>
      <c r="AH661" t="n">
        <v>5</v>
      </c>
      <c r="AI661" t="n">
        <v>7</v>
      </c>
      <c r="AJ661" t="n">
        <v>4</v>
      </c>
      <c r="AK661" t="n">
        <v>6</v>
      </c>
      <c r="AL661" t="n">
        <v>10</v>
      </c>
      <c r="AM661" t="n">
        <v>10</v>
      </c>
      <c r="AN661" t="n">
        <v>2</v>
      </c>
      <c r="AO661" t="n">
        <v>2</v>
      </c>
      <c r="AP661" t="n">
        <v>0</v>
      </c>
      <c r="AQ661" t="n">
        <v>0</v>
      </c>
      <c r="AR661" t="inlineStr">
        <is>
          <t>No</t>
        </is>
      </c>
      <c r="AS661" t="inlineStr">
        <is>
          <t>Yes</t>
        </is>
      </c>
      <c r="AT661">
        <f>HYPERLINK("http://catalog.hathitrust.org/Record/001495922","HathiTrust Record")</f>
        <v/>
      </c>
      <c r="AU661">
        <f>HYPERLINK("https://creighton-primo.hosted.exlibrisgroup.com/primo-explore/search?tab=default_tab&amp;search_scope=EVERYTHING&amp;vid=01CRU&amp;lang=en_US&amp;offset=0&amp;query=any,contains,991001734019702656","Catalog Record")</f>
        <v/>
      </c>
      <c r="AV661">
        <f>HYPERLINK("http://www.worldcat.org/oclc/235033","WorldCat Record")</f>
        <v/>
      </c>
      <c r="AW661" t="inlineStr">
        <is>
          <t>45999928:eng</t>
        </is>
      </c>
      <c r="AX661" t="inlineStr">
        <is>
          <t>235033</t>
        </is>
      </c>
      <c r="AY661" t="inlineStr">
        <is>
          <t>991001734019702656</t>
        </is>
      </c>
      <c r="AZ661" t="inlineStr">
        <is>
          <t>991001734019702656</t>
        </is>
      </c>
      <c r="BA661" t="inlineStr">
        <is>
          <t>2259358380002656</t>
        </is>
      </c>
      <c r="BB661" t="inlineStr">
        <is>
          <t>BOOK</t>
        </is>
      </c>
      <c r="BE661" t="inlineStr">
        <is>
          <t>32285003080511</t>
        </is>
      </c>
      <c r="BF661" t="inlineStr">
        <is>
          <t>893779021</t>
        </is>
      </c>
    </row>
    <row r="662">
      <c r="B662" t="inlineStr">
        <is>
          <t>CURAL</t>
        </is>
      </c>
      <c r="C662" t="inlineStr">
        <is>
          <t>SHELVES</t>
        </is>
      </c>
      <c r="D662" t="inlineStr">
        <is>
          <t>QP521 .T37</t>
        </is>
      </c>
      <c r="E662" t="inlineStr">
        <is>
          <t>0                      QP 0521000T  37</t>
        </is>
      </c>
      <c r="F662" t="inlineStr">
        <is>
          <t>The hydrophobic effect: formation of micelles and biological membranes.</t>
        </is>
      </c>
      <c r="H662" t="inlineStr">
        <is>
          <t>No</t>
        </is>
      </c>
      <c r="I662" t="inlineStr">
        <is>
          <t>1</t>
        </is>
      </c>
      <c r="J662" t="inlineStr">
        <is>
          <t>No</t>
        </is>
      </c>
      <c r="K662" t="inlineStr">
        <is>
          <t>No</t>
        </is>
      </c>
      <c r="L662" t="inlineStr">
        <is>
          <t>0</t>
        </is>
      </c>
      <c r="M662" t="inlineStr">
        <is>
          <t>Tanford, Charles, 1921-2009.</t>
        </is>
      </c>
      <c r="N662" t="inlineStr">
        <is>
          <t>New York, Wiley [1973]</t>
        </is>
      </c>
      <c r="O662" t="inlineStr">
        <is>
          <t>1973</t>
        </is>
      </c>
      <c r="Q662" t="inlineStr">
        <is>
          <t>eng</t>
        </is>
      </c>
      <c r="R662" t="inlineStr">
        <is>
          <t>nyu</t>
        </is>
      </c>
      <c r="T662" t="inlineStr">
        <is>
          <t xml:space="preserve">QP </t>
        </is>
      </c>
      <c r="U662" t="n">
        <v>1</v>
      </c>
      <c r="V662" t="n">
        <v>1</v>
      </c>
      <c r="W662" t="inlineStr">
        <is>
          <t>1992-11-19</t>
        </is>
      </c>
      <c r="X662" t="inlineStr">
        <is>
          <t>1992-11-19</t>
        </is>
      </c>
      <c r="Y662" t="inlineStr">
        <is>
          <t>1992-04-16</t>
        </is>
      </c>
      <c r="Z662" t="inlineStr">
        <is>
          <t>1992-04-16</t>
        </is>
      </c>
      <c r="AA662" t="n">
        <v>613</v>
      </c>
      <c r="AB662" t="n">
        <v>467</v>
      </c>
      <c r="AC662" t="n">
        <v>712</v>
      </c>
      <c r="AD662" t="n">
        <v>5</v>
      </c>
      <c r="AE662" t="n">
        <v>6</v>
      </c>
      <c r="AF662" t="n">
        <v>21</v>
      </c>
      <c r="AG662" t="n">
        <v>32</v>
      </c>
      <c r="AH662" t="n">
        <v>8</v>
      </c>
      <c r="AI662" t="n">
        <v>12</v>
      </c>
      <c r="AJ662" t="n">
        <v>2</v>
      </c>
      <c r="AK662" t="n">
        <v>5</v>
      </c>
      <c r="AL662" t="n">
        <v>10</v>
      </c>
      <c r="AM662" t="n">
        <v>16</v>
      </c>
      <c r="AN662" t="n">
        <v>4</v>
      </c>
      <c r="AO662" t="n">
        <v>5</v>
      </c>
      <c r="AP662" t="n">
        <v>0</v>
      </c>
      <c r="AQ662" t="n">
        <v>0</v>
      </c>
      <c r="AR662" t="inlineStr">
        <is>
          <t>No</t>
        </is>
      </c>
      <c r="AS662" t="inlineStr">
        <is>
          <t>Yes</t>
        </is>
      </c>
      <c r="AT662">
        <f>HYPERLINK("http://catalog.hathitrust.org/Record/001493080","HathiTrust Record")</f>
        <v/>
      </c>
      <c r="AU662">
        <f>HYPERLINK("https://creighton-primo.hosted.exlibrisgroup.com/primo-explore/search?tab=default_tab&amp;search_scope=EVERYTHING&amp;vid=01CRU&amp;lang=en_US&amp;offset=0&amp;query=any,contains,991003156649702656","Catalog Record")</f>
        <v/>
      </c>
      <c r="AV662">
        <f>HYPERLINK("http://www.worldcat.org/oclc/695680","WorldCat Record")</f>
        <v/>
      </c>
      <c r="AW662" t="inlineStr">
        <is>
          <t>762358564:eng</t>
        </is>
      </c>
      <c r="AX662" t="inlineStr">
        <is>
          <t>695680</t>
        </is>
      </c>
      <c r="AY662" t="inlineStr">
        <is>
          <t>991003156649702656</t>
        </is>
      </c>
      <c r="AZ662" t="inlineStr">
        <is>
          <t>991003156649702656</t>
        </is>
      </c>
      <c r="BA662" t="inlineStr">
        <is>
          <t>2267595100002656</t>
        </is>
      </c>
      <c r="BB662" t="inlineStr">
        <is>
          <t>BOOK</t>
        </is>
      </c>
      <c r="BD662" t="inlineStr">
        <is>
          <t>9780471844600</t>
        </is>
      </c>
      <c r="BE662" t="inlineStr">
        <is>
          <t>32285001053478</t>
        </is>
      </c>
      <c r="BF662" t="inlineStr">
        <is>
          <t>893617051</t>
        </is>
      </c>
    </row>
    <row r="663">
      <c r="B663" t="inlineStr">
        <is>
          <t>CURAL</t>
        </is>
      </c>
      <c r="C663" t="inlineStr">
        <is>
          <t>SHELVES</t>
        </is>
      </c>
      <c r="D663" t="inlineStr">
        <is>
          <t>QP531 .B543 1994</t>
        </is>
      </c>
      <c r="E663" t="inlineStr">
        <is>
          <t>0                      QP 0531000B  543         1994</t>
        </is>
      </c>
      <c r="F663" t="inlineStr">
        <is>
          <t>Bioinorganic chemistry / Ivano Bertini ... [et al.]</t>
        </is>
      </c>
      <c r="H663" t="inlineStr">
        <is>
          <t>No</t>
        </is>
      </c>
      <c r="I663" t="inlineStr">
        <is>
          <t>1</t>
        </is>
      </c>
      <c r="J663" t="inlineStr">
        <is>
          <t>No</t>
        </is>
      </c>
      <c r="K663" t="inlineStr">
        <is>
          <t>No</t>
        </is>
      </c>
      <c r="L663" t="inlineStr">
        <is>
          <t>0</t>
        </is>
      </c>
      <c r="N663" t="inlineStr">
        <is>
          <t>Mill Valley, Calif. : University Science Books, c1994.</t>
        </is>
      </c>
      <c r="O663" t="inlineStr">
        <is>
          <t>1994</t>
        </is>
      </c>
      <c r="Q663" t="inlineStr">
        <is>
          <t>eng</t>
        </is>
      </c>
      <c r="R663" t="inlineStr">
        <is>
          <t>pau</t>
        </is>
      </c>
      <c r="T663" t="inlineStr">
        <is>
          <t xml:space="preserve">QP </t>
        </is>
      </c>
      <c r="U663" t="n">
        <v>3</v>
      </c>
      <c r="V663" t="n">
        <v>3</v>
      </c>
      <c r="W663" t="inlineStr">
        <is>
          <t>1995-04-19</t>
        </is>
      </c>
      <c r="X663" t="inlineStr">
        <is>
          <t>1995-04-19</t>
        </is>
      </c>
      <c r="Y663" t="inlineStr">
        <is>
          <t>1994-05-24</t>
        </is>
      </c>
      <c r="Z663" t="inlineStr">
        <is>
          <t>1994-05-24</t>
        </is>
      </c>
      <c r="AA663" t="n">
        <v>592</v>
      </c>
      <c r="AB663" t="n">
        <v>412</v>
      </c>
      <c r="AC663" t="n">
        <v>501</v>
      </c>
      <c r="AD663" t="n">
        <v>3</v>
      </c>
      <c r="AE663" t="n">
        <v>3</v>
      </c>
      <c r="AF663" t="n">
        <v>18</v>
      </c>
      <c r="AG663" t="n">
        <v>20</v>
      </c>
      <c r="AH663" t="n">
        <v>7</v>
      </c>
      <c r="AI663" t="n">
        <v>7</v>
      </c>
      <c r="AJ663" t="n">
        <v>2</v>
      </c>
      <c r="AK663" t="n">
        <v>3</v>
      </c>
      <c r="AL663" t="n">
        <v>12</v>
      </c>
      <c r="AM663" t="n">
        <v>13</v>
      </c>
      <c r="AN663" t="n">
        <v>2</v>
      </c>
      <c r="AO663" t="n">
        <v>2</v>
      </c>
      <c r="AP663" t="n">
        <v>0</v>
      </c>
      <c r="AQ663" t="n">
        <v>0</v>
      </c>
      <c r="AR663" t="inlineStr">
        <is>
          <t>No</t>
        </is>
      </c>
      <c r="AS663" t="inlineStr">
        <is>
          <t>Yes</t>
        </is>
      </c>
      <c r="AT663">
        <f>HYPERLINK("http://catalog.hathitrust.org/Record/002802214","HathiTrust Record")</f>
        <v/>
      </c>
      <c r="AU663">
        <f>HYPERLINK("https://creighton-primo.hosted.exlibrisgroup.com/primo-explore/search?tab=default_tab&amp;search_scope=EVERYTHING&amp;vid=01CRU&amp;lang=en_US&amp;offset=0&amp;query=any,contains,991002270439702656","Catalog Record")</f>
        <v/>
      </c>
      <c r="AV663">
        <f>HYPERLINK("http://www.worldcat.org/oclc/29467565","WorldCat Record")</f>
        <v/>
      </c>
      <c r="AW663" t="inlineStr">
        <is>
          <t>4926679589:eng</t>
        </is>
      </c>
      <c r="AX663" t="inlineStr">
        <is>
          <t>29467565</t>
        </is>
      </c>
      <c r="AY663" t="inlineStr">
        <is>
          <t>991002270439702656</t>
        </is>
      </c>
      <c r="AZ663" t="inlineStr">
        <is>
          <t>991002270439702656</t>
        </is>
      </c>
      <c r="BA663" t="inlineStr">
        <is>
          <t>2260642000002656</t>
        </is>
      </c>
      <c r="BB663" t="inlineStr">
        <is>
          <t>BOOK</t>
        </is>
      </c>
      <c r="BD663" t="inlineStr">
        <is>
          <t>9780935702576</t>
        </is>
      </c>
      <c r="BE663" t="inlineStr">
        <is>
          <t>32285001898401</t>
        </is>
      </c>
      <c r="BF663" t="inlineStr">
        <is>
          <t>893433696</t>
        </is>
      </c>
    </row>
    <row r="664">
      <c r="B664" t="inlineStr">
        <is>
          <t>CURAL</t>
        </is>
      </c>
      <c r="C664" t="inlineStr">
        <is>
          <t>SHELVES</t>
        </is>
      </c>
      <c r="D664" t="inlineStr">
        <is>
          <t>QP531 .B547 2007</t>
        </is>
      </c>
      <c r="E664" t="inlineStr">
        <is>
          <t>0                      QP 0531000B  547         2007</t>
        </is>
      </c>
      <c r="F664" t="inlineStr">
        <is>
          <t>Biological inorganic chemistry : structure and reactivity / edited by] Ivano Bertini ... [et al.].</t>
        </is>
      </c>
      <c r="H664" t="inlineStr">
        <is>
          <t>No</t>
        </is>
      </c>
      <c r="I664" t="inlineStr">
        <is>
          <t>1</t>
        </is>
      </c>
      <c r="J664" t="inlineStr">
        <is>
          <t>No</t>
        </is>
      </c>
      <c r="K664" t="inlineStr">
        <is>
          <t>No</t>
        </is>
      </c>
      <c r="L664" t="inlineStr">
        <is>
          <t>0</t>
        </is>
      </c>
      <c r="N664" t="inlineStr">
        <is>
          <t>Sausalito, Calif. : University Science Books, c2007.</t>
        </is>
      </c>
      <c r="O664" t="inlineStr">
        <is>
          <t>2007</t>
        </is>
      </c>
      <c r="Q664" t="inlineStr">
        <is>
          <t>eng</t>
        </is>
      </c>
      <c r="R664" t="inlineStr">
        <is>
          <t>cau</t>
        </is>
      </c>
      <c r="T664" t="inlineStr">
        <is>
          <t xml:space="preserve">QP </t>
        </is>
      </c>
      <c r="U664" t="n">
        <v>2</v>
      </c>
      <c r="V664" t="n">
        <v>2</v>
      </c>
      <c r="W664" t="inlineStr">
        <is>
          <t>2007-03-21</t>
        </is>
      </c>
      <c r="X664" t="inlineStr">
        <is>
          <t>2007-03-21</t>
        </is>
      </c>
      <c r="Y664" t="inlineStr">
        <is>
          <t>2007-03-21</t>
        </is>
      </c>
      <c r="Z664" t="inlineStr">
        <is>
          <t>2007-03-21</t>
        </is>
      </c>
      <c r="AA664" t="n">
        <v>478</v>
      </c>
      <c r="AB664" t="n">
        <v>369</v>
      </c>
      <c r="AC664" t="n">
        <v>439</v>
      </c>
      <c r="AD664" t="n">
        <v>4</v>
      </c>
      <c r="AE664" t="n">
        <v>4</v>
      </c>
      <c r="AF664" t="n">
        <v>25</v>
      </c>
      <c r="AG664" t="n">
        <v>25</v>
      </c>
      <c r="AH664" t="n">
        <v>10</v>
      </c>
      <c r="AI664" t="n">
        <v>10</v>
      </c>
      <c r="AJ664" t="n">
        <v>4</v>
      </c>
      <c r="AK664" t="n">
        <v>4</v>
      </c>
      <c r="AL664" t="n">
        <v>14</v>
      </c>
      <c r="AM664" t="n">
        <v>14</v>
      </c>
      <c r="AN664" t="n">
        <v>3</v>
      </c>
      <c r="AO664" t="n">
        <v>3</v>
      </c>
      <c r="AP664" t="n">
        <v>0</v>
      </c>
      <c r="AQ664" t="n">
        <v>0</v>
      </c>
      <c r="AR664" t="inlineStr">
        <is>
          <t>No</t>
        </is>
      </c>
      <c r="AS664" t="inlineStr">
        <is>
          <t>No</t>
        </is>
      </c>
      <c r="AU664">
        <f>HYPERLINK("https://creighton-primo.hosted.exlibrisgroup.com/primo-explore/search?tab=default_tab&amp;search_scope=EVERYTHING&amp;vid=01CRU&amp;lang=en_US&amp;offset=0&amp;query=any,contains,991005048509702656","Catalog Record")</f>
        <v/>
      </c>
      <c r="AV664">
        <f>HYPERLINK("http://www.worldcat.org/oclc/65400780","WorldCat Record")</f>
        <v/>
      </c>
      <c r="AW664" t="inlineStr">
        <is>
          <t>3373389474:eng</t>
        </is>
      </c>
      <c r="AX664" t="inlineStr">
        <is>
          <t>65400780</t>
        </is>
      </c>
      <c r="AY664" t="inlineStr">
        <is>
          <t>991005048509702656</t>
        </is>
      </c>
      <c r="AZ664" t="inlineStr">
        <is>
          <t>991005048509702656</t>
        </is>
      </c>
      <c r="BA664" t="inlineStr">
        <is>
          <t>2258347110002656</t>
        </is>
      </c>
      <c r="BB664" t="inlineStr">
        <is>
          <t>BOOK</t>
        </is>
      </c>
      <c r="BD664" t="inlineStr">
        <is>
          <t>9781891389436</t>
        </is>
      </c>
      <c r="BE664" t="inlineStr">
        <is>
          <t>32285005282248</t>
        </is>
      </c>
      <c r="BF664" t="inlineStr">
        <is>
          <t>893430762</t>
        </is>
      </c>
    </row>
    <row r="665">
      <c r="B665" t="inlineStr">
        <is>
          <t>CURAL</t>
        </is>
      </c>
      <c r="C665" t="inlineStr">
        <is>
          <t>SHELVES</t>
        </is>
      </c>
      <c r="D665" t="inlineStr">
        <is>
          <t>QP531 .H29 1984</t>
        </is>
      </c>
      <c r="E665" t="inlineStr">
        <is>
          <t>0                      QP 0531000H  29          1984</t>
        </is>
      </c>
      <c r="F665" t="inlineStr">
        <is>
          <t>Bio-inorganic chemistry / R.W. Hay.</t>
        </is>
      </c>
      <c r="H665" t="inlineStr">
        <is>
          <t>No</t>
        </is>
      </c>
      <c r="I665" t="inlineStr">
        <is>
          <t>1</t>
        </is>
      </c>
      <c r="J665" t="inlineStr">
        <is>
          <t>No</t>
        </is>
      </c>
      <c r="K665" t="inlineStr">
        <is>
          <t>No</t>
        </is>
      </c>
      <c r="L665" t="inlineStr">
        <is>
          <t>0</t>
        </is>
      </c>
      <c r="M665" t="inlineStr">
        <is>
          <t>Hay, R. W. (Robert Walker), 1934-</t>
        </is>
      </c>
      <c r="N665" t="inlineStr">
        <is>
          <t>Chichester [West Sussex] : E. Horwood ; New York : Halsted Press, distributor, 1984.</t>
        </is>
      </c>
      <c r="O665" t="inlineStr">
        <is>
          <t>1984</t>
        </is>
      </c>
      <c r="Q665" t="inlineStr">
        <is>
          <t>eng</t>
        </is>
      </c>
      <c r="R665" t="inlineStr">
        <is>
          <t>enk</t>
        </is>
      </c>
      <c r="S665" t="inlineStr">
        <is>
          <t>Ellis Horwood series in chemical science</t>
        </is>
      </c>
      <c r="T665" t="inlineStr">
        <is>
          <t xml:space="preserve">QP </t>
        </is>
      </c>
      <c r="U665" t="n">
        <v>2</v>
      </c>
      <c r="V665" t="n">
        <v>2</v>
      </c>
      <c r="W665" t="inlineStr">
        <is>
          <t>1996-03-05</t>
        </is>
      </c>
      <c r="X665" t="inlineStr">
        <is>
          <t>1996-03-05</t>
        </is>
      </c>
      <c r="Y665" t="inlineStr">
        <is>
          <t>1992-08-19</t>
        </is>
      </c>
      <c r="Z665" t="inlineStr">
        <is>
          <t>1992-08-19</t>
        </is>
      </c>
      <c r="AA665" t="n">
        <v>502</v>
      </c>
      <c r="AB665" t="n">
        <v>360</v>
      </c>
      <c r="AC665" t="n">
        <v>388</v>
      </c>
      <c r="AD665" t="n">
        <v>2</v>
      </c>
      <c r="AE665" t="n">
        <v>2</v>
      </c>
      <c r="AF665" t="n">
        <v>13</v>
      </c>
      <c r="AG665" t="n">
        <v>15</v>
      </c>
      <c r="AH665" t="n">
        <v>3</v>
      </c>
      <c r="AI665" t="n">
        <v>4</v>
      </c>
      <c r="AJ665" t="n">
        <v>6</v>
      </c>
      <c r="AK665" t="n">
        <v>6</v>
      </c>
      <c r="AL665" t="n">
        <v>8</v>
      </c>
      <c r="AM665" t="n">
        <v>10</v>
      </c>
      <c r="AN665" t="n">
        <v>1</v>
      </c>
      <c r="AO665" t="n">
        <v>1</v>
      </c>
      <c r="AP665" t="n">
        <v>0</v>
      </c>
      <c r="AQ665" t="n">
        <v>0</v>
      </c>
      <c r="AR665" t="inlineStr">
        <is>
          <t>No</t>
        </is>
      </c>
      <c r="AS665" t="inlineStr">
        <is>
          <t>Yes</t>
        </is>
      </c>
      <c r="AT665">
        <f>HYPERLINK("http://catalog.hathitrust.org/Record/000412503","HathiTrust Record")</f>
        <v/>
      </c>
      <c r="AU665">
        <f>HYPERLINK("https://creighton-primo.hosted.exlibrisgroup.com/primo-explore/search?tab=default_tab&amp;search_scope=EVERYTHING&amp;vid=01CRU&amp;lang=en_US&amp;offset=0&amp;query=any,contains,991000392269702656","Catalog Record")</f>
        <v/>
      </c>
      <c r="AV665">
        <f>HYPERLINK("http://www.worldcat.org/oclc/10558336","WorldCat Record")</f>
        <v/>
      </c>
      <c r="AW665" t="inlineStr">
        <is>
          <t>2887229:eng</t>
        </is>
      </c>
      <c r="AX665" t="inlineStr">
        <is>
          <t>10558336</t>
        </is>
      </c>
      <c r="AY665" t="inlineStr">
        <is>
          <t>991000392269702656</t>
        </is>
      </c>
      <c r="AZ665" t="inlineStr">
        <is>
          <t>991000392269702656</t>
        </is>
      </c>
      <c r="BA665" t="inlineStr">
        <is>
          <t>2270964270002656</t>
        </is>
      </c>
      <c r="BB665" t="inlineStr">
        <is>
          <t>BOOK</t>
        </is>
      </c>
      <c r="BD665" t="inlineStr">
        <is>
          <t>9780853122005</t>
        </is>
      </c>
      <c r="BE665" t="inlineStr">
        <is>
          <t>32285001246270</t>
        </is>
      </c>
      <c r="BF665" t="inlineStr">
        <is>
          <t>893502438</t>
        </is>
      </c>
    </row>
    <row r="666">
      <c r="B666" t="inlineStr">
        <is>
          <t>CURAL</t>
        </is>
      </c>
      <c r="C666" t="inlineStr">
        <is>
          <t>SHELVES</t>
        </is>
      </c>
      <c r="D666" t="inlineStr">
        <is>
          <t>QP531 .O238 2008</t>
        </is>
      </c>
      <c r="E666" t="inlineStr">
        <is>
          <t>0                      QP 0531000O  238         2008</t>
        </is>
      </c>
      <c r="F666" t="inlineStr">
        <is>
          <t>Bioinorganic chemistry : a survey / Eiichiro Ochiai.</t>
        </is>
      </c>
      <c r="H666" t="inlineStr">
        <is>
          <t>No</t>
        </is>
      </c>
      <c r="I666" t="inlineStr">
        <is>
          <t>1</t>
        </is>
      </c>
      <c r="J666" t="inlineStr">
        <is>
          <t>No</t>
        </is>
      </c>
      <c r="K666" t="inlineStr">
        <is>
          <t>No</t>
        </is>
      </c>
      <c r="L666" t="inlineStr">
        <is>
          <t>0</t>
        </is>
      </c>
      <c r="M666" t="inlineStr">
        <is>
          <t>Ochiai, Ei-ichiro, 1936-</t>
        </is>
      </c>
      <c r="N666" t="inlineStr">
        <is>
          <t>Amsterdam ; Boston : Elsevier/Academic Press, c2008.</t>
        </is>
      </c>
      <c r="O666" t="inlineStr">
        <is>
          <t>2008</t>
        </is>
      </c>
      <c r="Q666" t="inlineStr">
        <is>
          <t>eng</t>
        </is>
      </c>
      <c r="R666" t="inlineStr">
        <is>
          <t xml:space="preserve">ne </t>
        </is>
      </c>
      <c r="T666" t="inlineStr">
        <is>
          <t xml:space="preserve">QP </t>
        </is>
      </c>
      <c r="U666" t="n">
        <v>1</v>
      </c>
      <c r="V666" t="n">
        <v>1</v>
      </c>
      <c r="W666" t="inlineStr">
        <is>
          <t>2010-02-22</t>
        </is>
      </c>
      <c r="X666" t="inlineStr">
        <is>
          <t>2010-02-22</t>
        </is>
      </c>
      <c r="Y666" t="inlineStr">
        <is>
          <t>2010-02-22</t>
        </is>
      </c>
      <c r="Z666" t="inlineStr">
        <is>
          <t>2010-02-22</t>
        </is>
      </c>
      <c r="AA666" t="n">
        <v>196</v>
      </c>
      <c r="AB666" t="n">
        <v>125</v>
      </c>
      <c r="AC666" t="n">
        <v>146</v>
      </c>
      <c r="AD666" t="n">
        <v>2</v>
      </c>
      <c r="AE666" t="n">
        <v>3</v>
      </c>
      <c r="AF666" t="n">
        <v>10</v>
      </c>
      <c r="AG666" t="n">
        <v>11</v>
      </c>
      <c r="AH666" t="n">
        <v>5</v>
      </c>
      <c r="AI666" t="n">
        <v>5</v>
      </c>
      <c r="AJ666" t="n">
        <v>2</v>
      </c>
      <c r="AK666" t="n">
        <v>2</v>
      </c>
      <c r="AL666" t="n">
        <v>4</v>
      </c>
      <c r="AM666" t="n">
        <v>4</v>
      </c>
      <c r="AN666" t="n">
        <v>1</v>
      </c>
      <c r="AO666" t="n">
        <v>2</v>
      </c>
      <c r="AP666" t="n">
        <v>0</v>
      </c>
      <c r="AQ666" t="n">
        <v>0</v>
      </c>
      <c r="AR666" t="inlineStr">
        <is>
          <t>No</t>
        </is>
      </c>
      <c r="AS666" t="inlineStr">
        <is>
          <t>No</t>
        </is>
      </c>
      <c r="AU666">
        <f>HYPERLINK("https://creighton-primo.hosted.exlibrisgroup.com/primo-explore/search?tab=default_tab&amp;search_scope=EVERYTHING&amp;vid=01CRU&amp;lang=en_US&amp;offset=0&amp;query=any,contains,991005363609702656","Catalog Record")</f>
        <v/>
      </c>
      <c r="AV666">
        <f>HYPERLINK("http://www.worldcat.org/oclc/213839467","WorldCat Record")</f>
        <v/>
      </c>
      <c r="AW666" t="inlineStr">
        <is>
          <t>797269227:eng</t>
        </is>
      </c>
      <c r="AX666" t="inlineStr">
        <is>
          <t>213839467</t>
        </is>
      </c>
      <c r="AY666" t="inlineStr">
        <is>
          <t>991005363609702656</t>
        </is>
      </c>
      <c r="AZ666" t="inlineStr">
        <is>
          <t>991005363609702656</t>
        </is>
      </c>
      <c r="BA666" t="inlineStr">
        <is>
          <t>2268043780002656</t>
        </is>
      </c>
      <c r="BB666" t="inlineStr">
        <is>
          <t>BOOK</t>
        </is>
      </c>
      <c r="BD666" t="inlineStr">
        <is>
          <t>9780120887569</t>
        </is>
      </c>
      <c r="BE666" t="inlineStr">
        <is>
          <t>32285005574495</t>
        </is>
      </c>
      <c r="BF666" t="inlineStr">
        <is>
          <t>893722933</t>
        </is>
      </c>
    </row>
    <row r="667">
      <c r="B667" t="inlineStr">
        <is>
          <t>CURAL</t>
        </is>
      </c>
      <c r="C667" t="inlineStr">
        <is>
          <t>SHELVES</t>
        </is>
      </c>
      <c r="D667" t="inlineStr">
        <is>
          <t>QP531 .R63 2007</t>
        </is>
      </c>
      <c r="E667" t="inlineStr">
        <is>
          <t>0                      QP 0531000R  63          2007</t>
        </is>
      </c>
      <c r="F667" t="inlineStr">
        <is>
          <t>Bioinorganic chemistry : a short course / Rosette M. Roat-Malone.</t>
        </is>
      </c>
      <c r="H667" t="inlineStr">
        <is>
          <t>No</t>
        </is>
      </c>
      <c r="I667" t="inlineStr">
        <is>
          <t>1</t>
        </is>
      </c>
      <c r="J667" t="inlineStr">
        <is>
          <t>No</t>
        </is>
      </c>
      <c r="K667" t="inlineStr">
        <is>
          <t>No</t>
        </is>
      </c>
      <c r="L667" t="inlineStr">
        <is>
          <t>0</t>
        </is>
      </c>
      <c r="M667" t="inlineStr">
        <is>
          <t>Roat-Malone, Rosette M.</t>
        </is>
      </c>
      <c r="N667" t="inlineStr">
        <is>
          <t>Hoboken, N.J. : Wiley-Interscience, c2007.</t>
        </is>
      </c>
      <c r="O667" t="inlineStr">
        <is>
          <t>2007</t>
        </is>
      </c>
      <c r="P667" t="inlineStr">
        <is>
          <t>2nd ed.</t>
        </is>
      </c>
      <c r="Q667" t="inlineStr">
        <is>
          <t>eng</t>
        </is>
      </c>
      <c r="R667" t="inlineStr">
        <is>
          <t>nju</t>
        </is>
      </c>
      <c r="T667" t="inlineStr">
        <is>
          <t xml:space="preserve">QP </t>
        </is>
      </c>
      <c r="U667" t="n">
        <v>1</v>
      </c>
      <c r="V667" t="n">
        <v>1</v>
      </c>
      <c r="W667" t="inlineStr">
        <is>
          <t>2008-04-02</t>
        </is>
      </c>
      <c r="X667" t="inlineStr">
        <is>
          <t>2008-04-02</t>
        </is>
      </c>
      <c r="Y667" t="inlineStr">
        <is>
          <t>2008-04-02</t>
        </is>
      </c>
      <c r="Z667" t="inlineStr">
        <is>
          <t>2008-04-02</t>
        </is>
      </c>
      <c r="AA667" t="n">
        <v>389</v>
      </c>
      <c r="AB667" t="n">
        <v>287</v>
      </c>
      <c r="AC667" t="n">
        <v>954</v>
      </c>
      <c r="AD667" t="n">
        <v>3</v>
      </c>
      <c r="AE667" t="n">
        <v>31</v>
      </c>
      <c r="AF667" t="n">
        <v>13</v>
      </c>
      <c r="AG667" t="n">
        <v>44</v>
      </c>
      <c r="AH667" t="n">
        <v>5</v>
      </c>
      <c r="AI667" t="n">
        <v>15</v>
      </c>
      <c r="AJ667" t="n">
        <v>1</v>
      </c>
      <c r="AK667" t="n">
        <v>6</v>
      </c>
      <c r="AL667" t="n">
        <v>8</v>
      </c>
      <c r="AM667" t="n">
        <v>15</v>
      </c>
      <c r="AN667" t="n">
        <v>2</v>
      </c>
      <c r="AO667" t="n">
        <v>16</v>
      </c>
      <c r="AP667" t="n">
        <v>0</v>
      </c>
      <c r="AQ667" t="n">
        <v>0</v>
      </c>
      <c r="AR667" t="inlineStr">
        <is>
          <t>No</t>
        </is>
      </c>
      <c r="AS667" t="inlineStr">
        <is>
          <t>Yes</t>
        </is>
      </c>
      <c r="AT667">
        <f>HYPERLINK("http://catalog.hathitrust.org/Record/102054140","HathiTrust Record")</f>
        <v/>
      </c>
      <c r="AU667">
        <f>HYPERLINK("https://creighton-primo.hosted.exlibrisgroup.com/primo-explore/search?tab=default_tab&amp;search_scope=EVERYTHING&amp;vid=01CRU&amp;lang=en_US&amp;offset=0&amp;query=any,contains,991005200879702656","Catalog Record")</f>
        <v/>
      </c>
      <c r="AV667">
        <f>HYPERLINK("http://www.worldcat.org/oclc/126230917","WorldCat Record")</f>
        <v/>
      </c>
      <c r="AW667" t="inlineStr">
        <is>
          <t>116906618:eng</t>
        </is>
      </c>
      <c r="AX667" t="inlineStr">
        <is>
          <t>126230917</t>
        </is>
      </c>
      <c r="AY667" t="inlineStr">
        <is>
          <t>991005200879702656</t>
        </is>
      </c>
      <c r="AZ667" t="inlineStr">
        <is>
          <t>991005200879702656</t>
        </is>
      </c>
      <c r="BA667" t="inlineStr">
        <is>
          <t>2255595800002656</t>
        </is>
      </c>
      <c r="BB667" t="inlineStr">
        <is>
          <t>BOOK</t>
        </is>
      </c>
      <c r="BD667" t="inlineStr">
        <is>
          <t>9780471761136</t>
        </is>
      </c>
      <c r="BE667" t="inlineStr">
        <is>
          <t>32285005400634</t>
        </is>
      </c>
      <c r="BF667" t="inlineStr">
        <is>
          <t>893431026</t>
        </is>
      </c>
    </row>
    <row r="668">
      <c r="B668" t="inlineStr">
        <is>
          <t>CURAL</t>
        </is>
      </c>
      <c r="C668" t="inlineStr">
        <is>
          <t>SHELVES</t>
        </is>
      </c>
      <c r="D668" t="inlineStr">
        <is>
          <t>QP534 .U5 1977</t>
        </is>
      </c>
      <c r="E668" t="inlineStr">
        <is>
          <t>0                      QP 0534000U  5           1977</t>
        </is>
      </c>
      <c r="F668" t="inlineStr">
        <is>
          <t>Trace elements in human and animal nutrition / Eric J. Underwood.</t>
        </is>
      </c>
      <c r="H668" t="inlineStr">
        <is>
          <t>No</t>
        </is>
      </c>
      <c r="I668" t="inlineStr">
        <is>
          <t>1</t>
        </is>
      </c>
      <c r="J668" t="inlineStr">
        <is>
          <t>No</t>
        </is>
      </c>
      <c r="K668" t="inlineStr">
        <is>
          <t>Yes</t>
        </is>
      </c>
      <c r="L668" t="inlineStr">
        <is>
          <t>0</t>
        </is>
      </c>
      <c r="M668" t="inlineStr">
        <is>
          <t>Underwood, E. J. (Eric John), 1905-1980.</t>
        </is>
      </c>
      <c r="N668" t="inlineStr">
        <is>
          <t>New York : Academic Press, 1977.</t>
        </is>
      </c>
      <c r="O668" t="inlineStr">
        <is>
          <t>1977</t>
        </is>
      </c>
      <c r="P668" t="inlineStr">
        <is>
          <t>4th ed.</t>
        </is>
      </c>
      <c r="Q668" t="inlineStr">
        <is>
          <t>eng</t>
        </is>
      </c>
      <c r="R668" t="inlineStr">
        <is>
          <t>nyu</t>
        </is>
      </c>
      <c r="T668" t="inlineStr">
        <is>
          <t xml:space="preserve">QP </t>
        </is>
      </c>
      <c r="U668" t="n">
        <v>1</v>
      </c>
      <c r="V668" t="n">
        <v>1</v>
      </c>
      <c r="W668" t="inlineStr">
        <is>
          <t>1997-05-12</t>
        </is>
      </c>
      <c r="X668" t="inlineStr">
        <is>
          <t>1997-05-12</t>
        </is>
      </c>
      <c r="Y668" t="inlineStr">
        <is>
          <t>1995-05-02</t>
        </is>
      </c>
      <c r="Z668" t="inlineStr">
        <is>
          <t>1995-05-02</t>
        </is>
      </c>
      <c r="AA668" t="n">
        <v>437</v>
      </c>
      <c r="AB668" t="n">
        <v>288</v>
      </c>
      <c r="AC668" t="n">
        <v>566</v>
      </c>
      <c r="AD668" t="n">
        <v>4</v>
      </c>
      <c r="AE668" t="n">
        <v>6</v>
      </c>
      <c r="AF668" t="n">
        <v>7</v>
      </c>
      <c r="AG668" t="n">
        <v>16</v>
      </c>
      <c r="AH668" t="n">
        <v>1</v>
      </c>
      <c r="AI668" t="n">
        <v>4</v>
      </c>
      <c r="AJ668" t="n">
        <v>2</v>
      </c>
      <c r="AK668" t="n">
        <v>5</v>
      </c>
      <c r="AL668" t="n">
        <v>3</v>
      </c>
      <c r="AM668" t="n">
        <v>6</v>
      </c>
      <c r="AN668" t="n">
        <v>3</v>
      </c>
      <c r="AO668" t="n">
        <v>3</v>
      </c>
      <c r="AP668" t="n">
        <v>0</v>
      </c>
      <c r="AQ668" t="n">
        <v>0</v>
      </c>
      <c r="AR668" t="inlineStr">
        <is>
          <t>No</t>
        </is>
      </c>
      <c r="AS668" t="inlineStr">
        <is>
          <t>Yes</t>
        </is>
      </c>
      <c r="AT668">
        <f>HYPERLINK("http://catalog.hathitrust.org/Record/000082895","HathiTrust Record")</f>
        <v/>
      </c>
      <c r="AU668">
        <f>HYPERLINK("https://creighton-primo.hosted.exlibrisgroup.com/primo-explore/search?tab=default_tab&amp;search_scope=EVERYTHING&amp;vid=01CRU&amp;lang=en_US&amp;offset=0&amp;query=any,contains,991004144779702656","Catalog Record")</f>
        <v/>
      </c>
      <c r="AV668">
        <f>HYPERLINK("http://www.worldcat.org/oclc/2507616","WorldCat Record")</f>
        <v/>
      </c>
      <c r="AW668" t="inlineStr">
        <is>
          <t>9565596211:eng</t>
        </is>
      </c>
      <c r="AX668" t="inlineStr">
        <is>
          <t>2507616</t>
        </is>
      </c>
      <c r="AY668" t="inlineStr">
        <is>
          <t>991004144779702656</t>
        </is>
      </c>
      <c r="AZ668" t="inlineStr">
        <is>
          <t>991004144779702656</t>
        </is>
      </c>
      <c r="BA668" t="inlineStr">
        <is>
          <t>2255332530002656</t>
        </is>
      </c>
      <c r="BB668" t="inlineStr">
        <is>
          <t>BOOK</t>
        </is>
      </c>
      <c r="BD668" t="inlineStr">
        <is>
          <t>9780127090658</t>
        </is>
      </c>
      <c r="BE668" t="inlineStr">
        <is>
          <t>32285002030814</t>
        </is>
      </c>
      <c r="BF668" t="inlineStr">
        <is>
          <t>893718538</t>
        </is>
      </c>
    </row>
    <row r="669">
      <c r="B669" t="inlineStr">
        <is>
          <t>CURAL</t>
        </is>
      </c>
      <c r="C669" t="inlineStr">
        <is>
          <t>SHELVES</t>
        </is>
      </c>
      <c r="D669" t="inlineStr">
        <is>
          <t>QP535.C1 C9</t>
        </is>
      </c>
      <c r="E669" t="inlineStr">
        <is>
          <t>0                      QP 0535000C  1                  C  9</t>
        </is>
      </c>
      <c r="F669" t="inlineStr">
        <is>
          <t>Cyanide in biology / edited by B. Vennesland ... [et al.].</t>
        </is>
      </c>
      <c r="H669" t="inlineStr">
        <is>
          <t>No</t>
        </is>
      </c>
      <c r="I669" t="inlineStr">
        <is>
          <t>1</t>
        </is>
      </c>
      <c r="J669" t="inlineStr">
        <is>
          <t>No</t>
        </is>
      </c>
      <c r="K669" t="inlineStr">
        <is>
          <t>No</t>
        </is>
      </c>
      <c r="L669" t="inlineStr">
        <is>
          <t>0</t>
        </is>
      </c>
      <c r="N669" t="inlineStr">
        <is>
          <t>London ; New York : Academic Press, 1981.</t>
        </is>
      </c>
      <c r="O669" t="inlineStr">
        <is>
          <t>1981</t>
        </is>
      </c>
      <c r="Q669" t="inlineStr">
        <is>
          <t>eng</t>
        </is>
      </c>
      <c r="R669" t="inlineStr">
        <is>
          <t>enk</t>
        </is>
      </c>
      <c r="T669" t="inlineStr">
        <is>
          <t xml:space="preserve">QP </t>
        </is>
      </c>
      <c r="U669" t="n">
        <v>1</v>
      </c>
      <c r="V669" t="n">
        <v>1</v>
      </c>
      <c r="W669" t="inlineStr">
        <is>
          <t>1991-12-27</t>
        </is>
      </c>
      <c r="X669" t="inlineStr">
        <is>
          <t>1991-12-27</t>
        </is>
      </c>
      <c r="Y669" t="inlineStr">
        <is>
          <t>1991-12-27</t>
        </is>
      </c>
      <c r="Z669" t="inlineStr">
        <is>
          <t>1991-12-27</t>
        </is>
      </c>
      <c r="AA669" t="n">
        <v>235</v>
      </c>
      <c r="AB669" t="n">
        <v>154</v>
      </c>
      <c r="AC669" t="n">
        <v>155</v>
      </c>
      <c r="AD669" t="n">
        <v>2</v>
      </c>
      <c r="AE669" t="n">
        <v>2</v>
      </c>
      <c r="AF669" t="n">
        <v>3</v>
      </c>
      <c r="AG669" t="n">
        <v>3</v>
      </c>
      <c r="AH669" t="n">
        <v>1</v>
      </c>
      <c r="AI669" t="n">
        <v>1</v>
      </c>
      <c r="AJ669" t="n">
        <v>1</v>
      </c>
      <c r="AK669" t="n">
        <v>1</v>
      </c>
      <c r="AL669" t="n">
        <v>0</v>
      </c>
      <c r="AM669" t="n">
        <v>0</v>
      </c>
      <c r="AN669" t="n">
        <v>1</v>
      </c>
      <c r="AO669" t="n">
        <v>1</v>
      </c>
      <c r="AP669" t="n">
        <v>0</v>
      </c>
      <c r="AQ669" t="n">
        <v>0</v>
      </c>
      <c r="AR669" t="inlineStr">
        <is>
          <t>No</t>
        </is>
      </c>
      <c r="AS669" t="inlineStr">
        <is>
          <t>Yes</t>
        </is>
      </c>
      <c r="AT669">
        <f>HYPERLINK("http://catalog.hathitrust.org/Record/000122136","HathiTrust Record")</f>
        <v/>
      </c>
      <c r="AU669">
        <f>HYPERLINK("https://creighton-primo.hosted.exlibrisgroup.com/primo-explore/search?tab=default_tab&amp;search_scope=EVERYTHING&amp;vid=01CRU&amp;lang=en_US&amp;offset=0&amp;query=any,contains,991005217849702656","Catalog Record")</f>
        <v/>
      </c>
      <c r="AV669">
        <f>HYPERLINK("http://www.worldcat.org/oclc/8197330","WorldCat Record")</f>
        <v/>
      </c>
      <c r="AW669" t="inlineStr">
        <is>
          <t>409926:eng</t>
        </is>
      </c>
      <c r="AX669" t="inlineStr">
        <is>
          <t>8197330</t>
        </is>
      </c>
      <c r="AY669" t="inlineStr">
        <is>
          <t>991005217849702656</t>
        </is>
      </c>
      <c r="AZ669" t="inlineStr">
        <is>
          <t>991005217849702656</t>
        </is>
      </c>
      <c r="BA669" t="inlineStr">
        <is>
          <t>2265234840002656</t>
        </is>
      </c>
      <c r="BB669" t="inlineStr">
        <is>
          <t>BOOK</t>
        </is>
      </c>
      <c r="BD669" t="inlineStr">
        <is>
          <t>9780127169804</t>
        </is>
      </c>
      <c r="BE669" t="inlineStr">
        <is>
          <t>32285000896505</t>
        </is>
      </c>
      <c r="BF669" t="inlineStr">
        <is>
          <t>893527122</t>
        </is>
      </c>
    </row>
    <row r="670">
      <c r="B670" t="inlineStr">
        <is>
          <t>CURAL</t>
        </is>
      </c>
      <c r="C670" t="inlineStr">
        <is>
          <t>SHELVES</t>
        </is>
      </c>
      <c r="D670" t="inlineStr">
        <is>
          <t>QP535.C2 C2618 1985</t>
        </is>
      </c>
      <c r="E670" t="inlineStr">
        <is>
          <t>0                      QP 0535000C  2                  C  2618        1985</t>
        </is>
      </c>
      <c r="F670" t="inlineStr">
        <is>
          <t>Calcium and cell physiology / edited by Dieter Marmé.</t>
        </is>
      </c>
      <c r="H670" t="inlineStr">
        <is>
          <t>No</t>
        </is>
      </c>
      <c r="I670" t="inlineStr">
        <is>
          <t>1</t>
        </is>
      </c>
      <c r="J670" t="inlineStr">
        <is>
          <t>No</t>
        </is>
      </c>
      <c r="K670" t="inlineStr">
        <is>
          <t>No</t>
        </is>
      </c>
      <c r="L670" t="inlineStr">
        <is>
          <t>0</t>
        </is>
      </c>
      <c r="N670" t="inlineStr">
        <is>
          <t>Berlin ; New York : Springer-Verlag, c1985.</t>
        </is>
      </c>
      <c r="O670" t="inlineStr">
        <is>
          <t>1985</t>
        </is>
      </c>
      <c r="Q670" t="inlineStr">
        <is>
          <t>eng</t>
        </is>
      </c>
      <c r="R670" t="inlineStr">
        <is>
          <t xml:space="preserve">gw </t>
        </is>
      </c>
      <c r="T670" t="inlineStr">
        <is>
          <t xml:space="preserve">QP </t>
        </is>
      </c>
      <c r="U670" t="n">
        <v>2</v>
      </c>
      <c r="V670" t="n">
        <v>2</v>
      </c>
      <c r="W670" t="inlineStr">
        <is>
          <t>1994-11-21</t>
        </is>
      </c>
      <c r="X670" t="inlineStr">
        <is>
          <t>1994-11-21</t>
        </is>
      </c>
      <c r="Y670" t="inlineStr">
        <is>
          <t>1993-03-04</t>
        </is>
      </c>
      <c r="Z670" t="inlineStr">
        <is>
          <t>1993-03-04</t>
        </is>
      </c>
      <c r="AA670" t="n">
        <v>315</v>
      </c>
      <c r="AB670" t="n">
        <v>200</v>
      </c>
      <c r="AC670" t="n">
        <v>223</v>
      </c>
      <c r="AD670" t="n">
        <v>3</v>
      </c>
      <c r="AE670" t="n">
        <v>3</v>
      </c>
      <c r="AF670" t="n">
        <v>8</v>
      </c>
      <c r="AG670" t="n">
        <v>9</v>
      </c>
      <c r="AH670" t="n">
        <v>2</v>
      </c>
      <c r="AI670" t="n">
        <v>3</v>
      </c>
      <c r="AJ670" t="n">
        <v>2</v>
      </c>
      <c r="AK670" t="n">
        <v>2</v>
      </c>
      <c r="AL670" t="n">
        <v>5</v>
      </c>
      <c r="AM670" t="n">
        <v>6</v>
      </c>
      <c r="AN670" t="n">
        <v>2</v>
      </c>
      <c r="AO670" t="n">
        <v>2</v>
      </c>
      <c r="AP670" t="n">
        <v>0</v>
      </c>
      <c r="AQ670" t="n">
        <v>0</v>
      </c>
      <c r="AR670" t="inlineStr">
        <is>
          <t>No</t>
        </is>
      </c>
      <c r="AS670" t="inlineStr">
        <is>
          <t>Yes</t>
        </is>
      </c>
      <c r="AT670">
        <f>HYPERLINK("http://catalog.hathitrust.org/Record/000464024","HathiTrust Record")</f>
        <v/>
      </c>
      <c r="AU670">
        <f>HYPERLINK("https://creighton-primo.hosted.exlibrisgroup.com/primo-explore/search?tab=default_tab&amp;search_scope=EVERYTHING&amp;vid=01CRU&amp;lang=en_US&amp;offset=0&amp;query=any,contains,991000525299702656","Catalog Record")</f>
        <v/>
      </c>
      <c r="AV670">
        <f>HYPERLINK("http://www.worldcat.org/oclc/11370131","WorldCat Record")</f>
        <v/>
      </c>
      <c r="AW670" t="inlineStr">
        <is>
          <t>502744986:eng</t>
        </is>
      </c>
      <c r="AX670" t="inlineStr">
        <is>
          <t>11370131</t>
        </is>
      </c>
      <c r="AY670" t="inlineStr">
        <is>
          <t>991000525299702656</t>
        </is>
      </c>
      <c r="AZ670" t="inlineStr">
        <is>
          <t>991000525299702656</t>
        </is>
      </c>
      <c r="BA670" t="inlineStr">
        <is>
          <t>2260156820002656</t>
        </is>
      </c>
      <c r="BB670" t="inlineStr">
        <is>
          <t>BOOK</t>
        </is>
      </c>
      <c r="BD670" t="inlineStr">
        <is>
          <t>9780387138411</t>
        </is>
      </c>
      <c r="BE670" t="inlineStr">
        <is>
          <t>32285001562841</t>
        </is>
      </c>
      <c r="BF670" t="inlineStr">
        <is>
          <t>893419542</t>
        </is>
      </c>
    </row>
    <row r="671">
      <c r="B671" t="inlineStr">
        <is>
          <t>CURAL</t>
        </is>
      </c>
      <c r="C671" t="inlineStr">
        <is>
          <t>SHELVES</t>
        </is>
      </c>
      <c r="D671" t="inlineStr">
        <is>
          <t>QP535.C2 C2663 2000</t>
        </is>
      </c>
      <c r="E671" t="inlineStr">
        <is>
          <t>0                      QP 0535000C  2                  C  2663        2000</t>
        </is>
      </c>
      <c r="F671" t="inlineStr">
        <is>
          <t>Calcium signaling / edited by James W. Putney, Jr.</t>
        </is>
      </c>
      <c r="H671" t="inlineStr">
        <is>
          <t>No</t>
        </is>
      </c>
      <c r="I671" t="inlineStr">
        <is>
          <t>1</t>
        </is>
      </c>
      <c r="J671" t="inlineStr">
        <is>
          <t>No</t>
        </is>
      </c>
      <c r="K671" t="inlineStr">
        <is>
          <t>No</t>
        </is>
      </c>
      <c r="L671" t="inlineStr">
        <is>
          <t>0</t>
        </is>
      </c>
      <c r="N671" t="inlineStr">
        <is>
          <t>Boca Raton, Fla : CRC Press, c2000.</t>
        </is>
      </c>
      <c r="O671" t="inlineStr">
        <is>
          <t>2000</t>
        </is>
      </c>
      <c r="Q671" t="inlineStr">
        <is>
          <t>eng</t>
        </is>
      </c>
      <c r="R671" t="inlineStr">
        <is>
          <t>flu</t>
        </is>
      </c>
      <c r="S671" t="inlineStr">
        <is>
          <t>Methods in signal transduction</t>
        </is>
      </c>
      <c r="T671" t="inlineStr">
        <is>
          <t xml:space="preserve">QP </t>
        </is>
      </c>
      <c r="U671" t="n">
        <v>7</v>
      </c>
      <c r="V671" t="n">
        <v>7</v>
      </c>
      <c r="W671" t="inlineStr">
        <is>
          <t>2004-07-13</t>
        </is>
      </c>
      <c r="X671" t="inlineStr">
        <is>
          <t>2004-07-13</t>
        </is>
      </c>
      <c r="Y671" t="inlineStr">
        <is>
          <t>2000-07-20</t>
        </is>
      </c>
      <c r="Z671" t="inlineStr">
        <is>
          <t>2000-07-20</t>
        </is>
      </c>
      <c r="AA671" t="n">
        <v>197</v>
      </c>
      <c r="AB671" t="n">
        <v>155</v>
      </c>
      <c r="AC671" t="n">
        <v>219</v>
      </c>
      <c r="AD671" t="n">
        <v>1</v>
      </c>
      <c r="AE671" t="n">
        <v>1</v>
      </c>
      <c r="AF671" t="n">
        <v>4</v>
      </c>
      <c r="AG671" t="n">
        <v>4</v>
      </c>
      <c r="AH671" t="n">
        <v>0</v>
      </c>
      <c r="AI671" t="n">
        <v>0</v>
      </c>
      <c r="AJ671" t="n">
        <v>2</v>
      </c>
      <c r="AK671" t="n">
        <v>2</v>
      </c>
      <c r="AL671" t="n">
        <v>3</v>
      </c>
      <c r="AM671" t="n">
        <v>3</v>
      </c>
      <c r="AN671" t="n">
        <v>0</v>
      </c>
      <c r="AO671" t="n">
        <v>0</v>
      </c>
      <c r="AP671" t="n">
        <v>0</v>
      </c>
      <c r="AQ671" t="n">
        <v>0</v>
      </c>
      <c r="AR671" t="inlineStr">
        <is>
          <t>No</t>
        </is>
      </c>
      <c r="AS671" t="inlineStr">
        <is>
          <t>No</t>
        </is>
      </c>
      <c r="AU671">
        <f>HYPERLINK("https://creighton-primo.hosted.exlibrisgroup.com/primo-explore/search?tab=default_tab&amp;search_scope=EVERYTHING&amp;vid=01CRU&amp;lang=en_US&amp;offset=0&amp;query=any,contains,991003208339702656","Catalog Record")</f>
        <v/>
      </c>
      <c r="AV671">
        <f>HYPERLINK("http://www.worldcat.org/oclc/42049355","WorldCat Record")</f>
        <v/>
      </c>
      <c r="AW671" t="inlineStr">
        <is>
          <t>766866368:eng</t>
        </is>
      </c>
      <c r="AX671" t="inlineStr">
        <is>
          <t>42049355</t>
        </is>
      </c>
      <c r="AY671" t="inlineStr">
        <is>
          <t>991003208339702656</t>
        </is>
      </c>
      <c r="AZ671" t="inlineStr">
        <is>
          <t>991003208339702656</t>
        </is>
      </c>
      <c r="BA671" t="inlineStr">
        <is>
          <t>2271932290002656</t>
        </is>
      </c>
      <c r="BB671" t="inlineStr">
        <is>
          <t>BOOK</t>
        </is>
      </c>
      <c r="BD671" t="inlineStr">
        <is>
          <t>9780849333866</t>
        </is>
      </c>
      <c r="BE671" t="inlineStr">
        <is>
          <t>32285003712162</t>
        </is>
      </c>
      <c r="BF671" t="inlineStr">
        <is>
          <t>893336242</t>
        </is>
      </c>
    </row>
    <row r="672">
      <c r="B672" t="inlineStr">
        <is>
          <t>CURAL</t>
        </is>
      </c>
      <c r="C672" t="inlineStr">
        <is>
          <t>SHELVES</t>
        </is>
      </c>
      <c r="D672" t="inlineStr">
        <is>
          <t>QP535.C2 C268 1983</t>
        </is>
      </c>
      <c r="E672" t="inlineStr">
        <is>
          <t>0                      QP 0535000C  2                  C  268         1983</t>
        </is>
      </c>
      <c r="F672" t="inlineStr">
        <is>
          <t>Intracellular calcium, its universal role as regulator / Anthony K. Campbell.</t>
        </is>
      </c>
      <c r="H672" t="inlineStr">
        <is>
          <t>No</t>
        </is>
      </c>
      <c r="I672" t="inlineStr">
        <is>
          <t>1</t>
        </is>
      </c>
      <c r="J672" t="inlineStr">
        <is>
          <t>Yes</t>
        </is>
      </c>
      <c r="K672" t="inlineStr">
        <is>
          <t>No</t>
        </is>
      </c>
      <c r="L672" t="inlineStr">
        <is>
          <t>0</t>
        </is>
      </c>
      <c r="M672" t="inlineStr">
        <is>
          <t>Campbell, Anthony K.</t>
        </is>
      </c>
      <c r="N672" t="inlineStr">
        <is>
          <t>Chichester ; New York : Wiley, c1983.</t>
        </is>
      </c>
      <c r="O672" t="inlineStr">
        <is>
          <t>1983</t>
        </is>
      </c>
      <c r="Q672" t="inlineStr">
        <is>
          <t>eng</t>
        </is>
      </c>
      <c r="R672" t="inlineStr">
        <is>
          <t>enk</t>
        </is>
      </c>
      <c r="S672" t="inlineStr">
        <is>
          <t>Monographs in molecular biophysics and biochemistry</t>
        </is>
      </c>
      <c r="T672" t="inlineStr">
        <is>
          <t xml:space="preserve">QP </t>
        </is>
      </c>
      <c r="U672" t="n">
        <v>1</v>
      </c>
      <c r="V672" t="n">
        <v>1</v>
      </c>
      <c r="W672" t="inlineStr">
        <is>
          <t>1994-11-28</t>
        </is>
      </c>
      <c r="X672" t="inlineStr">
        <is>
          <t>1994-11-28</t>
        </is>
      </c>
      <c r="Y672" t="inlineStr">
        <is>
          <t>1993-03-04</t>
        </is>
      </c>
      <c r="Z672" t="inlineStr">
        <is>
          <t>1993-03-04</t>
        </is>
      </c>
      <c r="AA672" t="n">
        <v>448</v>
      </c>
      <c r="AB672" t="n">
        <v>323</v>
      </c>
      <c r="AC672" t="n">
        <v>325</v>
      </c>
      <c r="AD672" t="n">
        <v>3</v>
      </c>
      <c r="AE672" t="n">
        <v>3</v>
      </c>
      <c r="AF672" t="n">
        <v>15</v>
      </c>
      <c r="AG672" t="n">
        <v>15</v>
      </c>
      <c r="AH672" t="n">
        <v>6</v>
      </c>
      <c r="AI672" t="n">
        <v>6</v>
      </c>
      <c r="AJ672" t="n">
        <v>5</v>
      </c>
      <c r="AK672" t="n">
        <v>5</v>
      </c>
      <c r="AL672" t="n">
        <v>8</v>
      </c>
      <c r="AM672" t="n">
        <v>8</v>
      </c>
      <c r="AN672" t="n">
        <v>1</v>
      </c>
      <c r="AO672" t="n">
        <v>1</v>
      </c>
      <c r="AP672" t="n">
        <v>0</v>
      </c>
      <c r="AQ672" t="n">
        <v>0</v>
      </c>
      <c r="AR672" t="inlineStr">
        <is>
          <t>No</t>
        </is>
      </c>
      <c r="AS672" t="inlineStr">
        <is>
          <t>Yes</t>
        </is>
      </c>
      <c r="AT672">
        <f>HYPERLINK("http://catalog.hathitrust.org/Record/000203548","HathiTrust Record")</f>
        <v/>
      </c>
      <c r="AU672">
        <f>HYPERLINK("https://creighton-primo.hosted.exlibrisgroup.com/primo-explore/search?tab=default_tab&amp;search_scope=EVERYTHING&amp;vid=01CRU&amp;lang=en_US&amp;offset=0&amp;query=any,contains,991005249089702656","Catalog Record")</f>
        <v/>
      </c>
      <c r="AV672">
        <f>HYPERLINK("http://www.worldcat.org/oclc/8476156","WorldCat Record")</f>
        <v/>
      </c>
      <c r="AW672" t="inlineStr">
        <is>
          <t>235060726:eng</t>
        </is>
      </c>
      <c r="AX672" t="inlineStr">
        <is>
          <t>8476156</t>
        </is>
      </c>
      <c r="AY672" t="inlineStr">
        <is>
          <t>991005249089702656</t>
        </is>
      </c>
      <c r="AZ672" t="inlineStr">
        <is>
          <t>991005249089702656</t>
        </is>
      </c>
      <c r="BA672" t="inlineStr">
        <is>
          <t>2257798460002656</t>
        </is>
      </c>
      <c r="BB672" t="inlineStr">
        <is>
          <t>BOOK</t>
        </is>
      </c>
      <c r="BD672" t="inlineStr">
        <is>
          <t>9780471104889</t>
        </is>
      </c>
      <c r="BE672" t="inlineStr">
        <is>
          <t>32285001562858</t>
        </is>
      </c>
      <c r="BF672" t="inlineStr">
        <is>
          <t>893722858</t>
        </is>
      </c>
    </row>
    <row r="673">
      <c r="B673" t="inlineStr">
        <is>
          <t>CURAL</t>
        </is>
      </c>
      <c r="C673" t="inlineStr">
        <is>
          <t>SHELVES</t>
        </is>
      </c>
      <c r="D673" t="inlineStr">
        <is>
          <t>QP535.C2 I59 1986</t>
        </is>
      </c>
      <c r="E673" t="inlineStr">
        <is>
          <t>0                      QP 0535000C  2                  I  59          1986</t>
        </is>
      </c>
      <c r="F673" t="inlineStr">
        <is>
          <t>Intracellular calcium regulation / edited by H. Bader ... [et al.].</t>
        </is>
      </c>
      <c r="H673" t="inlineStr">
        <is>
          <t>No</t>
        </is>
      </c>
      <c r="I673" t="inlineStr">
        <is>
          <t>1</t>
        </is>
      </c>
      <c r="J673" t="inlineStr">
        <is>
          <t>No</t>
        </is>
      </c>
      <c r="K673" t="inlineStr">
        <is>
          <t>No</t>
        </is>
      </c>
      <c r="L673" t="inlineStr">
        <is>
          <t>0</t>
        </is>
      </c>
      <c r="N673" t="inlineStr">
        <is>
          <t>Manchester ; Dover, N.H. : Manchester University Press, c1986.</t>
        </is>
      </c>
      <c r="O673" t="inlineStr">
        <is>
          <t>1985</t>
        </is>
      </c>
      <c r="Q673" t="inlineStr">
        <is>
          <t>eng</t>
        </is>
      </c>
      <c r="R673" t="inlineStr">
        <is>
          <t>enk</t>
        </is>
      </c>
      <c r="T673" t="inlineStr">
        <is>
          <t xml:space="preserve">QP </t>
        </is>
      </c>
      <c r="U673" t="n">
        <v>4</v>
      </c>
      <c r="V673" t="n">
        <v>4</v>
      </c>
      <c r="W673" t="inlineStr">
        <is>
          <t>2003-12-18</t>
        </is>
      </c>
      <c r="X673" t="inlineStr">
        <is>
          <t>2003-12-18</t>
        </is>
      </c>
      <c r="Y673" t="inlineStr">
        <is>
          <t>1993-03-04</t>
        </is>
      </c>
      <c r="Z673" t="inlineStr">
        <is>
          <t>1993-03-04</t>
        </is>
      </c>
      <c r="AA673" t="n">
        <v>123</v>
      </c>
      <c r="AB673" t="n">
        <v>92</v>
      </c>
      <c r="AC673" t="n">
        <v>93</v>
      </c>
      <c r="AD673" t="n">
        <v>2</v>
      </c>
      <c r="AE673" t="n">
        <v>2</v>
      </c>
      <c r="AF673" t="n">
        <v>5</v>
      </c>
      <c r="AG673" t="n">
        <v>5</v>
      </c>
      <c r="AH673" t="n">
        <v>1</v>
      </c>
      <c r="AI673" t="n">
        <v>1</v>
      </c>
      <c r="AJ673" t="n">
        <v>2</v>
      </c>
      <c r="AK673" t="n">
        <v>2</v>
      </c>
      <c r="AL673" t="n">
        <v>3</v>
      </c>
      <c r="AM673" t="n">
        <v>3</v>
      </c>
      <c r="AN673" t="n">
        <v>1</v>
      </c>
      <c r="AO673" t="n">
        <v>1</v>
      </c>
      <c r="AP673" t="n">
        <v>0</v>
      </c>
      <c r="AQ673" t="n">
        <v>0</v>
      </c>
      <c r="AR673" t="inlineStr">
        <is>
          <t>No</t>
        </is>
      </c>
      <c r="AS673" t="inlineStr">
        <is>
          <t>Yes</t>
        </is>
      </c>
      <c r="AT673">
        <f>HYPERLINK("http://catalog.hathitrust.org/Record/006248367","HathiTrust Record")</f>
        <v/>
      </c>
      <c r="AU673">
        <f>HYPERLINK("https://creighton-primo.hosted.exlibrisgroup.com/primo-explore/search?tab=default_tab&amp;search_scope=EVERYTHING&amp;vid=01CRU&amp;lang=en_US&amp;offset=0&amp;query=any,contains,991000769779702656","Catalog Record")</f>
        <v/>
      </c>
      <c r="AV673">
        <f>HYPERLINK("http://www.worldcat.org/oclc/13010180","WorldCat Record")</f>
        <v/>
      </c>
      <c r="AW673" t="inlineStr">
        <is>
          <t>890084864:eng</t>
        </is>
      </c>
      <c r="AX673" t="inlineStr">
        <is>
          <t>13010180</t>
        </is>
      </c>
      <c r="AY673" t="inlineStr">
        <is>
          <t>991000769779702656</t>
        </is>
      </c>
      <c r="AZ673" t="inlineStr">
        <is>
          <t>991000769779702656</t>
        </is>
      </c>
      <c r="BA673" t="inlineStr">
        <is>
          <t>2261072790002656</t>
        </is>
      </c>
      <c r="BB673" t="inlineStr">
        <is>
          <t>BOOK</t>
        </is>
      </c>
      <c r="BD673" t="inlineStr">
        <is>
          <t>9780719018350</t>
        </is>
      </c>
      <c r="BE673" t="inlineStr">
        <is>
          <t>32285001562866</t>
        </is>
      </c>
      <c r="BF673" t="inlineStr">
        <is>
          <t>893620771</t>
        </is>
      </c>
    </row>
    <row r="674">
      <c r="B674" t="inlineStr">
        <is>
          <t>CURAL</t>
        </is>
      </c>
      <c r="C674" t="inlineStr">
        <is>
          <t>SHELVES</t>
        </is>
      </c>
      <c r="D674" t="inlineStr">
        <is>
          <t>QP535.C9 A44 1989</t>
        </is>
      </c>
      <c r="E674" t="inlineStr">
        <is>
          <t>0                      QP 0535000C  9                  A  44          1989</t>
        </is>
      </c>
      <c r="F674" t="inlineStr">
        <is>
          <t>Copper bioavailability and metabolism / edited by Constance Kies.</t>
        </is>
      </c>
      <c r="H674" t="inlineStr">
        <is>
          <t>No</t>
        </is>
      </c>
      <c r="I674" t="inlineStr">
        <is>
          <t>1</t>
        </is>
      </c>
      <c r="J674" t="inlineStr">
        <is>
          <t>No</t>
        </is>
      </c>
      <c r="K674" t="inlineStr">
        <is>
          <t>No</t>
        </is>
      </c>
      <c r="L674" t="inlineStr">
        <is>
          <t>0</t>
        </is>
      </c>
      <c r="M674" t="inlineStr">
        <is>
          <t>American Chemical Society Symposium on Copper Bioavailability and Metabolism (1989 : Dallas, Tex.)</t>
        </is>
      </c>
      <c r="N674" t="inlineStr">
        <is>
          <t>New York : Plenum Press, c1989.</t>
        </is>
      </c>
      <c r="O674" t="inlineStr">
        <is>
          <t>1989</t>
        </is>
      </c>
      <c r="Q674" t="inlineStr">
        <is>
          <t>eng</t>
        </is>
      </c>
      <c r="R674" t="inlineStr">
        <is>
          <t>nyu</t>
        </is>
      </c>
      <c r="S674" t="inlineStr">
        <is>
          <t>Advances in experimental medicine and biology ; v. 258</t>
        </is>
      </c>
      <c r="T674" t="inlineStr">
        <is>
          <t xml:space="preserve">QP </t>
        </is>
      </c>
      <c r="U674" t="n">
        <v>2</v>
      </c>
      <c r="V674" t="n">
        <v>2</v>
      </c>
      <c r="W674" t="inlineStr">
        <is>
          <t>1994-11-22</t>
        </is>
      </c>
      <c r="X674" t="inlineStr">
        <is>
          <t>1994-11-22</t>
        </is>
      </c>
      <c r="Y674" t="inlineStr">
        <is>
          <t>1990-09-06</t>
        </is>
      </c>
      <c r="Z674" t="inlineStr">
        <is>
          <t>1990-09-06</t>
        </is>
      </c>
      <c r="AA674" t="n">
        <v>226</v>
      </c>
      <c r="AB674" t="n">
        <v>179</v>
      </c>
      <c r="AC674" t="n">
        <v>196</v>
      </c>
      <c r="AD674" t="n">
        <v>1</v>
      </c>
      <c r="AE674" t="n">
        <v>1</v>
      </c>
      <c r="AF674" t="n">
        <v>6</v>
      </c>
      <c r="AG674" t="n">
        <v>7</v>
      </c>
      <c r="AH674" t="n">
        <v>1</v>
      </c>
      <c r="AI674" t="n">
        <v>2</v>
      </c>
      <c r="AJ674" t="n">
        <v>3</v>
      </c>
      <c r="AK674" t="n">
        <v>3</v>
      </c>
      <c r="AL674" t="n">
        <v>4</v>
      </c>
      <c r="AM674" t="n">
        <v>5</v>
      </c>
      <c r="AN674" t="n">
        <v>0</v>
      </c>
      <c r="AO674" t="n">
        <v>0</v>
      </c>
      <c r="AP674" t="n">
        <v>0</v>
      </c>
      <c r="AQ674" t="n">
        <v>0</v>
      </c>
      <c r="AR674" t="inlineStr">
        <is>
          <t>No</t>
        </is>
      </c>
      <c r="AS674" t="inlineStr">
        <is>
          <t>No</t>
        </is>
      </c>
      <c r="AU674">
        <f>HYPERLINK("https://creighton-primo.hosted.exlibrisgroup.com/primo-explore/search?tab=default_tab&amp;search_scope=EVERYTHING&amp;vid=01CRU&amp;lang=en_US&amp;offset=0&amp;query=any,contains,991001565539702656","Catalog Record")</f>
        <v/>
      </c>
      <c r="AV674">
        <f>HYPERLINK("http://www.worldcat.org/oclc/20320419","WorldCat Record")</f>
        <v/>
      </c>
      <c r="AW674" t="inlineStr">
        <is>
          <t>152292054:eng</t>
        </is>
      </c>
      <c r="AX674" t="inlineStr">
        <is>
          <t>20320419</t>
        </is>
      </c>
      <c r="AY674" t="inlineStr">
        <is>
          <t>991001565539702656</t>
        </is>
      </c>
      <c r="AZ674" t="inlineStr">
        <is>
          <t>991001565539702656</t>
        </is>
      </c>
      <c r="BA674" t="inlineStr">
        <is>
          <t>2261874360002656</t>
        </is>
      </c>
      <c r="BB674" t="inlineStr">
        <is>
          <t>BOOK</t>
        </is>
      </c>
      <c r="BD674" t="inlineStr">
        <is>
          <t>9780306433733</t>
        </is>
      </c>
      <c r="BE674" t="inlineStr">
        <is>
          <t>32285000276716</t>
        </is>
      </c>
      <c r="BF674" t="inlineStr">
        <is>
          <t>893497165</t>
        </is>
      </c>
    </row>
    <row r="675">
      <c r="B675" t="inlineStr">
        <is>
          <t>CURAL</t>
        </is>
      </c>
      <c r="C675" t="inlineStr">
        <is>
          <t>SHELVES</t>
        </is>
      </c>
      <c r="D675" t="inlineStr">
        <is>
          <t>QP535.H1 I57</t>
        </is>
      </c>
      <c r="E675" t="inlineStr">
        <is>
          <t>0                      QP 0535000H  1                  I  57</t>
        </is>
      </c>
      <c r="F675" t="inlineStr">
        <is>
          <t>Intracellular pH : its measurement, regulation, and utilization in cellular functions : proceedings of a conference held at the Kroc Foundation, Santa Ynez Valley, California, on July 20-24, 1981 / editors, Richard Nuccitelli and David W. Deamer.</t>
        </is>
      </c>
      <c r="H675" t="inlineStr">
        <is>
          <t>No</t>
        </is>
      </c>
      <c r="I675" t="inlineStr">
        <is>
          <t>1</t>
        </is>
      </c>
      <c r="J675" t="inlineStr">
        <is>
          <t>No</t>
        </is>
      </c>
      <c r="K675" t="inlineStr">
        <is>
          <t>No</t>
        </is>
      </c>
      <c r="L675" t="inlineStr">
        <is>
          <t>0</t>
        </is>
      </c>
      <c r="N675" t="inlineStr">
        <is>
          <t>New York : Alan R. Liss, 1982.</t>
        </is>
      </c>
      <c r="O675" t="inlineStr">
        <is>
          <t>1982</t>
        </is>
      </c>
      <c r="Q675" t="inlineStr">
        <is>
          <t>eng</t>
        </is>
      </c>
      <c r="R675" t="inlineStr">
        <is>
          <t>nyu</t>
        </is>
      </c>
      <c r="S675" t="inlineStr">
        <is>
          <t>Kroc Foundation series ; v. 15</t>
        </is>
      </c>
      <c r="T675" t="inlineStr">
        <is>
          <t xml:space="preserve">QP </t>
        </is>
      </c>
      <c r="U675" t="n">
        <v>2</v>
      </c>
      <c r="V675" t="n">
        <v>2</v>
      </c>
      <c r="W675" t="inlineStr">
        <is>
          <t>1994-12-21</t>
        </is>
      </c>
      <c r="X675" t="inlineStr">
        <is>
          <t>1994-12-21</t>
        </is>
      </c>
      <c r="Y675" t="inlineStr">
        <is>
          <t>1993-03-04</t>
        </is>
      </c>
      <c r="Z675" t="inlineStr">
        <is>
          <t>1993-03-04</t>
        </is>
      </c>
      <c r="AA675" t="n">
        <v>230</v>
      </c>
      <c r="AB675" t="n">
        <v>182</v>
      </c>
      <c r="AC675" t="n">
        <v>188</v>
      </c>
      <c r="AD675" t="n">
        <v>2</v>
      </c>
      <c r="AE675" t="n">
        <v>2</v>
      </c>
      <c r="AF675" t="n">
        <v>4</v>
      </c>
      <c r="AG675" t="n">
        <v>6</v>
      </c>
      <c r="AH675" t="n">
        <v>0</v>
      </c>
      <c r="AI675" t="n">
        <v>1</v>
      </c>
      <c r="AJ675" t="n">
        <v>1</v>
      </c>
      <c r="AK675" t="n">
        <v>2</v>
      </c>
      <c r="AL675" t="n">
        <v>3</v>
      </c>
      <c r="AM675" t="n">
        <v>5</v>
      </c>
      <c r="AN675" t="n">
        <v>1</v>
      </c>
      <c r="AO675" t="n">
        <v>1</v>
      </c>
      <c r="AP675" t="n">
        <v>0</v>
      </c>
      <c r="AQ675" t="n">
        <v>0</v>
      </c>
      <c r="AR675" t="inlineStr">
        <is>
          <t>No</t>
        </is>
      </c>
      <c r="AS675" t="inlineStr">
        <is>
          <t>Yes</t>
        </is>
      </c>
      <c r="AT675">
        <f>HYPERLINK("http://catalog.hathitrust.org/Record/000762412","HathiTrust Record")</f>
        <v/>
      </c>
      <c r="AU675">
        <f>HYPERLINK("https://creighton-primo.hosted.exlibrisgroup.com/primo-explore/search?tab=default_tab&amp;search_scope=EVERYTHING&amp;vid=01CRU&amp;lang=en_US&amp;offset=0&amp;query=any,contains,991005180189702656","Catalog Record")</f>
        <v/>
      </c>
      <c r="AV675">
        <f>HYPERLINK("http://www.worldcat.org/oclc/7945190","WorldCat Record")</f>
        <v/>
      </c>
      <c r="AW675" t="inlineStr">
        <is>
          <t>889992225:eng</t>
        </is>
      </c>
      <c r="AX675" t="inlineStr">
        <is>
          <t>7945190</t>
        </is>
      </c>
      <c r="AY675" t="inlineStr">
        <is>
          <t>991005180189702656</t>
        </is>
      </c>
      <c r="AZ675" t="inlineStr">
        <is>
          <t>991005180189702656</t>
        </is>
      </c>
      <c r="BA675" t="inlineStr">
        <is>
          <t>2271123280002656</t>
        </is>
      </c>
      <c r="BB675" t="inlineStr">
        <is>
          <t>BOOK</t>
        </is>
      </c>
      <c r="BD675" t="inlineStr">
        <is>
          <t>9780845103050</t>
        </is>
      </c>
      <c r="BE675" t="inlineStr">
        <is>
          <t>32285001562908</t>
        </is>
      </c>
      <c r="BF675" t="inlineStr">
        <is>
          <t>893776978</t>
        </is>
      </c>
    </row>
    <row r="676">
      <c r="B676" t="inlineStr">
        <is>
          <t>CURAL</t>
        </is>
      </c>
      <c r="C676" t="inlineStr">
        <is>
          <t>SHELVES</t>
        </is>
      </c>
      <c r="D676" t="inlineStr">
        <is>
          <t>QP535.N1 N58</t>
        </is>
      </c>
      <c r="E676" t="inlineStr">
        <is>
          <t>0                      QP 0535000N  1                  N  58</t>
        </is>
      </c>
      <c r="F676" t="inlineStr">
        <is>
          <t>Nitrogen metabolism and the environment : a joint symposium of the American Physiological Society and the American Society of Zoologists held at Bloomington, Indiana, U.S.A., in August, 1970 / edited by J. W. Campbell and L. Goldstein.</t>
        </is>
      </c>
      <c r="H676" t="inlineStr">
        <is>
          <t>No</t>
        </is>
      </c>
      <c r="I676" t="inlineStr">
        <is>
          <t>1</t>
        </is>
      </c>
      <c r="J676" t="inlineStr">
        <is>
          <t>No</t>
        </is>
      </c>
      <c r="K676" t="inlineStr">
        <is>
          <t>No</t>
        </is>
      </c>
      <c r="L676" t="inlineStr">
        <is>
          <t>0</t>
        </is>
      </c>
      <c r="N676" t="inlineStr">
        <is>
          <t>London ; New York : Academic Press, 1972.</t>
        </is>
      </c>
      <c r="O676" t="inlineStr">
        <is>
          <t>1972</t>
        </is>
      </c>
      <c r="Q676" t="inlineStr">
        <is>
          <t>eng</t>
        </is>
      </c>
      <c r="R676" t="inlineStr">
        <is>
          <t>enk</t>
        </is>
      </c>
      <c r="T676" t="inlineStr">
        <is>
          <t xml:space="preserve">QP </t>
        </is>
      </c>
      <c r="U676" t="n">
        <v>2</v>
      </c>
      <c r="V676" t="n">
        <v>2</v>
      </c>
      <c r="W676" t="inlineStr">
        <is>
          <t>1995-03-06</t>
        </is>
      </c>
      <c r="X676" t="inlineStr">
        <is>
          <t>1995-03-06</t>
        </is>
      </c>
      <c r="Y676" t="inlineStr">
        <is>
          <t>1994-12-01</t>
        </is>
      </c>
      <c r="Z676" t="inlineStr">
        <is>
          <t>1994-12-01</t>
        </is>
      </c>
      <c r="AA676" t="n">
        <v>332</v>
      </c>
      <c r="AB676" t="n">
        <v>237</v>
      </c>
      <c r="AC676" t="n">
        <v>245</v>
      </c>
      <c r="AD676" t="n">
        <v>2</v>
      </c>
      <c r="AE676" t="n">
        <v>2</v>
      </c>
      <c r="AF676" t="n">
        <v>6</v>
      </c>
      <c r="AG676" t="n">
        <v>6</v>
      </c>
      <c r="AH676" t="n">
        <v>1</v>
      </c>
      <c r="AI676" t="n">
        <v>1</v>
      </c>
      <c r="AJ676" t="n">
        <v>1</v>
      </c>
      <c r="AK676" t="n">
        <v>1</v>
      </c>
      <c r="AL676" t="n">
        <v>3</v>
      </c>
      <c r="AM676" t="n">
        <v>3</v>
      </c>
      <c r="AN676" t="n">
        <v>1</v>
      </c>
      <c r="AO676" t="n">
        <v>1</v>
      </c>
      <c r="AP676" t="n">
        <v>0</v>
      </c>
      <c r="AQ676" t="n">
        <v>0</v>
      </c>
      <c r="AR676" t="inlineStr">
        <is>
          <t>No</t>
        </is>
      </c>
      <c r="AS676" t="inlineStr">
        <is>
          <t>Yes</t>
        </is>
      </c>
      <c r="AT676">
        <f>HYPERLINK("http://catalog.hathitrust.org/Record/001555367","HathiTrust Record")</f>
        <v/>
      </c>
      <c r="AU676">
        <f>HYPERLINK("https://creighton-primo.hosted.exlibrisgroup.com/primo-explore/search?tab=default_tab&amp;search_scope=EVERYTHING&amp;vid=01CRU&amp;lang=en_US&amp;offset=0&amp;query=any,contains,991002384869702656","Catalog Record")</f>
        <v/>
      </c>
      <c r="AV676">
        <f>HYPERLINK("http://www.worldcat.org/oclc/329570","WorldCat Record")</f>
        <v/>
      </c>
      <c r="AW676" t="inlineStr">
        <is>
          <t>796113932:eng</t>
        </is>
      </c>
      <c r="AX676" t="inlineStr">
        <is>
          <t>329570</t>
        </is>
      </c>
      <c r="AY676" t="inlineStr">
        <is>
          <t>991002384869702656</t>
        </is>
      </c>
      <c r="AZ676" t="inlineStr">
        <is>
          <t>991002384869702656</t>
        </is>
      </c>
      <c r="BA676" t="inlineStr">
        <is>
          <t>2267463720002656</t>
        </is>
      </c>
      <c r="BB676" t="inlineStr">
        <is>
          <t>BOOK</t>
        </is>
      </c>
      <c r="BD676" t="inlineStr">
        <is>
          <t>9780121578503</t>
        </is>
      </c>
      <c r="BE676" t="inlineStr">
        <is>
          <t>32285001969111</t>
        </is>
      </c>
      <c r="BF676" t="inlineStr">
        <is>
          <t>893710218</t>
        </is>
      </c>
    </row>
    <row r="677">
      <c r="B677" t="inlineStr">
        <is>
          <t>CURAL</t>
        </is>
      </c>
      <c r="C677" t="inlineStr">
        <is>
          <t>SHELVES</t>
        </is>
      </c>
      <c r="D677" t="inlineStr">
        <is>
          <t>QP535.N1 P67</t>
        </is>
      </c>
      <c r="E677" t="inlineStr">
        <is>
          <t>0                      QP 0535000N  1                  P  67</t>
        </is>
      </c>
      <c r="F677" t="inlineStr">
        <is>
          <t>The chemistry and biochemistry of nitrogen fixation, edited by J. R. Postgate.</t>
        </is>
      </c>
      <c r="H677" t="inlineStr">
        <is>
          <t>No</t>
        </is>
      </c>
      <c r="I677" t="inlineStr">
        <is>
          <t>1</t>
        </is>
      </c>
      <c r="J677" t="inlineStr">
        <is>
          <t>No</t>
        </is>
      </c>
      <c r="K677" t="inlineStr">
        <is>
          <t>No</t>
        </is>
      </c>
      <c r="L677" t="inlineStr">
        <is>
          <t>0</t>
        </is>
      </c>
      <c r="M677" t="inlineStr">
        <is>
          <t>Postgate, J. R. (John Raymond)</t>
        </is>
      </c>
      <c r="N677" t="inlineStr">
        <is>
          <t>London, New York, Plenum Pub. Co., 1971.</t>
        </is>
      </c>
      <c r="O677" t="inlineStr">
        <is>
          <t>1971</t>
        </is>
      </c>
      <c r="Q677" t="inlineStr">
        <is>
          <t>eng</t>
        </is>
      </c>
      <c r="R677" t="inlineStr">
        <is>
          <t>enk</t>
        </is>
      </c>
      <c r="T677" t="inlineStr">
        <is>
          <t xml:space="preserve">QP </t>
        </is>
      </c>
      <c r="U677" t="n">
        <v>2</v>
      </c>
      <c r="V677" t="n">
        <v>2</v>
      </c>
      <c r="W677" t="inlineStr">
        <is>
          <t>1998-02-06</t>
        </is>
      </c>
      <c r="X677" t="inlineStr">
        <is>
          <t>1998-02-06</t>
        </is>
      </c>
      <c r="Y677" t="inlineStr">
        <is>
          <t>1997-08-06</t>
        </is>
      </c>
      <c r="Z677" t="inlineStr">
        <is>
          <t>1997-08-06</t>
        </is>
      </c>
      <c r="AA677" t="n">
        <v>473</v>
      </c>
      <c r="AB677" t="n">
        <v>325</v>
      </c>
      <c r="AC677" t="n">
        <v>348</v>
      </c>
      <c r="AD677" t="n">
        <v>3</v>
      </c>
      <c r="AE677" t="n">
        <v>3</v>
      </c>
      <c r="AF677" t="n">
        <v>8</v>
      </c>
      <c r="AG677" t="n">
        <v>9</v>
      </c>
      <c r="AH677" t="n">
        <v>2</v>
      </c>
      <c r="AI677" t="n">
        <v>3</v>
      </c>
      <c r="AJ677" t="n">
        <v>3</v>
      </c>
      <c r="AK677" t="n">
        <v>3</v>
      </c>
      <c r="AL677" t="n">
        <v>3</v>
      </c>
      <c r="AM677" t="n">
        <v>4</v>
      </c>
      <c r="AN677" t="n">
        <v>2</v>
      </c>
      <c r="AO677" t="n">
        <v>2</v>
      </c>
      <c r="AP677" t="n">
        <v>0</v>
      </c>
      <c r="AQ677" t="n">
        <v>0</v>
      </c>
      <c r="AR677" t="inlineStr">
        <is>
          <t>No</t>
        </is>
      </c>
      <c r="AS677" t="inlineStr">
        <is>
          <t>Yes</t>
        </is>
      </c>
      <c r="AT677">
        <f>HYPERLINK("http://catalog.hathitrust.org/Record/001555368","HathiTrust Record")</f>
        <v/>
      </c>
      <c r="AU677">
        <f>HYPERLINK("https://creighton-primo.hosted.exlibrisgroup.com/primo-explore/search?tab=default_tab&amp;search_scope=EVERYTHING&amp;vid=01CRU&amp;lang=en_US&amp;offset=0&amp;query=any,contains,991002107739702656","Catalog Record")</f>
        <v/>
      </c>
      <c r="AV677">
        <f>HYPERLINK("http://www.worldcat.org/oclc/266727","WorldCat Record")</f>
        <v/>
      </c>
      <c r="AW677" t="inlineStr">
        <is>
          <t>1385596:eng</t>
        </is>
      </c>
      <c r="AX677" t="inlineStr">
        <is>
          <t>266727</t>
        </is>
      </c>
      <c r="AY677" t="inlineStr">
        <is>
          <t>991002107739702656</t>
        </is>
      </c>
      <c r="AZ677" t="inlineStr">
        <is>
          <t>991002107739702656</t>
        </is>
      </c>
      <c r="BA677" t="inlineStr">
        <is>
          <t>2269209020002656</t>
        </is>
      </c>
      <c r="BB677" t="inlineStr">
        <is>
          <t>BOOK</t>
        </is>
      </c>
      <c r="BD677" t="inlineStr">
        <is>
          <t>9780306304590</t>
        </is>
      </c>
      <c r="BE677" t="inlineStr">
        <is>
          <t>32285003080586</t>
        </is>
      </c>
      <c r="BF677" t="inlineStr">
        <is>
          <t>893534856</t>
        </is>
      </c>
    </row>
    <row r="678">
      <c r="B678" t="inlineStr">
        <is>
          <t>CURAL</t>
        </is>
      </c>
      <c r="C678" t="inlineStr">
        <is>
          <t>SHELVES</t>
        </is>
      </c>
      <c r="D678" t="inlineStr">
        <is>
          <t>QP535.N2 D46 1982</t>
        </is>
      </c>
      <c r="E678" t="inlineStr">
        <is>
          <t>0                      QP 0535000N  2                  D  46          1982</t>
        </is>
      </c>
      <c r="F678" t="inlineStr">
        <is>
          <t>The hunger for salt : an anthropological, physiological, and medical analysis / Derek Denton.</t>
        </is>
      </c>
      <c r="H678" t="inlineStr">
        <is>
          <t>No</t>
        </is>
      </c>
      <c r="I678" t="inlineStr">
        <is>
          <t>1</t>
        </is>
      </c>
      <c r="J678" t="inlineStr">
        <is>
          <t>Yes</t>
        </is>
      </c>
      <c r="K678" t="inlineStr">
        <is>
          <t>No</t>
        </is>
      </c>
      <c r="L678" t="inlineStr">
        <is>
          <t>0</t>
        </is>
      </c>
      <c r="M678" t="inlineStr">
        <is>
          <t>Denton, Derek A.</t>
        </is>
      </c>
      <c r="N678" t="inlineStr">
        <is>
          <t>Berlin ; New York : Springer-Verlag, 1982.</t>
        </is>
      </c>
      <c r="O678" t="inlineStr">
        <is>
          <t>1982</t>
        </is>
      </c>
      <c r="Q678" t="inlineStr">
        <is>
          <t>eng</t>
        </is>
      </c>
      <c r="R678" t="inlineStr">
        <is>
          <t xml:space="preserve">gw </t>
        </is>
      </c>
      <c r="T678" t="inlineStr">
        <is>
          <t xml:space="preserve">QP </t>
        </is>
      </c>
      <c r="U678" t="n">
        <v>15</v>
      </c>
      <c r="V678" t="n">
        <v>15</v>
      </c>
      <c r="W678" t="inlineStr">
        <is>
          <t>2000-01-26</t>
        </is>
      </c>
      <c r="X678" t="inlineStr">
        <is>
          <t>2000-01-26</t>
        </is>
      </c>
      <c r="Y678" t="inlineStr">
        <is>
          <t>1990-03-20</t>
        </is>
      </c>
      <c r="Z678" t="inlineStr">
        <is>
          <t>1990-03-20</t>
        </is>
      </c>
      <c r="AA678" t="n">
        <v>386</v>
      </c>
      <c r="AB678" t="n">
        <v>284</v>
      </c>
      <c r="AC678" t="n">
        <v>289</v>
      </c>
      <c r="AD678" t="n">
        <v>3</v>
      </c>
      <c r="AE678" t="n">
        <v>3</v>
      </c>
      <c r="AF678" t="n">
        <v>7</v>
      </c>
      <c r="AG678" t="n">
        <v>7</v>
      </c>
      <c r="AH678" t="n">
        <v>2</v>
      </c>
      <c r="AI678" t="n">
        <v>2</v>
      </c>
      <c r="AJ678" t="n">
        <v>2</v>
      </c>
      <c r="AK678" t="n">
        <v>2</v>
      </c>
      <c r="AL678" t="n">
        <v>2</v>
      </c>
      <c r="AM678" t="n">
        <v>2</v>
      </c>
      <c r="AN678" t="n">
        <v>1</v>
      </c>
      <c r="AO678" t="n">
        <v>1</v>
      </c>
      <c r="AP678" t="n">
        <v>0</v>
      </c>
      <c r="AQ678" t="n">
        <v>0</v>
      </c>
      <c r="AR678" t="inlineStr">
        <is>
          <t>No</t>
        </is>
      </c>
      <c r="AS678" t="inlineStr">
        <is>
          <t>Yes</t>
        </is>
      </c>
      <c r="AT678">
        <f>HYPERLINK("http://catalog.hathitrust.org/Record/000121583","HathiTrust Record")</f>
        <v/>
      </c>
      <c r="AU678">
        <f>HYPERLINK("https://creighton-primo.hosted.exlibrisgroup.com/primo-explore/search?tab=default_tab&amp;search_scope=EVERYTHING&amp;vid=01CRU&amp;lang=en_US&amp;offset=0&amp;query=any,contains,991005227469702656","Catalog Record")</f>
        <v/>
      </c>
      <c r="AV678">
        <f>HYPERLINK("http://www.worldcat.org/oclc/8283860","WorldCat Record")</f>
        <v/>
      </c>
      <c r="AW678" t="inlineStr">
        <is>
          <t>4689012:eng</t>
        </is>
      </c>
      <c r="AX678" t="inlineStr">
        <is>
          <t>8283860</t>
        </is>
      </c>
      <c r="AY678" t="inlineStr">
        <is>
          <t>991005227469702656</t>
        </is>
      </c>
      <c r="AZ678" t="inlineStr">
        <is>
          <t>991005227469702656</t>
        </is>
      </c>
      <c r="BA678" t="inlineStr">
        <is>
          <t>2268439910002656</t>
        </is>
      </c>
      <c r="BB678" t="inlineStr">
        <is>
          <t>BOOK</t>
        </is>
      </c>
      <c r="BD678" t="inlineStr">
        <is>
          <t>9780387112862</t>
        </is>
      </c>
      <c r="BE678" t="inlineStr">
        <is>
          <t>32285000088459</t>
        </is>
      </c>
      <c r="BF678" t="inlineStr">
        <is>
          <t>893607042</t>
        </is>
      </c>
    </row>
    <row r="679">
      <c r="B679" t="inlineStr">
        <is>
          <t>CURAL</t>
        </is>
      </c>
      <c r="C679" t="inlineStr">
        <is>
          <t>SHELVES</t>
        </is>
      </c>
      <c r="D679" t="inlineStr">
        <is>
          <t>QP535.O1 C73 1985</t>
        </is>
      </c>
      <c r="E679" t="inlineStr">
        <is>
          <t>0                      QP 0535000O  1                  C  73          1985</t>
        </is>
      </c>
      <c r="F679" t="inlineStr">
        <is>
          <t>CRC handbook of methods for oxygen radical research / editor, Robert A. Greenwald.</t>
        </is>
      </c>
      <c r="H679" t="inlineStr">
        <is>
          <t>No</t>
        </is>
      </c>
      <c r="I679" t="inlineStr">
        <is>
          <t>1</t>
        </is>
      </c>
      <c r="J679" t="inlineStr">
        <is>
          <t>No</t>
        </is>
      </c>
      <c r="K679" t="inlineStr">
        <is>
          <t>No</t>
        </is>
      </c>
      <c r="L679" t="inlineStr">
        <is>
          <t>0</t>
        </is>
      </c>
      <c r="N679" t="inlineStr">
        <is>
          <t>Boca Raton, Fla. : CRC Press, c1985, 1986 printing.</t>
        </is>
      </c>
      <c r="O679" t="inlineStr">
        <is>
          <t>1985</t>
        </is>
      </c>
      <c r="Q679" t="inlineStr">
        <is>
          <t>eng</t>
        </is>
      </c>
      <c r="R679" t="inlineStr">
        <is>
          <t>flu</t>
        </is>
      </c>
      <c r="T679" t="inlineStr">
        <is>
          <t xml:space="preserve">QP </t>
        </is>
      </c>
      <c r="U679" t="n">
        <v>6</v>
      </c>
      <c r="V679" t="n">
        <v>6</v>
      </c>
      <c r="W679" t="inlineStr">
        <is>
          <t>1997-10-20</t>
        </is>
      </c>
      <c r="X679" t="inlineStr">
        <is>
          <t>1997-10-20</t>
        </is>
      </c>
      <c r="Y679" t="inlineStr">
        <is>
          <t>1992-02-04</t>
        </is>
      </c>
      <c r="Z679" t="inlineStr">
        <is>
          <t>1992-02-04</t>
        </is>
      </c>
      <c r="AA679" t="n">
        <v>280</v>
      </c>
      <c r="AB679" t="n">
        <v>208</v>
      </c>
      <c r="AC679" t="n">
        <v>238</v>
      </c>
      <c r="AD679" t="n">
        <v>2</v>
      </c>
      <c r="AE679" t="n">
        <v>2</v>
      </c>
      <c r="AF679" t="n">
        <v>7</v>
      </c>
      <c r="AG679" t="n">
        <v>7</v>
      </c>
      <c r="AH679" t="n">
        <v>2</v>
      </c>
      <c r="AI679" t="n">
        <v>2</v>
      </c>
      <c r="AJ679" t="n">
        <v>2</v>
      </c>
      <c r="AK679" t="n">
        <v>2</v>
      </c>
      <c r="AL679" t="n">
        <v>5</v>
      </c>
      <c r="AM679" t="n">
        <v>5</v>
      </c>
      <c r="AN679" t="n">
        <v>1</v>
      </c>
      <c r="AO679" t="n">
        <v>1</v>
      </c>
      <c r="AP679" t="n">
        <v>0</v>
      </c>
      <c r="AQ679" t="n">
        <v>0</v>
      </c>
      <c r="AR679" t="inlineStr">
        <is>
          <t>No</t>
        </is>
      </c>
      <c r="AS679" t="inlineStr">
        <is>
          <t>Yes</t>
        </is>
      </c>
      <c r="AT679">
        <f>HYPERLINK("http://catalog.hathitrust.org/Record/000626593","HathiTrust Record")</f>
        <v/>
      </c>
      <c r="AU679">
        <f>HYPERLINK("https://creighton-primo.hosted.exlibrisgroup.com/primo-explore/search?tab=default_tab&amp;search_scope=EVERYTHING&amp;vid=01CRU&amp;lang=en_US&amp;offset=0&amp;query=any,contains,991000603229702656","Catalog Record")</f>
        <v/>
      </c>
      <c r="AV679">
        <f>HYPERLINK("http://www.worldcat.org/oclc/11842763","WorldCat Record")</f>
        <v/>
      </c>
      <c r="AW679" t="inlineStr">
        <is>
          <t>4728287:eng</t>
        </is>
      </c>
      <c r="AX679" t="inlineStr">
        <is>
          <t>11842763</t>
        </is>
      </c>
      <c r="AY679" t="inlineStr">
        <is>
          <t>991000603229702656</t>
        </is>
      </c>
      <c r="AZ679" t="inlineStr">
        <is>
          <t>991000603229702656</t>
        </is>
      </c>
      <c r="BA679" t="inlineStr">
        <is>
          <t>2264610040002656</t>
        </is>
      </c>
      <c r="BB679" t="inlineStr">
        <is>
          <t>BOOK</t>
        </is>
      </c>
      <c r="BD679" t="inlineStr">
        <is>
          <t>9780849329364</t>
        </is>
      </c>
      <c r="BE679" t="inlineStr">
        <is>
          <t>32285000933977</t>
        </is>
      </c>
      <c r="BF679" t="inlineStr">
        <is>
          <t>893871812</t>
        </is>
      </c>
    </row>
    <row r="680">
      <c r="B680" t="inlineStr">
        <is>
          <t>CURAL</t>
        </is>
      </c>
      <c r="C680" t="inlineStr">
        <is>
          <t>SHELVES</t>
        </is>
      </c>
      <c r="D680" t="inlineStr">
        <is>
          <t>QP551 .A97 1991</t>
        </is>
      </c>
      <c r="E680" t="inlineStr">
        <is>
          <t>0                      QP 0551000A  97          1991</t>
        </is>
      </c>
      <c r="F680" t="inlineStr">
        <is>
          <t>Protein targeting and secretion / Brian M. Austen and Olwyn M.R. Westwood.</t>
        </is>
      </c>
      <c r="H680" t="inlineStr">
        <is>
          <t>No</t>
        </is>
      </c>
      <c r="I680" t="inlineStr">
        <is>
          <t>1</t>
        </is>
      </c>
      <c r="J680" t="inlineStr">
        <is>
          <t>No</t>
        </is>
      </c>
      <c r="K680" t="inlineStr">
        <is>
          <t>No</t>
        </is>
      </c>
      <c r="L680" t="inlineStr">
        <is>
          <t>0</t>
        </is>
      </c>
      <c r="M680" t="inlineStr">
        <is>
          <t>Austen, Brian M.</t>
        </is>
      </c>
      <c r="N680" t="inlineStr">
        <is>
          <t>Oxford, OX ; New York : IRL Press at Oxford University Press, c1991.</t>
        </is>
      </c>
      <c r="O680" t="inlineStr">
        <is>
          <t>1991</t>
        </is>
      </c>
      <c r="Q680" t="inlineStr">
        <is>
          <t>eng</t>
        </is>
      </c>
      <c r="R680" t="inlineStr">
        <is>
          <t>enk</t>
        </is>
      </c>
      <c r="S680" t="inlineStr">
        <is>
          <t>In focus</t>
        </is>
      </c>
      <c r="T680" t="inlineStr">
        <is>
          <t xml:space="preserve">QP </t>
        </is>
      </c>
      <c r="U680" t="n">
        <v>3</v>
      </c>
      <c r="V680" t="n">
        <v>3</v>
      </c>
      <c r="W680" t="inlineStr">
        <is>
          <t>1993-05-26</t>
        </is>
      </c>
      <c r="X680" t="inlineStr">
        <is>
          <t>1993-05-26</t>
        </is>
      </c>
      <c r="Y680" t="inlineStr">
        <is>
          <t>1992-02-13</t>
        </is>
      </c>
      <c r="Z680" t="inlineStr">
        <is>
          <t>1992-02-13</t>
        </is>
      </c>
      <c r="AA680" t="n">
        <v>354</v>
      </c>
      <c r="AB680" t="n">
        <v>273</v>
      </c>
      <c r="AC680" t="n">
        <v>276</v>
      </c>
      <c r="AD680" t="n">
        <v>1</v>
      </c>
      <c r="AE680" t="n">
        <v>1</v>
      </c>
      <c r="AF680" t="n">
        <v>13</v>
      </c>
      <c r="AG680" t="n">
        <v>13</v>
      </c>
      <c r="AH680" t="n">
        <v>7</v>
      </c>
      <c r="AI680" t="n">
        <v>7</v>
      </c>
      <c r="AJ680" t="n">
        <v>3</v>
      </c>
      <c r="AK680" t="n">
        <v>3</v>
      </c>
      <c r="AL680" t="n">
        <v>8</v>
      </c>
      <c r="AM680" t="n">
        <v>8</v>
      </c>
      <c r="AN680" t="n">
        <v>0</v>
      </c>
      <c r="AO680" t="n">
        <v>0</v>
      </c>
      <c r="AP680" t="n">
        <v>0</v>
      </c>
      <c r="AQ680" t="n">
        <v>0</v>
      </c>
      <c r="AR680" t="inlineStr">
        <is>
          <t>No</t>
        </is>
      </c>
      <c r="AS680" t="inlineStr">
        <is>
          <t>Yes</t>
        </is>
      </c>
      <c r="AT680">
        <f>HYPERLINK("http://catalog.hathitrust.org/Record/002500952","HathiTrust Record")</f>
        <v/>
      </c>
      <c r="AU680">
        <f>HYPERLINK("https://creighton-primo.hosted.exlibrisgroup.com/primo-explore/search?tab=default_tab&amp;search_scope=EVERYTHING&amp;vid=01CRU&amp;lang=en_US&amp;offset=0&amp;query=any,contains,991001816489702656","Catalog Record")</f>
        <v/>
      </c>
      <c r="AV680">
        <f>HYPERLINK("http://www.worldcat.org/oclc/22813726","WorldCat Record")</f>
        <v/>
      </c>
      <c r="AW680" t="inlineStr">
        <is>
          <t>24212279:eng</t>
        </is>
      </c>
      <c r="AX680" t="inlineStr">
        <is>
          <t>22813726</t>
        </is>
      </c>
      <c r="AY680" t="inlineStr">
        <is>
          <t>991001816489702656</t>
        </is>
      </c>
      <c r="AZ680" t="inlineStr">
        <is>
          <t>991001816489702656</t>
        </is>
      </c>
      <c r="BA680" t="inlineStr">
        <is>
          <t>2263628130002656</t>
        </is>
      </c>
      <c r="BB680" t="inlineStr">
        <is>
          <t>BOOK</t>
        </is>
      </c>
      <c r="BD680" t="inlineStr">
        <is>
          <t>9780199632176</t>
        </is>
      </c>
      <c r="BE680" t="inlineStr">
        <is>
          <t>32285000869551</t>
        </is>
      </c>
      <c r="BF680" t="inlineStr">
        <is>
          <t>893715750</t>
        </is>
      </c>
    </row>
    <row r="681">
      <c r="B681" t="inlineStr">
        <is>
          <t>CURAL</t>
        </is>
      </c>
      <c r="C681" t="inlineStr">
        <is>
          <t>SHELVES</t>
        </is>
      </c>
      <c r="D681" t="inlineStr">
        <is>
          <t>QP551 .B33 1988</t>
        </is>
      </c>
      <c r="E681" t="inlineStr">
        <is>
          <t>0                      QP 0551000B  33          1988</t>
        </is>
      </c>
      <c r="F681" t="inlineStr">
        <is>
          <t>Proteins and enzymes / J. Ellis Bell, Evelyn T. Bell.</t>
        </is>
      </c>
      <c r="H681" t="inlineStr">
        <is>
          <t>No</t>
        </is>
      </c>
      <c r="I681" t="inlineStr">
        <is>
          <t>1</t>
        </is>
      </c>
      <c r="J681" t="inlineStr">
        <is>
          <t>No</t>
        </is>
      </c>
      <c r="K681" t="inlineStr">
        <is>
          <t>No</t>
        </is>
      </c>
      <c r="L681" t="inlineStr">
        <is>
          <t>0</t>
        </is>
      </c>
      <c r="M681" t="inlineStr">
        <is>
          <t>Bell, J. Ellis (John Ellis)</t>
        </is>
      </c>
      <c r="N681" t="inlineStr">
        <is>
          <t>Englewood Cliffs, NJ : Prentice-Hall, c1988.</t>
        </is>
      </c>
      <c r="O681" t="inlineStr">
        <is>
          <t>1988</t>
        </is>
      </c>
      <c r="Q681" t="inlineStr">
        <is>
          <t>eng</t>
        </is>
      </c>
      <c r="R681" t="inlineStr">
        <is>
          <t>nju</t>
        </is>
      </c>
      <c r="T681" t="inlineStr">
        <is>
          <t xml:space="preserve">QP </t>
        </is>
      </c>
      <c r="U681" t="n">
        <v>1</v>
      </c>
      <c r="V681" t="n">
        <v>1</v>
      </c>
      <c r="W681" t="inlineStr">
        <is>
          <t>2000-11-15</t>
        </is>
      </c>
      <c r="X681" t="inlineStr">
        <is>
          <t>2000-11-15</t>
        </is>
      </c>
      <c r="Y681" t="inlineStr">
        <is>
          <t>2000-11-15</t>
        </is>
      </c>
      <c r="Z681" t="inlineStr">
        <is>
          <t>2000-11-15</t>
        </is>
      </c>
      <c r="AA681" t="n">
        <v>254</v>
      </c>
      <c r="AB681" t="n">
        <v>188</v>
      </c>
      <c r="AC681" t="n">
        <v>190</v>
      </c>
      <c r="AD681" t="n">
        <v>1</v>
      </c>
      <c r="AE681" t="n">
        <v>1</v>
      </c>
      <c r="AF681" t="n">
        <v>9</v>
      </c>
      <c r="AG681" t="n">
        <v>9</v>
      </c>
      <c r="AH681" t="n">
        <v>4</v>
      </c>
      <c r="AI681" t="n">
        <v>4</v>
      </c>
      <c r="AJ681" t="n">
        <v>1</v>
      </c>
      <c r="AK681" t="n">
        <v>1</v>
      </c>
      <c r="AL681" t="n">
        <v>8</v>
      </c>
      <c r="AM681" t="n">
        <v>8</v>
      </c>
      <c r="AN681" t="n">
        <v>0</v>
      </c>
      <c r="AO681" t="n">
        <v>0</v>
      </c>
      <c r="AP681" t="n">
        <v>0</v>
      </c>
      <c r="AQ681" t="n">
        <v>0</v>
      </c>
      <c r="AR681" t="inlineStr">
        <is>
          <t>No</t>
        </is>
      </c>
      <c r="AS681" t="inlineStr">
        <is>
          <t>Yes</t>
        </is>
      </c>
      <c r="AT681">
        <f>HYPERLINK("http://catalog.hathitrust.org/Record/000845949","HathiTrust Record")</f>
        <v/>
      </c>
      <c r="AU681">
        <f>HYPERLINK("https://creighton-primo.hosted.exlibrisgroup.com/primo-explore/search?tab=default_tab&amp;search_scope=EVERYTHING&amp;vid=01CRU&amp;lang=en_US&amp;offset=0&amp;query=any,contains,991003341179702656","Catalog Record")</f>
        <v/>
      </c>
      <c r="AV681">
        <f>HYPERLINK("http://www.worldcat.org/oclc/15428488","WorldCat Record")</f>
        <v/>
      </c>
      <c r="AW681" t="inlineStr">
        <is>
          <t>10505142:eng</t>
        </is>
      </c>
      <c r="AX681" t="inlineStr">
        <is>
          <t>15428488</t>
        </is>
      </c>
      <c r="AY681" t="inlineStr">
        <is>
          <t>991003341179702656</t>
        </is>
      </c>
      <c r="AZ681" t="inlineStr">
        <is>
          <t>991003341179702656</t>
        </is>
      </c>
      <c r="BA681" t="inlineStr">
        <is>
          <t>2262076920002656</t>
        </is>
      </c>
      <c r="BB681" t="inlineStr">
        <is>
          <t>BOOK</t>
        </is>
      </c>
      <c r="BD681" t="inlineStr">
        <is>
          <t>9780137316472</t>
        </is>
      </c>
      <c r="BE681" t="inlineStr">
        <is>
          <t>32285004266382</t>
        </is>
      </c>
      <c r="BF681" t="inlineStr">
        <is>
          <t>893336398</t>
        </is>
      </c>
    </row>
    <row r="682">
      <c r="B682" t="inlineStr">
        <is>
          <t>CURAL</t>
        </is>
      </c>
      <c r="C682" t="inlineStr">
        <is>
          <t>SHELVES</t>
        </is>
      </c>
      <c r="D682" t="inlineStr">
        <is>
          <t>QP551 .B474 1998</t>
        </is>
      </c>
      <c r="E682" t="inlineStr">
        <is>
          <t>0                      QP 0551000B  474         1998</t>
        </is>
      </c>
      <c r="F682" t="inlineStr">
        <is>
          <t>Bioorganic chemistry : peptides and proteins / edited by Sidney M. Hecht.</t>
        </is>
      </c>
      <c r="H682" t="inlineStr">
        <is>
          <t>No</t>
        </is>
      </c>
      <c r="I682" t="inlineStr">
        <is>
          <t>1</t>
        </is>
      </c>
      <c r="J682" t="inlineStr">
        <is>
          <t>No</t>
        </is>
      </c>
      <c r="K682" t="inlineStr">
        <is>
          <t>No</t>
        </is>
      </c>
      <c r="L682" t="inlineStr">
        <is>
          <t>0</t>
        </is>
      </c>
      <c r="N682" t="inlineStr">
        <is>
          <t>New York : Oxford University Press, 1998.</t>
        </is>
      </c>
      <c r="O682" t="inlineStr">
        <is>
          <t>1998</t>
        </is>
      </c>
      <c r="Q682" t="inlineStr">
        <is>
          <t>eng</t>
        </is>
      </c>
      <c r="R682" t="inlineStr">
        <is>
          <t>nyu</t>
        </is>
      </c>
      <c r="S682" t="inlineStr">
        <is>
          <t>Topics in bioorganic and biological chemistry</t>
        </is>
      </c>
      <c r="T682" t="inlineStr">
        <is>
          <t xml:space="preserve">QP </t>
        </is>
      </c>
      <c r="U682" t="n">
        <v>9</v>
      </c>
      <c r="V682" t="n">
        <v>9</v>
      </c>
      <c r="W682" t="inlineStr">
        <is>
          <t>2006-06-27</t>
        </is>
      </c>
      <c r="X682" t="inlineStr">
        <is>
          <t>2006-06-27</t>
        </is>
      </c>
      <c r="Y682" t="inlineStr">
        <is>
          <t>1998-04-28</t>
        </is>
      </c>
      <c r="Z682" t="inlineStr">
        <is>
          <t>1998-04-28</t>
        </is>
      </c>
      <c r="AA682" t="n">
        <v>344</v>
      </c>
      <c r="AB682" t="n">
        <v>249</v>
      </c>
      <c r="AC682" t="n">
        <v>249</v>
      </c>
      <c r="AD682" t="n">
        <v>3</v>
      </c>
      <c r="AE682" t="n">
        <v>3</v>
      </c>
      <c r="AF682" t="n">
        <v>13</v>
      </c>
      <c r="AG682" t="n">
        <v>13</v>
      </c>
      <c r="AH682" t="n">
        <v>2</v>
      </c>
      <c r="AI682" t="n">
        <v>2</v>
      </c>
      <c r="AJ682" t="n">
        <v>3</v>
      </c>
      <c r="AK682" t="n">
        <v>3</v>
      </c>
      <c r="AL682" t="n">
        <v>7</v>
      </c>
      <c r="AM682" t="n">
        <v>7</v>
      </c>
      <c r="AN682" t="n">
        <v>2</v>
      </c>
      <c r="AO682" t="n">
        <v>2</v>
      </c>
      <c r="AP682" t="n">
        <v>0</v>
      </c>
      <c r="AQ682" t="n">
        <v>0</v>
      </c>
      <c r="AR682" t="inlineStr">
        <is>
          <t>No</t>
        </is>
      </c>
      <c r="AS682" t="inlineStr">
        <is>
          <t>No</t>
        </is>
      </c>
      <c r="AU682">
        <f>HYPERLINK("https://creighton-primo.hosted.exlibrisgroup.com/primo-explore/search?tab=default_tab&amp;search_scope=EVERYTHING&amp;vid=01CRU&amp;lang=en_US&amp;offset=0&amp;query=any,contains,991002828059702656","Catalog Record")</f>
        <v/>
      </c>
      <c r="AV682">
        <f>HYPERLINK("http://www.worldcat.org/oclc/37239017","WorldCat Record")</f>
        <v/>
      </c>
      <c r="AW682" t="inlineStr">
        <is>
          <t>836979132:eng</t>
        </is>
      </c>
      <c r="AX682" t="inlineStr">
        <is>
          <t>37239017</t>
        </is>
      </c>
      <c r="AY682" t="inlineStr">
        <is>
          <t>991002828059702656</t>
        </is>
      </c>
      <c r="AZ682" t="inlineStr">
        <is>
          <t>991002828059702656</t>
        </is>
      </c>
      <c r="BA682" t="inlineStr">
        <is>
          <t>2254852540002656</t>
        </is>
      </c>
      <c r="BB682" t="inlineStr">
        <is>
          <t>BOOK</t>
        </is>
      </c>
      <c r="BD682" t="inlineStr">
        <is>
          <t>9780195084689</t>
        </is>
      </c>
      <c r="BE682" t="inlineStr">
        <is>
          <t>32285003377990</t>
        </is>
      </c>
      <c r="BF682" t="inlineStr">
        <is>
          <t>893692047</t>
        </is>
      </c>
    </row>
    <row r="683">
      <c r="B683" t="inlineStr">
        <is>
          <t>CURAL</t>
        </is>
      </c>
      <c r="C683" t="inlineStr">
        <is>
          <t>SHELVES</t>
        </is>
      </c>
      <c r="D683" t="inlineStr">
        <is>
          <t>QP551 .B7635 1991</t>
        </is>
      </c>
      <c r="E683" t="inlineStr">
        <is>
          <t>0                      QP 0551000B  7635        1991</t>
        </is>
      </c>
      <c r="F683" t="inlineStr">
        <is>
          <t>Introduction to protein structure / Carl Branden, John Tooze.</t>
        </is>
      </c>
      <c r="H683" t="inlineStr">
        <is>
          <t>No</t>
        </is>
      </c>
      <c r="I683" t="inlineStr">
        <is>
          <t>1</t>
        </is>
      </c>
      <c r="J683" t="inlineStr">
        <is>
          <t>No</t>
        </is>
      </c>
      <c r="K683" t="inlineStr">
        <is>
          <t>Yes</t>
        </is>
      </c>
      <c r="L683" t="inlineStr">
        <is>
          <t>0</t>
        </is>
      </c>
      <c r="M683" t="inlineStr">
        <is>
          <t>Branden, Carl.</t>
        </is>
      </c>
      <c r="N683" t="inlineStr">
        <is>
          <t>New York : Garland Pub., 1991.</t>
        </is>
      </c>
      <c r="O683" t="inlineStr">
        <is>
          <t>1991</t>
        </is>
      </c>
      <c r="Q683" t="inlineStr">
        <is>
          <t>eng</t>
        </is>
      </c>
      <c r="R683" t="inlineStr">
        <is>
          <t>nyu</t>
        </is>
      </c>
      <c r="T683" t="inlineStr">
        <is>
          <t xml:space="preserve">QP </t>
        </is>
      </c>
      <c r="U683" t="n">
        <v>14</v>
      </c>
      <c r="V683" t="n">
        <v>14</v>
      </c>
      <c r="W683" t="inlineStr">
        <is>
          <t>2009-04-20</t>
        </is>
      </c>
      <c r="X683" t="inlineStr">
        <is>
          <t>2009-04-20</t>
        </is>
      </c>
      <c r="Y683" t="inlineStr">
        <is>
          <t>1992-09-15</t>
        </is>
      </c>
      <c r="Z683" t="inlineStr">
        <is>
          <t>1992-09-15</t>
        </is>
      </c>
      <c r="AA683" t="n">
        <v>717</v>
      </c>
      <c r="AB683" t="n">
        <v>527</v>
      </c>
      <c r="AC683" t="n">
        <v>848</v>
      </c>
      <c r="AD683" t="n">
        <v>5</v>
      </c>
      <c r="AE683" t="n">
        <v>8</v>
      </c>
      <c r="AF683" t="n">
        <v>27</v>
      </c>
      <c r="AG683" t="n">
        <v>41</v>
      </c>
      <c r="AH683" t="n">
        <v>8</v>
      </c>
      <c r="AI683" t="n">
        <v>15</v>
      </c>
      <c r="AJ683" t="n">
        <v>6</v>
      </c>
      <c r="AK683" t="n">
        <v>7</v>
      </c>
      <c r="AL683" t="n">
        <v>16</v>
      </c>
      <c r="AM683" t="n">
        <v>23</v>
      </c>
      <c r="AN683" t="n">
        <v>4</v>
      </c>
      <c r="AO683" t="n">
        <v>6</v>
      </c>
      <c r="AP683" t="n">
        <v>0</v>
      </c>
      <c r="AQ683" t="n">
        <v>0</v>
      </c>
      <c r="AR683" t="inlineStr">
        <is>
          <t>No</t>
        </is>
      </c>
      <c r="AS683" t="inlineStr">
        <is>
          <t>Yes</t>
        </is>
      </c>
      <c r="AT683">
        <f>HYPERLINK("http://catalog.hathitrust.org/Record/002482085","HathiTrust Record")</f>
        <v/>
      </c>
      <c r="AU683">
        <f>HYPERLINK("https://creighton-primo.hosted.exlibrisgroup.com/primo-explore/search?tab=default_tab&amp;search_scope=EVERYTHING&amp;vid=01CRU&amp;lang=en_US&amp;offset=0&amp;query=any,contains,991005309139702656","Catalog Record")</f>
        <v/>
      </c>
      <c r="AV683">
        <f>HYPERLINK("http://www.worldcat.org/oclc/23286817","WorldCat Record")</f>
        <v/>
      </c>
      <c r="AW683" t="inlineStr">
        <is>
          <t>906209:eng</t>
        </is>
      </c>
      <c r="AX683" t="inlineStr">
        <is>
          <t>23286817</t>
        </is>
      </c>
      <c r="AY683" t="inlineStr">
        <is>
          <t>991005309139702656</t>
        </is>
      </c>
      <c r="AZ683" t="inlineStr">
        <is>
          <t>991005309139702656</t>
        </is>
      </c>
      <c r="BA683" t="inlineStr">
        <is>
          <t>2272149580002656</t>
        </is>
      </c>
      <c r="BB683" t="inlineStr">
        <is>
          <t>BOOK</t>
        </is>
      </c>
      <c r="BD683" t="inlineStr">
        <is>
          <t>9780815302704</t>
        </is>
      </c>
      <c r="BE683" t="inlineStr">
        <is>
          <t>32285001287720</t>
        </is>
      </c>
      <c r="BF683" t="inlineStr">
        <is>
          <t>893338902</t>
        </is>
      </c>
    </row>
    <row r="684">
      <c r="B684" t="inlineStr">
        <is>
          <t>CURAL</t>
        </is>
      </c>
      <c r="C684" t="inlineStr">
        <is>
          <t>SHELVES</t>
        </is>
      </c>
      <c r="D684" t="inlineStr">
        <is>
          <t>QP551 .C737 1983</t>
        </is>
      </c>
      <c r="E684" t="inlineStr">
        <is>
          <t>0                      QP 0551000C  737         1983</t>
        </is>
      </c>
      <c r="F684" t="inlineStr">
        <is>
          <t>Proteins : structures and molecular principles / Thomas E. Creighton.</t>
        </is>
      </c>
      <c r="H684" t="inlineStr">
        <is>
          <t>No</t>
        </is>
      </c>
      <c r="I684" t="inlineStr">
        <is>
          <t>1</t>
        </is>
      </c>
      <c r="J684" t="inlineStr">
        <is>
          <t>No</t>
        </is>
      </c>
      <c r="K684" t="inlineStr">
        <is>
          <t>No</t>
        </is>
      </c>
      <c r="L684" t="inlineStr">
        <is>
          <t>0</t>
        </is>
      </c>
      <c r="M684" t="inlineStr">
        <is>
          <t>Creighton, Thomas E., 1940-</t>
        </is>
      </c>
      <c r="N684" t="inlineStr">
        <is>
          <t>New York : W.H. Freeman, c1983.</t>
        </is>
      </c>
      <c r="O684" t="inlineStr">
        <is>
          <t>1983</t>
        </is>
      </c>
      <c r="Q684" t="inlineStr">
        <is>
          <t>eng</t>
        </is>
      </c>
      <c r="R684" t="inlineStr">
        <is>
          <t>nyu</t>
        </is>
      </c>
      <c r="T684" t="inlineStr">
        <is>
          <t xml:space="preserve">QP </t>
        </is>
      </c>
      <c r="U684" t="n">
        <v>11</v>
      </c>
      <c r="V684" t="n">
        <v>11</v>
      </c>
      <c r="W684" t="inlineStr">
        <is>
          <t>2010-06-04</t>
        </is>
      </c>
      <c r="X684" t="inlineStr">
        <is>
          <t>2010-06-04</t>
        </is>
      </c>
      <c r="Y684" t="inlineStr">
        <is>
          <t>1992-09-29</t>
        </is>
      </c>
      <c r="Z684" t="inlineStr">
        <is>
          <t>1992-09-29</t>
        </is>
      </c>
      <c r="AA684" t="n">
        <v>578</v>
      </c>
      <c r="AB684" t="n">
        <v>480</v>
      </c>
      <c r="AC684" t="n">
        <v>536</v>
      </c>
      <c r="AD684" t="n">
        <v>3</v>
      </c>
      <c r="AE684" t="n">
        <v>3</v>
      </c>
      <c r="AF684" t="n">
        <v>17</v>
      </c>
      <c r="AG684" t="n">
        <v>18</v>
      </c>
      <c r="AH684" t="n">
        <v>4</v>
      </c>
      <c r="AI684" t="n">
        <v>5</v>
      </c>
      <c r="AJ684" t="n">
        <v>5</v>
      </c>
      <c r="AK684" t="n">
        <v>5</v>
      </c>
      <c r="AL684" t="n">
        <v>11</v>
      </c>
      <c r="AM684" t="n">
        <v>12</v>
      </c>
      <c r="AN684" t="n">
        <v>1</v>
      </c>
      <c r="AO684" t="n">
        <v>1</v>
      </c>
      <c r="AP684" t="n">
        <v>0</v>
      </c>
      <c r="AQ684" t="n">
        <v>0</v>
      </c>
      <c r="AR684" t="inlineStr">
        <is>
          <t>No</t>
        </is>
      </c>
      <c r="AS684" t="inlineStr">
        <is>
          <t>No</t>
        </is>
      </c>
      <c r="AU684">
        <f>HYPERLINK("https://creighton-primo.hosted.exlibrisgroup.com/primo-explore/search?tab=default_tab&amp;search_scope=EVERYTHING&amp;vid=01CRU&amp;lang=en_US&amp;offset=0&amp;query=any,contains,991000288429702656","Catalog Record")</f>
        <v/>
      </c>
      <c r="AV684">
        <f>HYPERLINK("http://www.worldcat.org/oclc/9946342","WorldCat Record")</f>
        <v/>
      </c>
      <c r="AW684" t="inlineStr">
        <is>
          <t>3855293509:eng</t>
        </is>
      </c>
      <c r="AX684" t="inlineStr">
        <is>
          <t>9946342</t>
        </is>
      </c>
      <c r="AY684" t="inlineStr">
        <is>
          <t>991000288429702656</t>
        </is>
      </c>
      <c r="AZ684" t="inlineStr">
        <is>
          <t>991000288429702656</t>
        </is>
      </c>
      <c r="BA684" t="inlineStr">
        <is>
          <t>2261746400002656</t>
        </is>
      </c>
      <c r="BB684" t="inlineStr">
        <is>
          <t>BOOK</t>
        </is>
      </c>
      <c r="BD684" t="inlineStr">
        <is>
          <t>9780716715665</t>
        </is>
      </c>
      <c r="BE684" t="inlineStr">
        <is>
          <t>32285001323111</t>
        </is>
      </c>
      <c r="BF684" t="inlineStr">
        <is>
          <t>893243124</t>
        </is>
      </c>
    </row>
    <row r="685">
      <c r="B685" t="inlineStr">
        <is>
          <t>CURAL</t>
        </is>
      </c>
      <c r="C685" t="inlineStr">
        <is>
          <t>SHELVES</t>
        </is>
      </c>
      <c r="D685" t="inlineStr">
        <is>
          <t>QP551 .G2</t>
        </is>
      </c>
      <c r="E685" t="inlineStr">
        <is>
          <t>0                      QP 0551000G  2</t>
        </is>
      </c>
      <c r="F685" t="inlineStr">
        <is>
          <t>DNA complex and adaptive behavior.</t>
        </is>
      </c>
      <c r="H685" t="inlineStr">
        <is>
          <t>No</t>
        </is>
      </c>
      <c r="I685" t="inlineStr">
        <is>
          <t>1</t>
        </is>
      </c>
      <c r="J685" t="inlineStr">
        <is>
          <t>No</t>
        </is>
      </c>
      <c r="K685" t="inlineStr">
        <is>
          <t>No</t>
        </is>
      </c>
      <c r="L685" t="inlineStr">
        <is>
          <t>0</t>
        </is>
      </c>
      <c r="M685" t="inlineStr">
        <is>
          <t>Gaito, John.</t>
        </is>
      </c>
      <c r="N685" t="inlineStr">
        <is>
          <t>Englewood Cliffs, N.J. : Prentice-Hall, [1971]</t>
        </is>
      </c>
      <c r="O685" t="inlineStr">
        <is>
          <t>1971</t>
        </is>
      </c>
      <c r="Q685" t="inlineStr">
        <is>
          <t>eng</t>
        </is>
      </c>
      <c r="R685" t="inlineStr">
        <is>
          <t>nju</t>
        </is>
      </c>
      <c r="S685" t="inlineStr">
        <is>
          <t>Prentice-Hall series in experimental psychology</t>
        </is>
      </c>
      <c r="T685" t="inlineStr">
        <is>
          <t xml:space="preserve">QP </t>
        </is>
      </c>
      <c r="U685" t="n">
        <v>4</v>
      </c>
      <c r="V685" t="n">
        <v>4</v>
      </c>
      <c r="W685" t="inlineStr">
        <is>
          <t>1996-10-02</t>
        </is>
      </c>
      <c r="X685" t="inlineStr">
        <is>
          <t>1996-10-02</t>
        </is>
      </c>
      <c r="Y685" t="inlineStr">
        <is>
          <t>1994-02-22</t>
        </is>
      </c>
      <c r="Z685" t="inlineStr">
        <is>
          <t>1994-02-22</t>
        </is>
      </c>
      <c r="AA685" t="n">
        <v>459</v>
      </c>
      <c r="AB685" t="n">
        <v>379</v>
      </c>
      <c r="AC685" t="n">
        <v>379</v>
      </c>
      <c r="AD685" t="n">
        <v>6</v>
      </c>
      <c r="AE685" t="n">
        <v>6</v>
      </c>
      <c r="AF685" t="n">
        <v>17</v>
      </c>
      <c r="AG685" t="n">
        <v>17</v>
      </c>
      <c r="AH685" t="n">
        <v>5</v>
      </c>
      <c r="AI685" t="n">
        <v>5</v>
      </c>
      <c r="AJ685" t="n">
        <v>1</v>
      </c>
      <c r="AK685" t="n">
        <v>1</v>
      </c>
      <c r="AL685" t="n">
        <v>8</v>
      </c>
      <c r="AM685" t="n">
        <v>8</v>
      </c>
      <c r="AN685" t="n">
        <v>5</v>
      </c>
      <c r="AO685" t="n">
        <v>5</v>
      </c>
      <c r="AP685" t="n">
        <v>0</v>
      </c>
      <c r="AQ685" t="n">
        <v>0</v>
      </c>
      <c r="AR685" t="inlineStr">
        <is>
          <t>No</t>
        </is>
      </c>
      <c r="AS685" t="inlineStr">
        <is>
          <t>Yes</t>
        </is>
      </c>
      <c r="AT685">
        <f>HYPERLINK("http://catalog.hathitrust.org/Record/004420218","HathiTrust Record")</f>
        <v/>
      </c>
      <c r="AU685">
        <f>HYPERLINK("https://creighton-primo.hosted.exlibrisgroup.com/primo-explore/search?tab=default_tab&amp;search_scope=EVERYTHING&amp;vid=01CRU&amp;lang=en_US&amp;offset=0&amp;query=any,contains,991001248499702656","Catalog Record")</f>
        <v/>
      </c>
      <c r="AV685">
        <f>HYPERLINK("http://www.worldcat.org/oclc/208402","WorldCat Record")</f>
        <v/>
      </c>
      <c r="AW685" t="inlineStr">
        <is>
          <t>1276538:eng</t>
        </is>
      </c>
      <c r="AX685" t="inlineStr">
        <is>
          <t>208402</t>
        </is>
      </c>
      <c r="AY685" t="inlineStr">
        <is>
          <t>991001248499702656</t>
        </is>
      </c>
      <c r="AZ685" t="inlineStr">
        <is>
          <t>991001248499702656</t>
        </is>
      </c>
      <c r="BA685" t="inlineStr">
        <is>
          <t>2270108810002656</t>
        </is>
      </c>
      <c r="BB685" t="inlineStr">
        <is>
          <t>BOOK</t>
        </is>
      </c>
      <c r="BD685" t="inlineStr">
        <is>
          <t>9780132163170</t>
        </is>
      </c>
      <c r="BE685" t="inlineStr">
        <is>
          <t>32285001839017</t>
        </is>
      </c>
      <c r="BF685" t="inlineStr">
        <is>
          <t>893528803</t>
        </is>
      </c>
    </row>
    <row r="686">
      <c r="B686" t="inlineStr">
        <is>
          <t>CURAL</t>
        </is>
      </c>
      <c r="C686" t="inlineStr">
        <is>
          <t>SHELVES</t>
        </is>
      </c>
      <c r="D686" t="inlineStr">
        <is>
          <t>QP551 .H55 1972a</t>
        </is>
      </c>
      <c r="E686" t="inlineStr">
        <is>
          <t>0                      QP 0551000H  55          1972a</t>
        </is>
      </c>
      <c r="F686" t="inlineStr">
        <is>
          <t>The structure and biological functions of histones / author, Lubomir S. Hnilica. --</t>
        </is>
      </c>
      <c r="H686" t="inlineStr">
        <is>
          <t>No</t>
        </is>
      </c>
      <c r="I686" t="inlineStr">
        <is>
          <t>1</t>
        </is>
      </c>
      <c r="J686" t="inlineStr">
        <is>
          <t>No</t>
        </is>
      </c>
      <c r="K686" t="inlineStr">
        <is>
          <t>No</t>
        </is>
      </c>
      <c r="L686" t="inlineStr">
        <is>
          <t>0</t>
        </is>
      </c>
      <c r="M686" t="inlineStr">
        <is>
          <t>Hnilica, Lubomir S.</t>
        </is>
      </c>
      <c r="N686" t="inlineStr">
        <is>
          <t>West Palm Beach, Fla. : CRC Press, c1972, 1978 printing .</t>
        </is>
      </c>
      <c r="O686" t="inlineStr">
        <is>
          <t>1972</t>
        </is>
      </c>
      <c r="Q686" t="inlineStr">
        <is>
          <t>eng</t>
        </is>
      </c>
      <c r="R686" t="inlineStr">
        <is>
          <t>flu</t>
        </is>
      </c>
      <c r="S686" t="inlineStr">
        <is>
          <t>The biochemistry and molecular biology of cell nucleus ; v. 1</t>
        </is>
      </c>
      <c r="T686" t="inlineStr">
        <is>
          <t xml:space="preserve">QP </t>
        </is>
      </c>
      <c r="U686" t="n">
        <v>2</v>
      </c>
      <c r="V686" t="n">
        <v>2</v>
      </c>
      <c r="W686" t="inlineStr">
        <is>
          <t>2010-02-13</t>
        </is>
      </c>
      <c r="X686" t="inlineStr">
        <is>
          <t>2010-02-13</t>
        </is>
      </c>
      <c r="Y686" t="inlineStr">
        <is>
          <t>1993-03-04</t>
        </is>
      </c>
      <c r="Z686" t="inlineStr">
        <is>
          <t>1993-03-04</t>
        </is>
      </c>
      <c r="AA686" t="n">
        <v>9</v>
      </c>
      <c r="AB686" t="n">
        <v>8</v>
      </c>
      <c r="AC686" t="n">
        <v>256</v>
      </c>
      <c r="AD686" t="n">
        <v>1</v>
      </c>
      <c r="AE686" t="n">
        <v>3</v>
      </c>
      <c r="AF686" t="n">
        <v>0</v>
      </c>
      <c r="AG686" t="n">
        <v>7</v>
      </c>
      <c r="AH686" t="n">
        <v>0</v>
      </c>
      <c r="AI686" t="n">
        <v>0</v>
      </c>
      <c r="AJ686" t="n">
        <v>0</v>
      </c>
      <c r="AK686" t="n">
        <v>1</v>
      </c>
      <c r="AL686" t="n">
        <v>0</v>
      </c>
      <c r="AM686" t="n">
        <v>5</v>
      </c>
      <c r="AN686" t="n">
        <v>0</v>
      </c>
      <c r="AO686" t="n">
        <v>2</v>
      </c>
      <c r="AP686" t="n">
        <v>0</v>
      </c>
      <c r="AQ686" t="n">
        <v>0</v>
      </c>
      <c r="AR686" t="inlineStr">
        <is>
          <t>No</t>
        </is>
      </c>
      <c r="AS686" t="inlineStr">
        <is>
          <t>No</t>
        </is>
      </c>
      <c r="AU686">
        <f>HYPERLINK("https://creighton-primo.hosted.exlibrisgroup.com/primo-explore/search?tab=default_tab&amp;search_scope=EVERYTHING&amp;vid=01CRU&amp;lang=en_US&amp;offset=0&amp;query=any,contains,991004684159702656","Catalog Record")</f>
        <v/>
      </c>
      <c r="AV686">
        <f>HYPERLINK("http://www.worldcat.org/oclc/4586379","WorldCat Record")</f>
        <v/>
      </c>
      <c r="AW686" t="inlineStr">
        <is>
          <t>2288056066:eng</t>
        </is>
      </c>
      <c r="AX686" t="inlineStr">
        <is>
          <t>4586379</t>
        </is>
      </c>
      <c r="AY686" t="inlineStr">
        <is>
          <t>991004684159702656</t>
        </is>
      </c>
      <c r="AZ686" t="inlineStr">
        <is>
          <t>991004684159702656</t>
        </is>
      </c>
      <c r="BA686" t="inlineStr">
        <is>
          <t>2269449690002656</t>
        </is>
      </c>
      <c r="BB686" t="inlineStr">
        <is>
          <t>BOOK</t>
        </is>
      </c>
      <c r="BE686" t="inlineStr">
        <is>
          <t>32285001562924</t>
        </is>
      </c>
      <c r="BF686" t="inlineStr">
        <is>
          <t>893253988</t>
        </is>
      </c>
    </row>
    <row r="687">
      <c r="B687" t="inlineStr">
        <is>
          <t>CURAL</t>
        </is>
      </c>
      <c r="C687" t="inlineStr">
        <is>
          <t>SHELVES</t>
        </is>
      </c>
      <c r="D687" t="inlineStr">
        <is>
          <t>QP551 .I62 1995</t>
        </is>
      </c>
      <c r="E687" t="inlineStr">
        <is>
          <t>0                      QP 0551000I  62          1995</t>
        </is>
      </c>
      <c r="F687" t="inlineStr">
        <is>
          <t>Intramolecular chaperones and protein folding / Ujwal Shinde, Masayori Inouye [editors].</t>
        </is>
      </c>
      <c r="H687" t="inlineStr">
        <is>
          <t>No</t>
        </is>
      </c>
      <c r="I687" t="inlineStr">
        <is>
          <t>1</t>
        </is>
      </c>
      <c r="J687" t="inlineStr">
        <is>
          <t>No</t>
        </is>
      </c>
      <c r="K687" t="inlineStr">
        <is>
          <t>No</t>
        </is>
      </c>
      <c r="L687" t="inlineStr">
        <is>
          <t>0</t>
        </is>
      </c>
      <c r="N687" t="inlineStr">
        <is>
          <t>Austin, TX : R.G. Landes, c1995.</t>
        </is>
      </c>
      <c r="O687" t="inlineStr">
        <is>
          <t>1995</t>
        </is>
      </c>
      <c r="Q687" t="inlineStr">
        <is>
          <t>eng</t>
        </is>
      </c>
      <c r="R687" t="inlineStr">
        <is>
          <t>txu</t>
        </is>
      </c>
      <c r="S687" t="inlineStr">
        <is>
          <t>Molecular biology intelligence unit</t>
        </is>
      </c>
      <c r="T687" t="inlineStr">
        <is>
          <t xml:space="preserve">QP </t>
        </is>
      </c>
      <c r="U687" t="n">
        <v>3</v>
      </c>
      <c r="V687" t="n">
        <v>3</v>
      </c>
      <c r="W687" t="inlineStr">
        <is>
          <t>1998-04-09</t>
        </is>
      </c>
      <c r="X687" t="inlineStr">
        <is>
          <t>1998-04-09</t>
        </is>
      </c>
      <c r="Y687" t="inlineStr">
        <is>
          <t>1996-06-06</t>
        </is>
      </c>
      <c r="Z687" t="inlineStr">
        <is>
          <t>1996-06-06</t>
        </is>
      </c>
      <c r="AA687" t="n">
        <v>48</v>
      </c>
      <c r="AB687" t="n">
        <v>23</v>
      </c>
      <c r="AC687" t="n">
        <v>25</v>
      </c>
      <c r="AD687" t="n">
        <v>1</v>
      </c>
      <c r="AE687" t="n">
        <v>1</v>
      </c>
      <c r="AF687" t="n">
        <v>1</v>
      </c>
      <c r="AG687" t="n">
        <v>1</v>
      </c>
      <c r="AH687" t="n">
        <v>1</v>
      </c>
      <c r="AI687" t="n">
        <v>1</v>
      </c>
      <c r="AJ687" t="n">
        <v>0</v>
      </c>
      <c r="AK687" t="n">
        <v>0</v>
      </c>
      <c r="AL687" t="n">
        <v>0</v>
      </c>
      <c r="AM687" t="n">
        <v>0</v>
      </c>
      <c r="AN687" t="n">
        <v>0</v>
      </c>
      <c r="AO687" t="n">
        <v>0</v>
      </c>
      <c r="AP687" t="n">
        <v>0</v>
      </c>
      <c r="AQ687" t="n">
        <v>0</v>
      </c>
      <c r="AR687" t="inlineStr">
        <is>
          <t>No</t>
        </is>
      </c>
      <c r="AS687" t="inlineStr">
        <is>
          <t>Yes</t>
        </is>
      </c>
      <c r="AT687">
        <f>HYPERLINK("http://catalog.hathitrust.org/Record/008990278","HathiTrust Record")</f>
        <v/>
      </c>
      <c r="AU687">
        <f>HYPERLINK("https://creighton-primo.hosted.exlibrisgroup.com/primo-explore/search?tab=default_tab&amp;search_scope=EVERYTHING&amp;vid=01CRU&amp;lang=en_US&amp;offset=0&amp;query=any,contains,991002527139702656","Catalog Record")</f>
        <v/>
      </c>
      <c r="AV687">
        <f>HYPERLINK("http://www.worldcat.org/oclc/32855210","WorldCat Record")</f>
        <v/>
      </c>
      <c r="AW687" t="inlineStr">
        <is>
          <t>355818560:eng</t>
        </is>
      </c>
      <c r="AX687" t="inlineStr">
        <is>
          <t>32855210</t>
        </is>
      </c>
      <c r="AY687" t="inlineStr">
        <is>
          <t>991002527139702656</t>
        </is>
      </c>
      <c r="AZ687" t="inlineStr">
        <is>
          <t>991002527139702656</t>
        </is>
      </c>
      <c r="BA687" t="inlineStr">
        <is>
          <t>2269855910002656</t>
        </is>
      </c>
      <c r="BB687" t="inlineStr">
        <is>
          <t>BOOK</t>
        </is>
      </c>
      <c r="BD687" t="inlineStr">
        <is>
          <t>9781570592928</t>
        </is>
      </c>
      <c r="BE687" t="inlineStr">
        <is>
          <t>32285002188968</t>
        </is>
      </c>
      <c r="BF687" t="inlineStr">
        <is>
          <t>893886410</t>
        </is>
      </c>
    </row>
    <row r="688">
      <c r="B688" t="inlineStr">
        <is>
          <t>CURAL</t>
        </is>
      </c>
      <c r="C688" t="inlineStr">
        <is>
          <t>SHELVES</t>
        </is>
      </c>
      <c r="D688" t="inlineStr">
        <is>
          <t>QP551 .P48 2004</t>
        </is>
      </c>
      <c r="E688" t="inlineStr">
        <is>
          <t>0                      QP 0551000P  48          2004</t>
        </is>
      </c>
      <c r="F688" t="inlineStr">
        <is>
          <t>Protein structure and function / Gregory A. Petsko, Dagmar Ringe.</t>
        </is>
      </c>
      <c r="H688" t="inlineStr">
        <is>
          <t>No</t>
        </is>
      </c>
      <c r="I688" t="inlineStr">
        <is>
          <t>1</t>
        </is>
      </c>
      <c r="J688" t="inlineStr">
        <is>
          <t>No</t>
        </is>
      </c>
      <c r="K688" t="inlineStr">
        <is>
          <t>No</t>
        </is>
      </c>
      <c r="L688" t="inlineStr">
        <is>
          <t>0</t>
        </is>
      </c>
      <c r="M688" t="inlineStr">
        <is>
          <t>Petsko, Gregory A.</t>
        </is>
      </c>
      <c r="N688" t="inlineStr">
        <is>
          <t>London : New Science Press ; Sunderland, MA : Sinauer Associates ; Oxford : Blackwell Pub., c2004.</t>
        </is>
      </c>
      <c r="O688" t="inlineStr">
        <is>
          <t>2004</t>
        </is>
      </c>
      <c r="Q688" t="inlineStr">
        <is>
          <t>eng</t>
        </is>
      </c>
      <c r="R688" t="inlineStr">
        <is>
          <t>enk</t>
        </is>
      </c>
      <c r="S688" t="inlineStr">
        <is>
          <t>Primers in biology</t>
        </is>
      </c>
      <c r="T688" t="inlineStr">
        <is>
          <t xml:space="preserve">QP </t>
        </is>
      </c>
      <c r="U688" t="n">
        <v>6</v>
      </c>
      <c r="V688" t="n">
        <v>6</v>
      </c>
      <c r="W688" t="inlineStr">
        <is>
          <t>2010-06-04</t>
        </is>
      </c>
      <c r="X688" t="inlineStr">
        <is>
          <t>2010-06-04</t>
        </is>
      </c>
      <c r="Y688" t="inlineStr">
        <is>
          <t>2004-05-11</t>
        </is>
      </c>
      <c r="Z688" t="inlineStr">
        <is>
          <t>2004-05-11</t>
        </is>
      </c>
      <c r="AA688" t="n">
        <v>844</v>
      </c>
      <c r="AB688" t="n">
        <v>665</v>
      </c>
      <c r="AC688" t="n">
        <v>672</v>
      </c>
      <c r="AD688" t="n">
        <v>6</v>
      </c>
      <c r="AE688" t="n">
        <v>6</v>
      </c>
      <c r="AF688" t="n">
        <v>32</v>
      </c>
      <c r="AG688" t="n">
        <v>32</v>
      </c>
      <c r="AH688" t="n">
        <v>13</v>
      </c>
      <c r="AI688" t="n">
        <v>13</v>
      </c>
      <c r="AJ688" t="n">
        <v>6</v>
      </c>
      <c r="AK688" t="n">
        <v>6</v>
      </c>
      <c r="AL688" t="n">
        <v>16</v>
      </c>
      <c r="AM688" t="n">
        <v>16</v>
      </c>
      <c r="AN688" t="n">
        <v>5</v>
      </c>
      <c r="AO688" t="n">
        <v>5</v>
      </c>
      <c r="AP688" t="n">
        <v>0</v>
      </c>
      <c r="AQ688" t="n">
        <v>0</v>
      </c>
      <c r="AR688" t="inlineStr">
        <is>
          <t>No</t>
        </is>
      </c>
      <c r="AS688" t="inlineStr">
        <is>
          <t>No</t>
        </is>
      </c>
      <c r="AU688">
        <f>HYPERLINK("https://creighton-primo.hosted.exlibrisgroup.com/primo-explore/search?tab=default_tab&amp;search_scope=EVERYTHING&amp;vid=01CRU&amp;lang=en_US&amp;offset=0&amp;query=any,contains,991004284819702656","Catalog Record")</f>
        <v/>
      </c>
      <c r="AV688">
        <f>HYPERLINK("http://www.worldcat.org/oclc/53181467","WorldCat Record")</f>
        <v/>
      </c>
      <c r="AW688" t="inlineStr">
        <is>
          <t>765123:eng</t>
        </is>
      </c>
      <c r="AX688" t="inlineStr">
        <is>
          <t>53181467</t>
        </is>
      </c>
      <c r="AY688" t="inlineStr">
        <is>
          <t>991004284819702656</t>
        </is>
      </c>
      <c r="AZ688" t="inlineStr">
        <is>
          <t>991004284819702656</t>
        </is>
      </c>
      <c r="BA688" t="inlineStr">
        <is>
          <t>2259540030002656</t>
        </is>
      </c>
      <c r="BB688" t="inlineStr">
        <is>
          <t>BOOK</t>
        </is>
      </c>
      <c r="BD688" t="inlineStr">
        <is>
          <t>9780878936632</t>
        </is>
      </c>
      <c r="BE688" t="inlineStr">
        <is>
          <t>32285004905302</t>
        </is>
      </c>
      <c r="BF688" t="inlineStr">
        <is>
          <t>893417435</t>
        </is>
      </c>
    </row>
    <row r="689">
      <c r="B689" t="inlineStr">
        <is>
          <t>CURAL</t>
        </is>
      </c>
      <c r="C689" t="inlineStr">
        <is>
          <t>SHELVES</t>
        </is>
      </c>
      <c r="D689" t="inlineStr">
        <is>
          <t>QP551 .P69582 1992</t>
        </is>
      </c>
      <c r="E689" t="inlineStr">
        <is>
          <t>0                      QP 0551000P  69582       1992</t>
        </is>
      </c>
      <c r="F689" t="inlineStr">
        <is>
          <t>Protein folding / Thomas E. Creighton, editor.</t>
        </is>
      </c>
      <c r="H689" t="inlineStr">
        <is>
          <t>No</t>
        </is>
      </c>
      <c r="I689" t="inlineStr">
        <is>
          <t>1</t>
        </is>
      </c>
      <c r="J689" t="inlineStr">
        <is>
          <t>Yes</t>
        </is>
      </c>
      <c r="K689" t="inlineStr">
        <is>
          <t>No</t>
        </is>
      </c>
      <c r="L689" t="inlineStr">
        <is>
          <t>0</t>
        </is>
      </c>
      <c r="N689" t="inlineStr">
        <is>
          <t>New York : W.H. Freeman and Co., c1992.</t>
        </is>
      </c>
      <c r="O689" t="inlineStr">
        <is>
          <t>1992</t>
        </is>
      </c>
      <c r="Q689" t="inlineStr">
        <is>
          <t>eng</t>
        </is>
      </c>
      <c r="R689" t="inlineStr">
        <is>
          <t>nyu</t>
        </is>
      </c>
      <c r="T689" t="inlineStr">
        <is>
          <t xml:space="preserve">QP </t>
        </is>
      </c>
      <c r="U689" t="n">
        <v>15</v>
      </c>
      <c r="V689" t="n">
        <v>29</v>
      </c>
      <c r="W689" t="inlineStr">
        <is>
          <t>1999-10-08</t>
        </is>
      </c>
      <c r="X689" t="inlineStr">
        <is>
          <t>2000-07-12</t>
        </is>
      </c>
      <c r="Y689" t="inlineStr">
        <is>
          <t>1994-05-06</t>
        </is>
      </c>
      <c r="Z689" t="inlineStr">
        <is>
          <t>1994-05-06</t>
        </is>
      </c>
      <c r="AA689" t="n">
        <v>385</v>
      </c>
      <c r="AB689" t="n">
        <v>256</v>
      </c>
      <c r="AC689" t="n">
        <v>262</v>
      </c>
      <c r="AD689" t="n">
        <v>3</v>
      </c>
      <c r="AE689" t="n">
        <v>3</v>
      </c>
      <c r="AF689" t="n">
        <v>7</v>
      </c>
      <c r="AG689" t="n">
        <v>7</v>
      </c>
      <c r="AH689" t="n">
        <v>2</v>
      </c>
      <c r="AI689" t="n">
        <v>2</v>
      </c>
      <c r="AJ689" t="n">
        <v>3</v>
      </c>
      <c r="AK689" t="n">
        <v>3</v>
      </c>
      <c r="AL689" t="n">
        <v>4</v>
      </c>
      <c r="AM689" t="n">
        <v>4</v>
      </c>
      <c r="AN689" t="n">
        <v>1</v>
      </c>
      <c r="AO689" t="n">
        <v>1</v>
      </c>
      <c r="AP689" t="n">
        <v>0</v>
      </c>
      <c r="AQ689" t="n">
        <v>0</v>
      </c>
      <c r="AR689" t="inlineStr">
        <is>
          <t>No</t>
        </is>
      </c>
      <c r="AS689" t="inlineStr">
        <is>
          <t>No</t>
        </is>
      </c>
      <c r="AU689">
        <f>HYPERLINK("https://creighton-primo.hosted.exlibrisgroup.com/primo-explore/search?tab=default_tab&amp;search_scope=EVERYTHING&amp;vid=01CRU&amp;lang=en_US&amp;offset=0&amp;query=any,contains,991001796479702656","Catalog Record")</f>
        <v/>
      </c>
      <c r="AV689">
        <f>HYPERLINK("http://www.worldcat.org/oclc/25628435","WorldCat Record")</f>
        <v/>
      </c>
      <c r="AW689" t="inlineStr">
        <is>
          <t>55572316:eng</t>
        </is>
      </c>
      <c r="AX689" t="inlineStr">
        <is>
          <t>25628435</t>
        </is>
      </c>
      <c r="AY689" t="inlineStr">
        <is>
          <t>991001796479702656</t>
        </is>
      </c>
      <c r="AZ689" t="inlineStr">
        <is>
          <t>991001796479702656</t>
        </is>
      </c>
      <c r="BA689" t="inlineStr">
        <is>
          <t>2263465110002656</t>
        </is>
      </c>
      <c r="BB689" t="inlineStr">
        <is>
          <t>BOOK</t>
        </is>
      </c>
      <c r="BD689" t="inlineStr">
        <is>
          <t>9780716770275</t>
        </is>
      </c>
      <c r="BE689" t="inlineStr">
        <is>
          <t>32285001878171</t>
        </is>
      </c>
      <c r="BF689" t="inlineStr">
        <is>
          <t>893426873</t>
        </is>
      </c>
    </row>
    <row r="690">
      <c r="B690" t="inlineStr">
        <is>
          <t>CURAL</t>
        </is>
      </c>
      <c r="C690" t="inlineStr">
        <is>
          <t>SHELVES</t>
        </is>
      </c>
      <c r="D690" t="inlineStr">
        <is>
          <t>QP551 .R66 1986</t>
        </is>
      </c>
      <c r="E690" t="inlineStr">
        <is>
          <t>0                      QP 0551000R  66          1986</t>
        </is>
      </c>
      <c r="F690" t="inlineStr">
        <is>
          <t>Introduction to proteins and protein engineering / Barry Robson, Jean Garnier.</t>
        </is>
      </c>
      <c r="H690" t="inlineStr">
        <is>
          <t>No</t>
        </is>
      </c>
      <c r="I690" t="inlineStr">
        <is>
          <t>1</t>
        </is>
      </c>
      <c r="J690" t="inlineStr">
        <is>
          <t>No</t>
        </is>
      </c>
      <c r="K690" t="inlineStr">
        <is>
          <t>No</t>
        </is>
      </c>
      <c r="L690" t="inlineStr">
        <is>
          <t>0</t>
        </is>
      </c>
      <c r="M690" t="inlineStr">
        <is>
          <t>Robson, Barry.</t>
        </is>
      </c>
      <c r="N690" t="inlineStr">
        <is>
          <t>Amsterdam ; New York : Elsevier ; New York, NY, USA : Sole distributors for the USA and Canada, Elsevier Science Pub. Co., 1986.</t>
        </is>
      </c>
      <c r="O690" t="inlineStr">
        <is>
          <t>1986</t>
        </is>
      </c>
      <c r="Q690" t="inlineStr">
        <is>
          <t>eng</t>
        </is>
      </c>
      <c r="R690" t="inlineStr">
        <is>
          <t xml:space="preserve">ne </t>
        </is>
      </c>
      <c r="T690" t="inlineStr">
        <is>
          <t xml:space="preserve">QP </t>
        </is>
      </c>
      <c r="U690" t="n">
        <v>2</v>
      </c>
      <c r="V690" t="n">
        <v>2</v>
      </c>
      <c r="W690" t="inlineStr">
        <is>
          <t>1994-09-29</t>
        </is>
      </c>
      <c r="X690" t="inlineStr">
        <is>
          <t>1994-09-29</t>
        </is>
      </c>
      <c r="Y690" t="inlineStr">
        <is>
          <t>1993-03-04</t>
        </is>
      </c>
      <c r="Z690" t="inlineStr">
        <is>
          <t>1993-03-04</t>
        </is>
      </c>
      <c r="AA690" t="n">
        <v>142</v>
      </c>
      <c r="AB690" t="n">
        <v>81</v>
      </c>
      <c r="AC690" t="n">
        <v>105</v>
      </c>
      <c r="AD690" t="n">
        <v>1</v>
      </c>
      <c r="AE690" t="n">
        <v>1</v>
      </c>
      <c r="AF690" t="n">
        <v>0</v>
      </c>
      <c r="AG690" t="n">
        <v>0</v>
      </c>
      <c r="AH690" t="n">
        <v>0</v>
      </c>
      <c r="AI690" t="n">
        <v>0</v>
      </c>
      <c r="AJ690" t="n">
        <v>0</v>
      </c>
      <c r="AK690" t="n">
        <v>0</v>
      </c>
      <c r="AL690" t="n">
        <v>0</v>
      </c>
      <c r="AM690" t="n">
        <v>0</v>
      </c>
      <c r="AN690" t="n">
        <v>0</v>
      </c>
      <c r="AO690" t="n">
        <v>0</v>
      </c>
      <c r="AP690" t="n">
        <v>0</v>
      </c>
      <c r="AQ690" t="n">
        <v>0</v>
      </c>
      <c r="AR690" t="inlineStr">
        <is>
          <t>No</t>
        </is>
      </c>
      <c r="AS690" t="inlineStr">
        <is>
          <t>No</t>
        </is>
      </c>
      <c r="AU690">
        <f>HYPERLINK("https://creighton-primo.hosted.exlibrisgroup.com/primo-explore/search?tab=default_tab&amp;search_scope=EVERYTHING&amp;vid=01CRU&amp;lang=en_US&amp;offset=0&amp;query=any,contains,991000742629702656","Catalog Record")</f>
        <v/>
      </c>
      <c r="AV690">
        <f>HYPERLINK("http://www.worldcat.org/oclc/12810142","WorldCat Record")</f>
        <v/>
      </c>
      <c r="AW690" t="inlineStr">
        <is>
          <t>5451326:eng</t>
        </is>
      </c>
      <c r="AX690" t="inlineStr">
        <is>
          <t>12810142</t>
        </is>
      </c>
      <c r="AY690" t="inlineStr">
        <is>
          <t>991000742629702656</t>
        </is>
      </c>
      <c r="AZ690" t="inlineStr">
        <is>
          <t>991000742629702656</t>
        </is>
      </c>
      <c r="BA690" t="inlineStr">
        <is>
          <t>2267030390002656</t>
        </is>
      </c>
      <c r="BB690" t="inlineStr">
        <is>
          <t>BOOK</t>
        </is>
      </c>
      <c r="BD690" t="inlineStr">
        <is>
          <t>9780444806819</t>
        </is>
      </c>
      <c r="BE690" t="inlineStr">
        <is>
          <t>32285001562957</t>
        </is>
      </c>
      <c r="BF690" t="inlineStr">
        <is>
          <t>893803039</t>
        </is>
      </c>
    </row>
    <row r="691">
      <c r="B691" t="inlineStr">
        <is>
          <t>CURAL</t>
        </is>
      </c>
      <c r="C691" t="inlineStr">
        <is>
          <t>SHELVES</t>
        </is>
      </c>
      <c r="D691" t="inlineStr">
        <is>
          <t>QP551 .S653 2000</t>
        </is>
      </c>
      <c r="E691" t="inlineStr">
        <is>
          <t>0                      QP 0551000S  653         2000</t>
        </is>
      </c>
      <c r="F691" t="inlineStr">
        <is>
          <t>Interpreting protein mass spectra : a comprehensive resource / A. Peter Snyder.</t>
        </is>
      </c>
      <c r="H691" t="inlineStr">
        <is>
          <t>No</t>
        </is>
      </c>
      <c r="I691" t="inlineStr">
        <is>
          <t>1</t>
        </is>
      </c>
      <c r="J691" t="inlineStr">
        <is>
          <t>No</t>
        </is>
      </c>
      <c r="K691" t="inlineStr">
        <is>
          <t>No</t>
        </is>
      </c>
      <c r="L691" t="inlineStr">
        <is>
          <t>0</t>
        </is>
      </c>
      <c r="M691" t="inlineStr">
        <is>
          <t>Snyder, A. Peter, 1952-</t>
        </is>
      </c>
      <c r="N691" t="inlineStr">
        <is>
          <t>New York : Oxford University, 2000.</t>
        </is>
      </c>
      <c r="O691" t="inlineStr">
        <is>
          <t>2000</t>
        </is>
      </c>
      <c r="Q691" t="inlineStr">
        <is>
          <t>eng</t>
        </is>
      </c>
      <c r="R691" t="inlineStr">
        <is>
          <t>nyu</t>
        </is>
      </c>
      <c r="T691" t="inlineStr">
        <is>
          <t xml:space="preserve">QP </t>
        </is>
      </c>
      <c r="U691" t="n">
        <v>2</v>
      </c>
      <c r="V691" t="n">
        <v>2</v>
      </c>
      <c r="W691" t="inlineStr">
        <is>
          <t>2004-08-25</t>
        </is>
      </c>
      <c r="X691" t="inlineStr">
        <is>
          <t>2004-08-25</t>
        </is>
      </c>
      <c r="Y691" t="inlineStr">
        <is>
          <t>2001-04-19</t>
        </is>
      </c>
      <c r="Z691" t="inlineStr">
        <is>
          <t>2001-04-19</t>
        </is>
      </c>
      <c r="AA691" t="n">
        <v>204</v>
      </c>
      <c r="AB691" t="n">
        <v>156</v>
      </c>
      <c r="AC691" t="n">
        <v>218</v>
      </c>
      <c r="AD691" t="n">
        <v>3</v>
      </c>
      <c r="AE691" t="n">
        <v>3</v>
      </c>
      <c r="AF691" t="n">
        <v>5</v>
      </c>
      <c r="AG691" t="n">
        <v>6</v>
      </c>
      <c r="AH691" t="n">
        <v>0</v>
      </c>
      <c r="AI691" t="n">
        <v>0</v>
      </c>
      <c r="AJ691" t="n">
        <v>2</v>
      </c>
      <c r="AK691" t="n">
        <v>3</v>
      </c>
      <c r="AL691" t="n">
        <v>3</v>
      </c>
      <c r="AM691" t="n">
        <v>3</v>
      </c>
      <c r="AN691" t="n">
        <v>2</v>
      </c>
      <c r="AO691" t="n">
        <v>2</v>
      </c>
      <c r="AP691" t="n">
        <v>0</v>
      </c>
      <c r="AQ691" t="n">
        <v>0</v>
      </c>
      <c r="AR691" t="inlineStr">
        <is>
          <t>No</t>
        </is>
      </c>
      <c r="AS691" t="inlineStr">
        <is>
          <t>Yes</t>
        </is>
      </c>
      <c r="AT691">
        <f>HYPERLINK("http://catalog.hathitrust.org/Record/004120222","HathiTrust Record")</f>
        <v/>
      </c>
      <c r="AU691">
        <f>HYPERLINK("https://creighton-primo.hosted.exlibrisgroup.com/primo-explore/search?tab=default_tab&amp;search_scope=EVERYTHING&amp;vid=01CRU&amp;lang=en_US&amp;offset=0&amp;query=any,contains,991003502949702656","Catalog Record")</f>
        <v/>
      </c>
      <c r="AV691">
        <f>HYPERLINK("http://www.worldcat.org/oclc/41211435","WorldCat Record")</f>
        <v/>
      </c>
      <c r="AW691" t="inlineStr">
        <is>
          <t>25593282:eng</t>
        </is>
      </c>
      <c r="AX691" t="inlineStr">
        <is>
          <t>41211435</t>
        </is>
      </c>
      <c r="AY691" t="inlineStr">
        <is>
          <t>991003502949702656</t>
        </is>
      </c>
      <c r="AZ691" t="inlineStr">
        <is>
          <t>991003502949702656</t>
        </is>
      </c>
      <c r="BA691" t="inlineStr">
        <is>
          <t>2260025130002656</t>
        </is>
      </c>
      <c r="BB691" t="inlineStr">
        <is>
          <t>BOOK</t>
        </is>
      </c>
      <c r="BD691" t="inlineStr">
        <is>
          <t>9780841235717</t>
        </is>
      </c>
      <c r="BE691" t="inlineStr">
        <is>
          <t>32285004313531</t>
        </is>
      </c>
      <c r="BF691" t="inlineStr">
        <is>
          <t>893342628</t>
        </is>
      </c>
    </row>
    <row r="692">
      <c r="B692" t="inlineStr">
        <is>
          <t>CURAL</t>
        </is>
      </c>
      <c r="C692" t="inlineStr">
        <is>
          <t>SHELVES</t>
        </is>
      </c>
      <c r="D692" t="inlineStr">
        <is>
          <t>QP551 .S96 1977</t>
        </is>
      </c>
      <c r="E692" t="inlineStr">
        <is>
          <t>0                      QP 0551000S  96          1977</t>
        </is>
      </c>
      <c r="F692" t="inlineStr">
        <is>
          <t>Evolution of protein molecules : proceedings of the Symposium on Evolution of Protein Molecules / edited by Hiroshi Matsubara, Tateo Yamanaka.</t>
        </is>
      </c>
      <c r="H692" t="inlineStr">
        <is>
          <t>No</t>
        </is>
      </c>
      <c r="I692" t="inlineStr">
        <is>
          <t>1</t>
        </is>
      </c>
      <c r="J692" t="inlineStr">
        <is>
          <t>No</t>
        </is>
      </c>
      <c r="K692" t="inlineStr">
        <is>
          <t>No</t>
        </is>
      </c>
      <c r="L692" t="inlineStr">
        <is>
          <t>0</t>
        </is>
      </c>
      <c r="M692" t="inlineStr">
        <is>
          <t>Symposium on Evolution of Protein Molecules (1977 : Osaka, Japan, and Kōbe-shi, Japan)</t>
        </is>
      </c>
      <c r="N692" t="inlineStr">
        <is>
          <t>Tokyo : Japan Scientific Societies Press, Center for Academic Publications Japan, 1978.</t>
        </is>
      </c>
      <c r="O692" t="inlineStr">
        <is>
          <t>1978</t>
        </is>
      </c>
      <c r="Q692" t="inlineStr">
        <is>
          <t>eng</t>
        </is>
      </c>
      <c r="R692" t="inlineStr">
        <is>
          <t xml:space="preserve">ja </t>
        </is>
      </c>
      <c r="T692" t="inlineStr">
        <is>
          <t xml:space="preserve">QP </t>
        </is>
      </c>
      <c r="U692" t="n">
        <v>1</v>
      </c>
      <c r="V692" t="n">
        <v>1</v>
      </c>
      <c r="W692" t="inlineStr">
        <is>
          <t>1998-06-21</t>
        </is>
      </c>
      <c r="X692" t="inlineStr">
        <is>
          <t>1998-06-21</t>
        </is>
      </c>
      <c r="Y692" t="inlineStr">
        <is>
          <t>1993-03-04</t>
        </is>
      </c>
      <c r="Z692" t="inlineStr">
        <is>
          <t>1993-03-04</t>
        </is>
      </c>
      <c r="AA692" t="n">
        <v>36</v>
      </c>
      <c r="AB692" t="n">
        <v>34</v>
      </c>
      <c r="AC692" t="n">
        <v>93</v>
      </c>
      <c r="AD692" t="n">
        <v>2</v>
      </c>
      <c r="AE692" t="n">
        <v>2</v>
      </c>
      <c r="AF692" t="n">
        <v>1</v>
      </c>
      <c r="AG692" t="n">
        <v>3</v>
      </c>
      <c r="AH692" t="n">
        <v>0</v>
      </c>
      <c r="AI692" t="n">
        <v>1</v>
      </c>
      <c r="AJ692" t="n">
        <v>0</v>
      </c>
      <c r="AK692" t="n">
        <v>1</v>
      </c>
      <c r="AL692" t="n">
        <v>0</v>
      </c>
      <c r="AM692" t="n">
        <v>0</v>
      </c>
      <c r="AN692" t="n">
        <v>1</v>
      </c>
      <c r="AO692" t="n">
        <v>1</v>
      </c>
      <c r="AP692" t="n">
        <v>0</v>
      </c>
      <c r="AQ692" t="n">
        <v>0</v>
      </c>
      <c r="AR692" t="inlineStr">
        <is>
          <t>No</t>
        </is>
      </c>
      <c r="AS692" t="inlineStr">
        <is>
          <t>Yes</t>
        </is>
      </c>
      <c r="AT692">
        <f>HYPERLINK("http://catalog.hathitrust.org/Record/101985790","HathiTrust Record")</f>
        <v/>
      </c>
      <c r="AU692">
        <f>HYPERLINK("https://creighton-primo.hosted.exlibrisgroup.com/primo-explore/search?tab=default_tab&amp;search_scope=EVERYTHING&amp;vid=01CRU&amp;lang=en_US&amp;offset=0&amp;query=any,contains,991004624599702656","Catalog Record")</f>
        <v/>
      </c>
      <c r="AV692">
        <f>HYPERLINK("http://www.worldcat.org/oclc/4326967","WorldCat Record")</f>
        <v/>
      </c>
      <c r="AW692" t="inlineStr">
        <is>
          <t>234521699:eng</t>
        </is>
      </c>
      <c r="AX692" t="inlineStr">
        <is>
          <t>4326967</t>
        </is>
      </c>
      <c r="AY692" t="inlineStr">
        <is>
          <t>991004624599702656</t>
        </is>
      </c>
      <c r="AZ692" t="inlineStr">
        <is>
          <t>991004624599702656</t>
        </is>
      </c>
      <c r="BA692" t="inlineStr">
        <is>
          <t>2259895710002656</t>
        </is>
      </c>
      <c r="BB692" t="inlineStr">
        <is>
          <t>BOOK</t>
        </is>
      </c>
      <c r="BE692" t="inlineStr">
        <is>
          <t>32285001562973</t>
        </is>
      </c>
      <c r="BF692" t="inlineStr">
        <is>
          <t>893776218</t>
        </is>
      </c>
    </row>
    <row r="693">
      <c r="B693" t="inlineStr">
        <is>
          <t>CURAL</t>
        </is>
      </c>
      <c r="C693" t="inlineStr">
        <is>
          <t>SHELVES</t>
        </is>
      </c>
      <c r="D693" t="inlineStr">
        <is>
          <t>QP551 .T115 2008</t>
        </is>
      </c>
      <c r="E693" t="inlineStr">
        <is>
          <t>0                      QP 0551000T  115         2008</t>
        </is>
      </c>
      <c r="F693" t="inlineStr">
        <is>
          <t>Proteomic biology using LC-MS : large scale analysis of cellular dynamics and function / Nobuhiro Takahashi, Toshiaki Isobe.</t>
        </is>
      </c>
      <c r="H693" t="inlineStr">
        <is>
          <t>No</t>
        </is>
      </c>
      <c r="I693" t="inlineStr">
        <is>
          <t>1</t>
        </is>
      </c>
      <c r="J693" t="inlineStr">
        <is>
          <t>No</t>
        </is>
      </c>
      <c r="K693" t="inlineStr">
        <is>
          <t>No</t>
        </is>
      </c>
      <c r="L693" t="inlineStr">
        <is>
          <t>0</t>
        </is>
      </c>
      <c r="M693" t="inlineStr">
        <is>
          <t>Takahashi, Nobuhiro.</t>
        </is>
      </c>
      <c r="N693" t="inlineStr">
        <is>
          <t>Hoboken, N.J. : Wiley-Interscience, c2008.</t>
        </is>
      </c>
      <c r="O693" t="inlineStr">
        <is>
          <t>2008</t>
        </is>
      </c>
      <c r="Q693" t="inlineStr">
        <is>
          <t>eng</t>
        </is>
      </c>
      <c r="R693" t="inlineStr">
        <is>
          <t>nju</t>
        </is>
      </c>
      <c r="S693" t="inlineStr">
        <is>
          <t>Wiley-Interscience series in mass spectrometry</t>
        </is>
      </c>
      <c r="T693" t="inlineStr">
        <is>
          <t xml:space="preserve">QP </t>
        </is>
      </c>
      <c r="U693" t="n">
        <v>1</v>
      </c>
      <c r="V693" t="n">
        <v>1</v>
      </c>
      <c r="W693" t="inlineStr">
        <is>
          <t>2009-10-26</t>
        </is>
      </c>
      <c r="X693" t="inlineStr">
        <is>
          <t>2009-10-26</t>
        </is>
      </c>
      <c r="Y693" t="inlineStr">
        <is>
          <t>2009-10-26</t>
        </is>
      </c>
      <c r="Z693" t="inlineStr">
        <is>
          <t>2009-10-26</t>
        </is>
      </c>
      <c r="AA693" t="n">
        <v>146</v>
      </c>
      <c r="AB693" t="n">
        <v>93</v>
      </c>
      <c r="AC693" t="n">
        <v>171</v>
      </c>
      <c r="AD693" t="n">
        <v>2</v>
      </c>
      <c r="AE693" t="n">
        <v>2</v>
      </c>
      <c r="AF693" t="n">
        <v>4</v>
      </c>
      <c r="AG693" t="n">
        <v>4</v>
      </c>
      <c r="AH693" t="n">
        <v>1</v>
      </c>
      <c r="AI693" t="n">
        <v>1</v>
      </c>
      <c r="AJ693" t="n">
        <v>1</v>
      </c>
      <c r="AK693" t="n">
        <v>1</v>
      </c>
      <c r="AL693" t="n">
        <v>2</v>
      </c>
      <c r="AM693" t="n">
        <v>2</v>
      </c>
      <c r="AN693" t="n">
        <v>1</v>
      </c>
      <c r="AO693" t="n">
        <v>1</v>
      </c>
      <c r="AP693" t="n">
        <v>0</v>
      </c>
      <c r="AQ693" t="n">
        <v>0</v>
      </c>
      <c r="AR693" t="inlineStr">
        <is>
          <t>No</t>
        </is>
      </c>
      <c r="AS693" t="inlineStr">
        <is>
          <t>No</t>
        </is>
      </c>
      <c r="AU693">
        <f>HYPERLINK("https://creighton-primo.hosted.exlibrisgroup.com/primo-explore/search?tab=default_tab&amp;search_scope=EVERYTHING&amp;vid=01CRU&amp;lang=en_US&amp;offset=0&amp;query=any,contains,991005338749702656","Catalog Record")</f>
        <v/>
      </c>
      <c r="AV693">
        <f>HYPERLINK("http://www.worldcat.org/oclc/77476600","WorldCat Record")</f>
        <v/>
      </c>
      <c r="AW693" t="inlineStr">
        <is>
          <t>801769574:eng</t>
        </is>
      </c>
      <c r="AX693" t="inlineStr">
        <is>
          <t>77476600</t>
        </is>
      </c>
      <c r="AY693" t="inlineStr">
        <is>
          <t>991005338749702656</t>
        </is>
      </c>
      <c r="AZ693" t="inlineStr">
        <is>
          <t>991005338749702656</t>
        </is>
      </c>
      <c r="BA693" t="inlineStr">
        <is>
          <t>2262203150002656</t>
        </is>
      </c>
      <c r="BB693" t="inlineStr">
        <is>
          <t>BOOK</t>
        </is>
      </c>
      <c r="BD693" t="inlineStr">
        <is>
          <t>9780471662587</t>
        </is>
      </c>
      <c r="BE693" t="inlineStr">
        <is>
          <t>32285005548614</t>
        </is>
      </c>
      <c r="BF693" t="inlineStr">
        <is>
          <t>893424928</t>
        </is>
      </c>
    </row>
    <row r="694">
      <c r="B694" t="inlineStr">
        <is>
          <t>CURAL</t>
        </is>
      </c>
      <c r="C694" t="inlineStr">
        <is>
          <t>SHELVES</t>
        </is>
      </c>
      <c r="D694" t="inlineStr">
        <is>
          <t>QP552.C28 C34 1982</t>
        </is>
      </c>
      <c r="E694" t="inlineStr">
        <is>
          <t>0                      QP 0552000C  28                 C  34          1982</t>
        </is>
      </c>
      <c r="F694" t="inlineStr">
        <is>
          <t>Calmodulin and intracellular Ca⁺⁺ receptors / edited by Shiro Kakiuchi, Hiroyoshi Hidaka, and Anthony R. Means.</t>
        </is>
      </c>
      <c r="H694" t="inlineStr">
        <is>
          <t>No</t>
        </is>
      </c>
      <c r="I694" t="inlineStr">
        <is>
          <t>1</t>
        </is>
      </c>
      <c r="J694" t="inlineStr">
        <is>
          <t>No</t>
        </is>
      </c>
      <c r="K694" t="inlineStr">
        <is>
          <t>No</t>
        </is>
      </c>
      <c r="L694" t="inlineStr">
        <is>
          <t>0</t>
        </is>
      </c>
      <c r="N694" t="inlineStr">
        <is>
          <t>New York : Plenum Press, c1982.</t>
        </is>
      </c>
      <c r="O694" t="inlineStr">
        <is>
          <t>1982</t>
        </is>
      </c>
      <c r="Q694" t="inlineStr">
        <is>
          <t>eng</t>
        </is>
      </c>
      <c r="R694" t="inlineStr">
        <is>
          <t>nyu</t>
        </is>
      </c>
      <c r="T694" t="inlineStr">
        <is>
          <t xml:space="preserve">QP </t>
        </is>
      </c>
      <c r="U694" t="n">
        <v>2</v>
      </c>
      <c r="V694" t="n">
        <v>2</v>
      </c>
      <c r="W694" t="inlineStr">
        <is>
          <t>1993-04-15</t>
        </is>
      </c>
      <c r="X694" t="inlineStr">
        <is>
          <t>1993-04-15</t>
        </is>
      </c>
      <c r="Y694" t="inlineStr">
        <is>
          <t>1993-03-04</t>
        </is>
      </c>
      <c r="Z694" t="inlineStr">
        <is>
          <t>1993-03-04</t>
        </is>
      </c>
      <c r="AA694" t="n">
        <v>251</v>
      </c>
      <c r="AB694" t="n">
        <v>198</v>
      </c>
      <c r="AC694" t="n">
        <v>207</v>
      </c>
      <c r="AD694" t="n">
        <v>1</v>
      </c>
      <c r="AE694" t="n">
        <v>1</v>
      </c>
      <c r="AF694" t="n">
        <v>11</v>
      </c>
      <c r="AG694" t="n">
        <v>11</v>
      </c>
      <c r="AH694" t="n">
        <v>4</v>
      </c>
      <c r="AI694" t="n">
        <v>4</v>
      </c>
      <c r="AJ694" t="n">
        <v>5</v>
      </c>
      <c r="AK694" t="n">
        <v>5</v>
      </c>
      <c r="AL694" t="n">
        <v>7</v>
      </c>
      <c r="AM694" t="n">
        <v>7</v>
      </c>
      <c r="AN694" t="n">
        <v>0</v>
      </c>
      <c r="AO694" t="n">
        <v>0</v>
      </c>
      <c r="AP694" t="n">
        <v>0</v>
      </c>
      <c r="AQ694" t="n">
        <v>0</v>
      </c>
      <c r="AR694" t="inlineStr">
        <is>
          <t>No</t>
        </is>
      </c>
      <c r="AS694" t="inlineStr">
        <is>
          <t>Yes</t>
        </is>
      </c>
      <c r="AT694">
        <f>HYPERLINK("http://catalog.hathitrust.org/Record/000192191","HathiTrust Record")</f>
        <v/>
      </c>
      <c r="AU694">
        <f>HYPERLINK("https://creighton-primo.hosted.exlibrisgroup.com/primo-explore/search?tab=default_tab&amp;search_scope=EVERYTHING&amp;vid=01CRU&amp;lang=en_US&amp;offset=0&amp;query=any,contains,991000025789702656","Catalog Record")</f>
        <v/>
      </c>
      <c r="AV694">
        <f>HYPERLINK("http://www.worldcat.org/oclc/8588929","WorldCat Record")</f>
        <v/>
      </c>
      <c r="AW694" t="inlineStr">
        <is>
          <t>503749022:eng</t>
        </is>
      </c>
      <c r="AX694" t="inlineStr">
        <is>
          <t>8588929</t>
        </is>
      </c>
      <c r="AY694" t="inlineStr">
        <is>
          <t>991000025789702656</t>
        </is>
      </c>
      <c r="AZ694" t="inlineStr">
        <is>
          <t>991000025789702656</t>
        </is>
      </c>
      <c r="BA694" t="inlineStr">
        <is>
          <t>2257554260002656</t>
        </is>
      </c>
      <c r="BB694" t="inlineStr">
        <is>
          <t>BOOK</t>
        </is>
      </c>
      <c r="BD694" t="inlineStr">
        <is>
          <t>9780306411090</t>
        </is>
      </c>
      <c r="BE694" t="inlineStr">
        <is>
          <t>32285001562981</t>
        </is>
      </c>
      <c r="BF694" t="inlineStr">
        <is>
          <t>893626160</t>
        </is>
      </c>
    </row>
    <row r="695">
      <c r="B695" t="inlineStr">
        <is>
          <t>CURAL</t>
        </is>
      </c>
      <c r="C695" t="inlineStr">
        <is>
          <t>SHELVES</t>
        </is>
      </c>
      <c r="D695" t="inlineStr">
        <is>
          <t>QP552.C42 S57 1999</t>
        </is>
      </c>
      <c r="E695" t="inlineStr">
        <is>
          <t>0                      QP 0552000C  42                 S  57          1999</t>
        </is>
      </c>
      <c r="F695" t="inlineStr">
        <is>
          <t>Signaling through cell adhesion molecules / edited by Jun-Lin Guan.</t>
        </is>
      </c>
      <c r="H695" t="inlineStr">
        <is>
          <t>No</t>
        </is>
      </c>
      <c r="I695" t="inlineStr">
        <is>
          <t>1</t>
        </is>
      </c>
      <c r="J695" t="inlineStr">
        <is>
          <t>No</t>
        </is>
      </c>
      <c r="K695" t="inlineStr">
        <is>
          <t>No</t>
        </is>
      </c>
      <c r="L695" t="inlineStr">
        <is>
          <t>0</t>
        </is>
      </c>
      <c r="N695" t="inlineStr">
        <is>
          <t>Boca Raton, Fla : CRC Press, 1999.</t>
        </is>
      </c>
      <c r="O695" t="inlineStr">
        <is>
          <t>1999</t>
        </is>
      </c>
      <c r="Q695" t="inlineStr">
        <is>
          <t>eng</t>
        </is>
      </c>
      <c r="R695" t="inlineStr">
        <is>
          <t>flu</t>
        </is>
      </c>
      <c r="S695" t="inlineStr">
        <is>
          <t>Methods in signal transduction</t>
        </is>
      </c>
      <c r="T695" t="inlineStr">
        <is>
          <t xml:space="preserve">QP </t>
        </is>
      </c>
      <c r="U695" t="n">
        <v>2</v>
      </c>
      <c r="V695" t="n">
        <v>2</v>
      </c>
      <c r="W695" t="inlineStr">
        <is>
          <t>2005-12-20</t>
        </is>
      </c>
      <c r="X695" t="inlineStr">
        <is>
          <t>2005-12-20</t>
        </is>
      </c>
      <c r="Y695" t="inlineStr">
        <is>
          <t>2000-07-25</t>
        </is>
      </c>
      <c r="Z695" t="inlineStr">
        <is>
          <t>2000-07-25</t>
        </is>
      </c>
      <c r="AA695" t="n">
        <v>160</v>
      </c>
      <c r="AB695" t="n">
        <v>118</v>
      </c>
      <c r="AC695" t="n">
        <v>159</v>
      </c>
      <c r="AD695" t="n">
        <v>1</v>
      </c>
      <c r="AE695" t="n">
        <v>1</v>
      </c>
      <c r="AF695" t="n">
        <v>3</v>
      </c>
      <c r="AG695" t="n">
        <v>3</v>
      </c>
      <c r="AH695" t="n">
        <v>0</v>
      </c>
      <c r="AI695" t="n">
        <v>0</v>
      </c>
      <c r="AJ695" t="n">
        <v>3</v>
      </c>
      <c r="AK695" t="n">
        <v>3</v>
      </c>
      <c r="AL695" t="n">
        <v>2</v>
      </c>
      <c r="AM695" t="n">
        <v>2</v>
      </c>
      <c r="AN695" t="n">
        <v>0</v>
      </c>
      <c r="AO695" t="n">
        <v>0</v>
      </c>
      <c r="AP695" t="n">
        <v>0</v>
      </c>
      <c r="AQ695" t="n">
        <v>0</v>
      </c>
      <c r="AR695" t="inlineStr">
        <is>
          <t>No</t>
        </is>
      </c>
      <c r="AS695" t="inlineStr">
        <is>
          <t>No</t>
        </is>
      </c>
      <c r="AU695">
        <f>HYPERLINK("https://creighton-primo.hosted.exlibrisgroup.com/primo-explore/search?tab=default_tab&amp;search_scope=EVERYTHING&amp;vid=01CRU&amp;lang=en_US&amp;offset=0&amp;query=any,contains,991003216979702656","Catalog Record")</f>
        <v/>
      </c>
      <c r="AV695">
        <f>HYPERLINK("http://www.worldcat.org/oclc/40675167","WorldCat Record")</f>
        <v/>
      </c>
      <c r="AW695" t="inlineStr">
        <is>
          <t>56362681:eng</t>
        </is>
      </c>
      <c r="AX695" t="inlineStr">
        <is>
          <t>40675167</t>
        </is>
      </c>
      <c r="AY695" t="inlineStr">
        <is>
          <t>991003216979702656</t>
        </is>
      </c>
      <c r="AZ695" t="inlineStr">
        <is>
          <t>991003216979702656</t>
        </is>
      </c>
      <c r="BA695" t="inlineStr">
        <is>
          <t>2260316720002656</t>
        </is>
      </c>
      <c r="BB695" t="inlineStr">
        <is>
          <t>BOOK</t>
        </is>
      </c>
      <c r="BD695" t="inlineStr">
        <is>
          <t>9780849333859</t>
        </is>
      </c>
      <c r="BE695" t="inlineStr">
        <is>
          <t>32285003742052</t>
        </is>
      </c>
      <c r="BF695" t="inlineStr">
        <is>
          <t>893711147</t>
        </is>
      </c>
    </row>
    <row r="696">
      <c r="B696" t="inlineStr">
        <is>
          <t>CURAL</t>
        </is>
      </c>
      <c r="C696" t="inlineStr">
        <is>
          <t>SHELVES</t>
        </is>
      </c>
      <c r="D696" t="inlineStr">
        <is>
          <t>QP552.C96 G85 1993</t>
        </is>
      </c>
      <c r="E696" t="inlineStr">
        <is>
          <t>0                      QP 0552000C  96                 G  85          1993</t>
        </is>
      </c>
      <c r="F696" t="inlineStr">
        <is>
          <t>Guidebook to the cytoskeletal and motor proteins / edited by Thomas Kreis and Ronald Vale.</t>
        </is>
      </c>
      <c r="H696" t="inlineStr">
        <is>
          <t>No</t>
        </is>
      </c>
      <c r="I696" t="inlineStr">
        <is>
          <t>1</t>
        </is>
      </c>
      <c r="J696" t="inlineStr">
        <is>
          <t>No</t>
        </is>
      </c>
      <c r="K696" t="inlineStr">
        <is>
          <t>Yes</t>
        </is>
      </c>
      <c r="L696" t="inlineStr">
        <is>
          <t>0</t>
        </is>
      </c>
      <c r="N696" t="inlineStr">
        <is>
          <t>Oxford ; New York : Oxford University Press, 1993.</t>
        </is>
      </c>
      <c r="O696" t="inlineStr">
        <is>
          <t>1993</t>
        </is>
      </c>
      <c r="Q696" t="inlineStr">
        <is>
          <t>eng</t>
        </is>
      </c>
      <c r="R696" t="inlineStr">
        <is>
          <t>enk</t>
        </is>
      </c>
      <c r="T696" t="inlineStr">
        <is>
          <t xml:space="preserve">QP </t>
        </is>
      </c>
      <c r="U696" t="n">
        <v>13</v>
      </c>
      <c r="V696" t="n">
        <v>13</v>
      </c>
      <c r="W696" t="inlineStr">
        <is>
          <t>1998-11-19</t>
        </is>
      </c>
      <c r="X696" t="inlineStr">
        <is>
          <t>1998-11-19</t>
        </is>
      </c>
      <c r="Y696" t="inlineStr">
        <is>
          <t>1994-06-07</t>
        </is>
      </c>
      <c r="Z696" t="inlineStr">
        <is>
          <t>1994-06-07</t>
        </is>
      </c>
      <c r="AA696" t="n">
        <v>300</v>
      </c>
      <c r="AB696" t="n">
        <v>215</v>
      </c>
      <c r="AC696" t="n">
        <v>286</v>
      </c>
      <c r="AD696" t="n">
        <v>3</v>
      </c>
      <c r="AE696" t="n">
        <v>5</v>
      </c>
      <c r="AF696" t="n">
        <v>15</v>
      </c>
      <c r="AG696" t="n">
        <v>16</v>
      </c>
      <c r="AH696" t="n">
        <v>4</v>
      </c>
      <c r="AI696" t="n">
        <v>4</v>
      </c>
      <c r="AJ696" t="n">
        <v>6</v>
      </c>
      <c r="AK696" t="n">
        <v>6</v>
      </c>
      <c r="AL696" t="n">
        <v>8</v>
      </c>
      <c r="AM696" t="n">
        <v>8</v>
      </c>
      <c r="AN696" t="n">
        <v>2</v>
      </c>
      <c r="AO696" t="n">
        <v>3</v>
      </c>
      <c r="AP696" t="n">
        <v>0</v>
      </c>
      <c r="AQ696" t="n">
        <v>0</v>
      </c>
      <c r="AR696" t="inlineStr">
        <is>
          <t>No</t>
        </is>
      </c>
      <c r="AS696" t="inlineStr">
        <is>
          <t>Yes</t>
        </is>
      </c>
      <c r="AT696">
        <f>HYPERLINK("http://catalog.hathitrust.org/Record/002736685","HathiTrust Record")</f>
        <v/>
      </c>
      <c r="AU696">
        <f>HYPERLINK("https://creighton-primo.hosted.exlibrisgroup.com/primo-explore/search?tab=default_tab&amp;search_scope=EVERYTHING&amp;vid=01CRU&amp;lang=en_US&amp;offset=0&amp;query=any,contains,991002152679702656","Catalog Record")</f>
        <v/>
      </c>
      <c r="AV696">
        <f>HYPERLINK("http://www.worldcat.org/oclc/27728588","WorldCat Record")</f>
        <v/>
      </c>
      <c r="AW696" t="inlineStr">
        <is>
          <t>350271377:eng</t>
        </is>
      </c>
      <c r="AX696" t="inlineStr">
        <is>
          <t>27728588</t>
        </is>
      </c>
      <c r="AY696" t="inlineStr">
        <is>
          <t>991002152679702656</t>
        </is>
      </c>
      <c r="AZ696" t="inlineStr">
        <is>
          <t>991002152679702656</t>
        </is>
      </c>
      <c r="BA696" t="inlineStr">
        <is>
          <t>2265890290002656</t>
        </is>
      </c>
      <c r="BB696" t="inlineStr">
        <is>
          <t>BOOK</t>
        </is>
      </c>
      <c r="BD696" t="inlineStr">
        <is>
          <t>9780198599319</t>
        </is>
      </c>
      <c r="BE696" t="inlineStr">
        <is>
          <t>32285001922052</t>
        </is>
      </c>
      <c r="BF696" t="inlineStr">
        <is>
          <t>893433543</t>
        </is>
      </c>
    </row>
    <row r="697">
      <c r="B697" t="inlineStr">
        <is>
          <t>CURAL</t>
        </is>
      </c>
      <c r="C697" t="inlineStr">
        <is>
          <t>SHELVES</t>
        </is>
      </c>
      <c r="D697" t="inlineStr">
        <is>
          <t>QP552.G76 B7 1990</t>
        </is>
      </c>
      <c r="E697" t="inlineStr">
        <is>
          <t>0                      QP 0552000G  76                 B  7           1990</t>
        </is>
      </c>
      <c r="F697" t="inlineStr">
        <is>
          <t>Growth factors in cell and developmental biology : proceedings of the British Society for Cell Biology-Journal of Cell Science Symposium, Manchester, April 1990 / organized and edited by M.D. Waterfield.</t>
        </is>
      </c>
      <c r="H697" t="inlineStr">
        <is>
          <t>No</t>
        </is>
      </c>
      <c r="I697" t="inlineStr">
        <is>
          <t>1</t>
        </is>
      </c>
      <c r="J697" t="inlineStr">
        <is>
          <t>No</t>
        </is>
      </c>
      <c r="K697" t="inlineStr">
        <is>
          <t>No</t>
        </is>
      </c>
      <c r="L697" t="inlineStr">
        <is>
          <t>0</t>
        </is>
      </c>
      <c r="M697" t="inlineStr">
        <is>
          <t>British Society for Cell Biology--Journal of Cell Science Symposium (1990 : Manchester, England)</t>
        </is>
      </c>
      <c r="N697" t="inlineStr">
        <is>
          <t>Cambridge, [Eng.] : Company of Biologists, 1990.</t>
        </is>
      </c>
      <c r="O697" t="inlineStr">
        <is>
          <t>1990</t>
        </is>
      </c>
      <c r="Q697" t="inlineStr">
        <is>
          <t>eng</t>
        </is>
      </c>
      <c r="R697" t="inlineStr">
        <is>
          <t>enk</t>
        </is>
      </c>
      <c r="S697" t="inlineStr">
        <is>
          <t>Journal of cell science. Supplement ; 13</t>
        </is>
      </c>
      <c r="T697" t="inlineStr">
        <is>
          <t xml:space="preserve">QP </t>
        </is>
      </c>
      <c r="U697" t="n">
        <v>3</v>
      </c>
      <c r="V697" t="n">
        <v>3</v>
      </c>
      <c r="W697" t="inlineStr">
        <is>
          <t>1992-09-03</t>
        </is>
      </c>
      <c r="X697" t="inlineStr">
        <is>
          <t>1992-09-03</t>
        </is>
      </c>
      <c r="Y697" t="inlineStr">
        <is>
          <t>1991-09-20</t>
        </is>
      </c>
      <c r="Z697" t="inlineStr">
        <is>
          <t>1991-09-20</t>
        </is>
      </c>
      <c r="AA697" t="n">
        <v>378</v>
      </c>
      <c r="AB697" t="n">
        <v>270</v>
      </c>
      <c r="AC697" t="n">
        <v>277</v>
      </c>
      <c r="AD697" t="n">
        <v>2</v>
      </c>
      <c r="AE697" t="n">
        <v>2</v>
      </c>
      <c r="AF697" t="n">
        <v>18</v>
      </c>
      <c r="AG697" t="n">
        <v>18</v>
      </c>
      <c r="AH697" t="n">
        <v>5</v>
      </c>
      <c r="AI697" t="n">
        <v>5</v>
      </c>
      <c r="AJ697" t="n">
        <v>7</v>
      </c>
      <c r="AK697" t="n">
        <v>7</v>
      </c>
      <c r="AL697" t="n">
        <v>9</v>
      </c>
      <c r="AM697" t="n">
        <v>9</v>
      </c>
      <c r="AN697" t="n">
        <v>1</v>
      </c>
      <c r="AO697" t="n">
        <v>1</v>
      </c>
      <c r="AP697" t="n">
        <v>0</v>
      </c>
      <c r="AQ697" t="n">
        <v>0</v>
      </c>
      <c r="AR697" t="inlineStr">
        <is>
          <t>No</t>
        </is>
      </c>
      <c r="AS697" t="inlineStr">
        <is>
          <t>Yes</t>
        </is>
      </c>
      <c r="AT697">
        <f>HYPERLINK("http://catalog.hathitrust.org/Record/002428429","HathiTrust Record")</f>
        <v/>
      </c>
      <c r="AU697">
        <f>HYPERLINK("https://creighton-primo.hosted.exlibrisgroup.com/primo-explore/search?tab=default_tab&amp;search_scope=EVERYTHING&amp;vid=01CRU&amp;lang=en_US&amp;offset=0&amp;query=any,contains,991001836639702656","Catalog Record")</f>
        <v/>
      </c>
      <c r="AV697">
        <f>HYPERLINK("http://www.worldcat.org/oclc/29028727","WorldCat Record")</f>
        <v/>
      </c>
      <c r="AW697" t="inlineStr">
        <is>
          <t>364198348:eng</t>
        </is>
      </c>
      <c r="AX697" t="inlineStr">
        <is>
          <t>29028727</t>
        </is>
      </c>
      <c r="AY697" t="inlineStr">
        <is>
          <t>991001836639702656</t>
        </is>
      </c>
      <c r="AZ697" t="inlineStr">
        <is>
          <t>991001836639702656</t>
        </is>
      </c>
      <c r="BA697" t="inlineStr">
        <is>
          <t>2261280690002656</t>
        </is>
      </c>
      <c r="BB697" t="inlineStr">
        <is>
          <t>BOOK</t>
        </is>
      </c>
      <c r="BD697" t="inlineStr">
        <is>
          <t>9780948601279</t>
        </is>
      </c>
      <c r="BE697" t="inlineStr">
        <is>
          <t>32285000704600</t>
        </is>
      </c>
      <c r="BF697" t="inlineStr">
        <is>
          <t>893872838</t>
        </is>
      </c>
    </row>
    <row r="698">
      <c r="B698" t="inlineStr">
        <is>
          <t>CURAL</t>
        </is>
      </c>
      <c r="C698" t="inlineStr">
        <is>
          <t>SHELVES</t>
        </is>
      </c>
      <c r="D698" t="inlineStr">
        <is>
          <t>QP552.H43 B56 1994</t>
        </is>
      </c>
      <c r="E698" t="inlineStr">
        <is>
          <t>0                      QP 0552000H  43                 B  56          1994</t>
        </is>
      </c>
      <c r="F698" t="inlineStr">
        <is>
          <t>The Biology of heat shock proteins and molecular chaperones / edited by Richard I. Morimoto, Alfred Tissières, Costa Georgopoulos.</t>
        </is>
      </c>
      <c r="H698" t="inlineStr">
        <is>
          <t>No</t>
        </is>
      </c>
      <c r="I698" t="inlineStr">
        <is>
          <t>1</t>
        </is>
      </c>
      <c r="J698" t="inlineStr">
        <is>
          <t>No</t>
        </is>
      </c>
      <c r="K698" t="inlineStr">
        <is>
          <t>No</t>
        </is>
      </c>
      <c r="L698" t="inlineStr">
        <is>
          <t>0</t>
        </is>
      </c>
      <c r="N698" t="inlineStr">
        <is>
          <t>Plainview , N.Y. : Cold Spring Harbor Laboratory Press, 1994.</t>
        </is>
      </c>
      <c r="O698" t="inlineStr">
        <is>
          <t>1994</t>
        </is>
      </c>
      <c r="Q698" t="inlineStr">
        <is>
          <t>eng</t>
        </is>
      </c>
      <c r="R698" t="inlineStr">
        <is>
          <t>nyu</t>
        </is>
      </c>
      <c r="S698" t="inlineStr">
        <is>
          <t>Cold Spring Harbor monograph series ; 26</t>
        </is>
      </c>
      <c r="T698" t="inlineStr">
        <is>
          <t xml:space="preserve">QP </t>
        </is>
      </c>
      <c r="U698" t="n">
        <v>13</v>
      </c>
      <c r="V698" t="n">
        <v>13</v>
      </c>
      <c r="W698" t="inlineStr">
        <is>
          <t>2010-02-24</t>
        </is>
      </c>
      <c r="X698" t="inlineStr">
        <is>
          <t>2010-02-24</t>
        </is>
      </c>
      <c r="Y698" t="inlineStr">
        <is>
          <t>1996-02-21</t>
        </is>
      </c>
      <c r="Z698" t="inlineStr">
        <is>
          <t>1996-02-21</t>
        </is>
      </c>
      <c r="AA698" t="n">
        <v>271</v>
      </c>
      <c r="AB698" t="n">
        <v>186</v>
      </c>
      <c r="AC698" t="n">
        <v>194</v>
      </c>
      <c r="AD698" t="n">
        <v>1</v>
      </c>
      <c r="AE698" t="n">
        <v>1</v>
      </c>
      <c r="AF698" t="n">
        <v>6</v>
      </c>
      <c r="AG698" t="n">
        <v>6</v>
      </c>
      <c r="AH698" t="n">
        <v>2</v>
      </c>
      <c r="AI698" t="n">
        <v>2</v>
      </c>
      <c r="AJ698" t="n">
        <v>2</v>
      </c>
      <c r="AK698" t="n">
        <v>2</v>
      </c>
      <c r="AL698" t="n">
        <v>4</v>
      </c>
      <c r="AM698" t="n">
        <v>4</v>
      </c>
      <c r="AN698" t="n">
        <v>0</v>
      </c>
      <c r="AO698" t="n">
        <v>0</v>
      </c>
      <c r="AP698" t="n">
        <v>0</v>
      </c>
      <c r="AQ698" t="n">
        <v>0</v>
      </c>
      <c r="AR698" t="inlineStr">
        <is>
          <t>No</t>
        </is>
      </c>
      <c r="AS698" t="inlineStr">
        <is>
          <t>Yes</t>
        </is>
      </c>
      <c r="AT698">
        <f>HYPERLINK("http://catalog.hathitrust.org/Record/002875180","HathiTrust Record")</f>
        <v/>
      </c>
      <c r="AU698">
        <f>HYPERLINK("https://creighton-primo.hosted.exlibrisgroup.com/primo-explore/search?tab=default_tab&amp;search_scope=EVERYTHING&amp;vid=01CRU&amp;lang=en_US&amp;offset=0&amp;query=any,contains,991002280249702656","Catalog Record")</f>
        <v/>
      </c>
      <c r="AV698">
        <f>HYPERLINK("http://www.worldcat.org/oclc/29564889","WorldCat Record")</f>
        <v/>
      </c>
      <c r="AW698" t="inlineStr">
        <is>
          <t>350553343:eng</t>
        </is>
      </c>
      <c r="AX698" t="inlineStr">
        <is>
          <t>29564889</t>
        </is>
      </c>
      <c r="AY698" t="inlineStr">
        <is>
          <t>991002280249702656</t>
        </is>
      </c>
      <c r="AZ698" t="inlineStr">
        <is>
          <t>991002280249702656</t>
        </is>
      </c>
      <c r="BA698" t="inlineStr">
        <is>
          <t>2257203470002656</t>
        </is>
      </c>
      <c r="BB698" t="inlineStr">
        <is>
          <t>BOOK</t>
        </is>
      </c>
      <c r="BD698" t="inlineStr">
        <is>
          <t>9780879694272</t>
        </is>
      </c>
      <c r="BE698" t="inlineStr">
        <is>
          <t>32285002136991</t>
        </is>
      </c>
      <c r="BF698" t="inlineStr">
        <is>
          <t>893316617</t>
        </is>
      </c>
    </row>
    <row r="699">
      <c r="B699" t="inlineStr">
        <is>
          <t>CURAL</t>
        </is>
      </c>
      <c r="C699" t="inlineStr">
        <is>
          <t>SHELVES</t>
        </is>
      </c>
      <c r="D699" t="inlineStr">
        <is>
          <t>QP552.N36 N47 1996</t>
        </is>
      </c>
      <c r="E699" t="inlineStr">
        <is>
          <t>0                      QP 0552000N  36                 N  47          1996</t>
        </is>
      </c>
      <c r="F699" t="inlineStr">
        <is>
          <t>Nerve growth and guidance / edited by C.D. McCaig.</t>
        </is>
      </c>
      <c r="H699" t="inlineStr">
        <is>
          <t>No</t>
        </is>
      </c>
      <c r="I699" t="inlineStr">
        <is>
          <t>1</t>
        </is>
      </c>
      <c r="J699" t="inlineStr">
        <is>
          <t>No</t>
        </is>
      </c>
      <c r="K699" t="inlineStr">
        <is>
          <t>No</t>
        </is>
      </c>
      <c r="L699" t="inlineStr">
        <is>
          <t>0</t>
        </is>
      </c>
      <c r="N699" t="inlineStr">
        <is>
          <t>London : Portland Press ; Brookfield, VT, U.S.A. : Ashgate Pub. Co. [distributor, North America], c1996.</t>
        </is>
      </c>
      <c r="O699" t="inlineStr">
        <is>
          <t>1996</t>
        </is>
      </c>
      <c r="Q699" t="inlineStr">
        <is>
          <t>eng</t>
        </is>
      </c>
      <c r="R699" t="inlineStr">
        <is>
          <t>enk</t>
        </is>
      </c>
      <c r="S699" t="inlineStr">
        <is>
          <t>Frontiers in neurobiology, 1353-6508 ; 2</t>
        </is>
      </c>
      <c r="T699" t="inlineStr">
        <is>
          <t xml:space="preserve">QP </t>
        </is>
      </c>
      <c r="U699" t="n">
        <v>5</v>
      </c>
      <c r="V699" t="n">
        <v>5</v>
      </c>
      <c r="W699" t="inlineStr">
        <is>
          <t>2000-10-29</t>
        </is>
      </c>
      <c r="X699" t="inlineStr">
        <is>
          <t>2000-10-29</t>
        </is>
      </c>
      <c r="Y699" t="inlineStr">
        <is>
          <t>1997-05-08</t>
        </is>
      </c>
      <c r="Z699" t="inlineStr">
        <is>
          <t>1997-05-08</t>
        </is>
      </c>
      <c r="AA699" t="n">
        <v>92</v>
      </c>
      <c r="AB699" t="n">
        <v>58</v>
      </c>
      <c r="AC699" t="n">
        <v>58</v>
      </c>
      <c r="AD699" t="n">
        <v>1</v>
      </c>
      <c r="AE699" t="n">
        <v>1</v>
      </c>
      <c r="AF699" t="n">
        <v>5</v>
      </c>
      <c r="AG699" t="n">
        <v>5</v>
      </c>
      <c r="AH699" t="n">
        <v>3</v>
      </c>
      <c r="AI699" t="n">
        <v>3</v>
      </c>
      <c r="AJ699" t="n">
        <v>1</v>
      </c>
      <c r="AK699" t="n">
        <v>1</v>
      </c>
      <c r="AL699" t="n">
        <v>4</v>
      </c>
      <c r="AM699" t="n">
        <v>4</v>
      </c>
      <c r="AN699" t="n">
        <v>0</v>
      </c>
      <c r="AO699" t="n">
        <v>0</v>
      </c>
      <c r="AP699" t="n">
        <v>0</v>
      </c>
      <c r="AQ699" t="n">
        <v>0</v>
      </c>
      <c r="AR699" t="inlineStr">
        <is>
          <t>No</t>
        </is>
      </c>
      <c r="AS699" t="inlineStr">
        <is>
          <t>No</t>
        </is>
      </c>
      <c r="AU699">
        <f>HYPERLINK("https://creighton-primo.hosted.exlibrisgroup.com/primo-explore/search?tab=default_tab&amp;search_scope=EVERYTHING&amp;vid=01CRU&amp;lang=en_US&amp;offset=0&amp;query=any,contains,991002678919702656","Catalog Record")</f>
        <v/>
      </c>
      <c r="AV699">
        <f>HYPERLINK("http://www.worldcat.org/oclc/35017275","WorldCat Record")</f>
        <v/>
      </c>
      <c r="AW699" t="inlineStr">
        <is>
          <t>496819369:eng</t>
        </is>
      </c>
      <c r="AX699" t="inlineStr">
        <is>
          <t>35017275</t>
        </is>
      </c>
      <c r="AY699" t="inlineStr">
        <is>
          <t>991002678919702656</t>
        </is>
      </c>
      <c r="AZ699" t="inlineStr">
        <is>
          <t>991002678919702656</t>
        </is>
      </c>
      <c r="BA699" t="inlineStr">
        <is>
          <t>2268277590002656</t>
        </is>
      </c>
      <c r="BB699" t="inlineStr">
        <is>
          <t>BOOK</t>
        </is>
      </c>
      <c r="BD699" t="inlineStr">
        <is>
          <t>9781855780859</t>
        </is>
      </c>
      <c r="BE699" t="inlineStr">
        <is>
          <t>32285002606316</t>
        </is>
      </c>
      <c r="BF699" t="inlineStr">
        <is>
          <t>893899063</t>
        </is>
      </c>
    </row>
    <row r="700">
      <c r="B700" t="inlineStr">
        <is>
          <t>CURAL</t>
        </is>
      </c>
      <c r="C700" t="inlineStr">
        <is>
          <t>SHELVES</t>
        </is>
      </c>
      <c r="D700" t="inlineStr">
        <is>
          <t>QP552.N39 N472 1994</t>
        </is>
      </c>
      <c r="E700" t="inlineStr">
        <is>
          <t>0                      QP 0552000N  39                 N  472         1994</t>
        </is>
      </c>
      <c r="F700" t="inlineStr">
        <is>
          <t>Neuropeptide gene expression / edited by Anthony J. Turner.</t>
        </is>
      </c>
      <c r="H700" t="inlineStr">
        <is>
          <t>No</t>
        </is>
      </c>
      <c r="I700" t="inlineStr">
        <is>
          <t>1</t>
        </is>
      </c>
      <c r="J700" t="inlineStr">
        <is>
          <t>No</t>
        </is>
      </c>
      <c r="K700" t="inlineStr">
        <is>
          <t>No</t>
        </is>
      </c>
      <c r="L700" t="inlineStr">
        <is>
          <t>0</t>
        </is>
      </c>
      <c r="N700" t="inlineStr">
        <is>
          <t>London ; Chapel Hill, NC : Portland, c1994.</t>
        </is>
      </c>
      <c r="O700" t="inlineStr">
        <is>
          <t>1994</t>
        </is>
      </c>
      <c r="Q700" t="inlineStr">
        <is>
          <t>eng</t>
        </is>
      </c>
      <c r="R700" t="inlineStr">
        <is>
          <t>enk</t>
        </is>
      </c>
      <c r="S700" t="inlineStr">
        <is>
          <t>Frontiers in neurobiology, 1353-6508 ; 1</t>
        </is>
      </c>
      <c r="T700" t="inlineStr">
        <is>
          <t xml:space="preserve">QP </t>
        </is>
      </c>
      <c r="U700" t="n">
        <v>8</v>
      </c>
      <c r="V700" t="n">
        <v>8</v>
      </c>
      <c r="W700" t="inlineStr">
        <is>
          <t>2006-09-27</t>
        </is>
      </c>
      <c r="X700" t="inlineStr">
        <is>
          <t>2006-09-27</t>
        </is>
      </c>
      <c r="Y700" t="inlineStr">
        <is>
          <t>1996-06-18</t>
        </is>
      </c>
      <c r="Z700" t="inlineStr">
        <is>
          <t>1996-06-18</t>
        </is>
      </c>
      <c r="AA700" t="n">
        <v>101</v>
      </c>
      <c r="AB700" t="n">
        <v>63</v>
      </c>
      <c r="AC700" t="n">
        <v>64</v>
      </c>
      <c r="AD700" t="n">
        <v>1</v>
      </c>
      <c r="AE700" t="n">
        <v>1</v>
      </c>
      <c r="AF700" t="n">
        <v>3</v>
      </c>
      <c r="AG700" t="n">
        <v>3</v>
      </c>
      <c r="AH700" t="n">
        <v>0</v>
      </c>
      <c r="AI700" t="n">
        <v>0</v>
      </c>
      <c r="AJ700" t="n">
        <v>2</v>
      </c>
      <c r="AK700" t="n">
        <v>2</v>
      </c>
      <c r="AL700" t="n">
        <v>2</v>
      </c>
      <c r="AM700" t="n">
        <v>2</v>
      </c>
      <c r="AN700" t="n">
        <v>0</v>
      </c>
      <c r="AO700" t="n">
        <v>0</v>
      </c>
      <c r="AP700" t="n">
        <v>0</v>
      </c>
      <c r="AQ700" t="n">
        <v>0</v>
      </c>
      <c r="AR700" t="inlineStr">
        <is>
          <t>No</t>
        </is>
      </c>
      <c r="AS700" t="inlineStr">
        <is>
          <t>Yes</t>
        </is>
      </c>
      <c r="AT700">
        <f>HYPERLINK("http://catalog.hathitrust.org/Record/003027396","HathiTrust Record")</f>
        <v/>
      </c>
      <c r="AU700">
        <f>HYPERLINK("https://creighton-primo.hosted.exlibrisgroup.com/primo-explore/search?tab=default_tab&amp;search_scope=EVERYTHING&amp;vid=01CRU&amp;lang=en_US&amp;offset=0&amp;query=any,contains,991002392869702656","Catalog Record")</f>
        <v/>
      </c>
      <c r="AV700">
        <f>HYPERLINK("http://www.worldcat.org/oclc/31075780","WorldCat Record")</f>
        <v/>
      </c>
      <c r="AW700" t="inlineStr">
        <is>
          <t>2068120:eng</t>
        </is>
      </c>
      <c r="AX700" t="inlineStr">
        <is>
          <t>31075780</t>
        </is>
      </c>
      <c r="AY700" t="inlineStr">
        <is>
          <t>991002392869702656</t>
        </is>
      </c>
      <c r="AZ700" t="inlineStr">
        <is>
          <t>991002392869702656</t>
        </is>
      </c>
      <c r="BA700" t="inlineStr">
        <is>
          <t>2269675690002656</t>
        </is>
      </c>
      <c r="BB700" t="inlineStr">
        <is>
          <t>BOOK</t>
        </is>
      </c>
      <c r="BD700" t="inlineStr">
        <is>
          <t>9781855780446</t>
        </is>
      </c>
      <c r="BE700" t="inlineStr">
        <is>
          <t>32285002194313</t>
        </is>
      </c>
      <c r="BF700" t="inlineStr">
        <is>
          <t>893697711</t>
        </is>
      </c>
    </row>
    <row r="701">
      <c r="B701" t="inlineStr">
        <is>
          <t>CURAL</t>
        </is>
      </c>
      <c r="C701" t="inlineStr">
        <is>
          <t>SHELVES</t>
        </is>
      </c>
      <c r="D701" t="inlineStr">
        <is>
          <t>QP552.P4 B63 1993</t>
        </is>
      </c>
      <c r="E701" t="inlineStr">
        <is>
          <t>0                      QP 0552000P  4                  B  63          1993</t>
        </is>
      </c>
      <c r="F701" t="inlineStr">
        <is>
          <t>Principles of peptide synthesis / Miklos Bodanszky.</t>
        </is>
      </c>
      <c r="H701" t="inlineStr">
        <is>
          <t>No</t>
        </is>
      </c>
      <c r="I701" t="inlineStr">
        <is>
          <t>1</t>
        </is>
      </c>
      <c r="J701" t="inlineStr">
        <is>
          <t>No</t>
        </is>
      </c>
      <c r="K701" t="inlineStr">
        <is>
          <t>No</t>
        </is>
      </c>
      <c r="L701" t="inlineStr">
        <is>
          <t>0</t>
        </is>
      </c>
      <c r="M701" t="inlineStr">
        <is>
          <t>Bodanszky, Miklos.</t>
        </is>
      </c>
      <c r="N701" t="inlineStr">
        <is>
          <t>Berlin ; New York : Springer-Verlag, c1993.</t>
        </is>
      </c>
      <c r="O701" t="inlineStr">
        <is>
          <t>1993</t>
        </is>
      </c>
      <c r="P701" t="inlineStr">
        <is>
          <t>2nd rev. ed.</t>
        </is>
      </c>
      <c r="Q701" t="inlineStr">
        <is>
          <t>eng</t>
        </is>
      </c>
      <c r="R701" t="inlineStr">
        <is>
          <t xml:space="preserve">gw </t>
        </is>
      </c>
      <c r="S701" t="inlineStr">
        <is>
          <t>Springer laboratory</t>
        </is>
      </c>
      <c r="T701" t="inlineStr">
        <is>
          <t xml:space="preserve">QP </t>
        </is>
      </c>
      <c r="U701" t="n">
        <v>12</v>
      </c>
      <c r="V701" t="n">
        <v>12</v>
      </c>
      <c r="W701" t="inlineStr">
        <is>
          <t>2002-04-12</t>
        </is>
      </c>
      <c r="X701" t="inlineStr">
        <is>
          <t>2002-04-12</t>
        </is>
      </c>
      <c r="Y701" t="inlineStr">
        <is>
          <t>1994-01-07</t>
        </is>
      </c>
      <c r="Z701" t="inlineStr">
        <is>
          <t>1994-01-07</t>
        </is>
      </c>
      <c r="AA701" t="n">
        <v>337</v>
      </c>
      <c r="AB701" t="n">
        <v>253</v>
      </c>
      <c r="AC701" t="n">
        <v>361</v>
      </c>
      <c r="AD701" t="n">
        <v>1</v>
      </c>
      <c r="AE701" t="n">
        <v>2</v>
      </c>
      <c r="AF701" t="n">
        <v>11</v>
      </c>
      <c r="AG701" t="n">
        <v>15</v>
      </c>
      <c r="AH701" t="n">
        <v>2</v>
      </c>
      <c r="AI701" t="n">
        <v>3</v>
      </c>
      <c r="AJ701" t="n">
        <v>5</v>
      </c>
      <c r="AK701" t="n">
        <v>7</v>
      </c>
      <c r="AL701" t="n">
        <v>8</v>
      </c>
      <c r="AM701" t="n">
        <v>10</v>
      </c>
      <c r="AN701" t="n">
        <v>0</v>
      </c>
      <c r="AO701" t="n">
        <v>1</v>
      </c>
      <c r="AP701" t="n">
        <v>0</v>
      </c>
      <c r="AQ701" t="n">
        <v>0</v>
      </c>
      <c r="AR701" t="inlineStr">
        <is>
          <t>No</t>
        </is>
      </c>
      <c r="AS701" t="inlineStr">
        <is>
          <t>Yes</t>
        </is>
      </c>
      <c r="AT701">
        <f>HYPERLINK("http://catalog.hathitrust.org/Record/002782188","HathiTrust Record")</f>
        <v/>
      </c>
      <c r="AU701">
        <f>HYPERLINK("https://creighton-primo.hosted.exlibrisgroup.com/primo-explore/search?tab=default_tab&amp;search_scope=EVERYTHING&amp;vid=01CRU&amp;lang=en_US&amp;offset=0&amp;query=any,contains,991002155059702656","Catalog Record")</f>
        <v/>
      </c>
      <c r="AV701">
        <f>HYPERLINK("http://www.worldcat.org/oclc/27769683","WorldCat Record")</f>
        <v/>
      </c>
      <c r="AW701" t="inlineStr">
        <is>
          <t>335257:eng</t>
        </is>
      </c>
      <c r="AX701" t="inlineStr">
        <is>
          <t>27769683</t>
        </is>
      </c>
      <c r="AY701" t="inlineStr">
        <is>
          <t>991002155059702656</t>
        </is>
      </c>
      <c r="AZ701" t="inlineStr">
        <is>
          <t>991002155059702656</t>
        </is>
      </c>
      <c r="BA701" t="inlineStr">
        <is>
          <t>2265237620002656</t>
        </is>
      </c>
      <c r="BB701" t="inlineStr">
        <is>
          <t>BOOK</t>
        </is>
      </c>
      <c r="BD701" t="inlineStr">
        <is>
          <t>9780387564319</t>
        </is>
      </c>
      <c r="BE701" t="inlineStr">
        <is>
          <t>32285001830123</t>
        </is>
      </c>
      <c r="BF701" t="inlineStr">
        <is>
          <t>893773272</t>
        </is>
      </c>
    </row>
    <row r="702">
      <c r="B702" t="inlineStr">
        <is>
          <t>CURAL</t>
        </is>
      </c>
      <c r="C702" t="inlineStr">
        <is>
          <t>SHELVES</t>
        </is>
      </c>
      <c r="D702" t="inlineStr">
        <is>
          <t>QP562.G5 G56</t>
        </is>
      </c>
      <c r="E702" t="inlineStr">
        <is>
          <t>0                      QP 0562000G  5                  G  56</t>
        </is>
      </c>
      <c r="F702" t="inlineStr">
        <is>
          <t>Glutamic acid : advances in biochemistry and physiology / edited by L. J. Filer, Jr., ... [et al.].</t>
        </is>
      </c>
      <c r="H702" t="inlineStr">
        <is>
          <t>No</t>
        </is>
      </c>
      <c r="I702" t="inlineStr">
        <is>
          <t>1</t>
        </is>
      </c>
      <c r="J702" t="inlineStr">
        <is>
          <t>No</t>
        </is>
      </c>
      <c r="K702" t="inlineStr">
        <is>
          <t>No</t>
        </is>
      </c>
      <c r="L702" t="inlineStr">
        <is>
          <t>0</t>
        </is>
      </c>
      <c r="N702" t="inlineStr">
        <is>
          <t>New York : Raven Press, c1979.</t>
        </is>
      </c>
      <c r="O702" t="inlineStr">
        <is>
          <t>1979</t>
        </is>
      </c>
      <c r="Q702" t="inlineStr">
        <is>
          <t>eng</t>
        </is>
      </c>
      <c r="R702" t="inlineStr">
        <is>
          <t>nyu</t>
        </is>
      </c>
      <c r="S702" t="inlineStr">
        <is>
          <t>Monographs of the Mario Negri Institute for Pharmacological Research, Milan</t>
        </is>
      </c>
      <c r="T702" t="inlineStr">
        <is>
          <t xml:space="preserve">QP </t>
        </is>
      </c>
      <c r="U702" t="n">
        <v>3</v>
      </c>
      <c r="V702" t="n">
        <v>3</v>
      </c>
      <c r="W702" t="inlineStr">
        <is>
          <t>1999-12-01</t>
        </is>
      </c>
      <c r="X702" t="inlineStr">
        <is>
          <t>1999-12-01</t>
        </is>
      </c>
      <c r="Y702" t="inlineStr">
        <is>
          <t>1992-01-14</t>
        </is>
      </c>
      <c r="Z702" t="inlineStr">
        <is>
          <t>1992-01-14</t>
        </is>
      </c>
      <c r="AA702" t="n">
        <v>258</v>
      </c>
      <c r="AB702" t="n">
        <v>191</v>
      </c>
      <c r="AC702" t="n">
        <v>193</v>
      </c>
      <c r="AD702" t="n">
        <v>2</v>
      </c>
      <c r="AE702" t="n">
        <v>2</v>
      </c>
      <c r="AF702" t="n">
        <v>4</v>
      </c>
      <c r="AG702" t="n">
        <v>4</v>
      </c>
      <c r="AH702" t="n">
        <v>0</v>
      </c>
      <c r="AI702" t="n">
        <v>0</v>
      </c>
      <c r="AJ702" t="n">
        <v>2</v>
      </c>
      <c r="AK702" t="n">
        <v>2</v>
      </c>
      <c r="AL702" t="n">
        <v>3</v>
      </c>
      <c r="AM702" t="n">
        <v>3</v>
      </c>
      <c r="AN702" t="n">
        <v>1</v>
      </c>
      <c r="AO702" t="n">
        <v>1</v>
      </c>
      <c r="AP702" t="n">
        <v>0</v>
      </c>
      <c r="AQ702" t="n">
        <v>0</v>
      </c>
      <c r="AR702" t="inlineStr">
        <is>
          <t>No</t>
        </is>
      </c>
      <c r="AS702" t="inlineStr">
        <is>
          <t>Yes</t>
        </is>
      </c>
      <c r="AT702">
        <f>HYPERLINK("http://catalog.hathitrust.org/Record/000727413","HathiTrust Record")</f>
        <v/>
      </c>
      <c r="AU702">
        <f>HYPERLINK("https://creighton-primo.hosted.exlibrisgroup.com/primo-explore/search?tab=default_tab&amp;search_scope=EVERYTHING&amp;vid=01CRU&amp;lang=en_US&amp;offset=0&amp;query=any,contains,991004674469702656","Catalog Record")</f>
        <v/>
      </c>
      <c r="AV702">
        <f>HYPERLINK("http://www.worldcat.org/oclc/4529123","WorldCat Record")</f>
        <v/>
      </c>
      <c r="AW702" t="inlineStr">
        <is>
          <t>889371031:eng</t>
        </is>
      </c>
      <c r="AX702" t="inlineStr">
        <is>
          <t>4529123</t>
        </is>
      </c>
      <c r="AY702" t="inlineStr">
        <is>
          <t>991004674469702656</t>
        </is>
      </c>
      <c r="AZ702" t="inlineStr">
        <is>
          <t>991004674469702656</t>
        </is>
      </c>
      <c r="BA702" t="inlineStr">
        <is>
          <t>2264307700002656</t>
        </is>
      </c>
      <c r="BB702" t="inlineStr">
        <is>
          <t>BOOK</t>
        </is>
      </c>
      <c r="BD702" t="inlineStr">
        <is>
          <t>9780890043561</t>
        </is>
      </c>
      <c r="BE702" t="inlineStr">
        <is>
          <t>32285000897198</t>
        </is>
      </c>
      <c r="BF702" t="inlineStr">
        <is>
          <t>893353492</t>
        </is>
      </c>
    </row>
    <row r="703">
      <c r="B703" t="inlineStr">
        <is>
          <t>CURAL</t>
        </is>
      </c>
      <c r="C703" t="inlineStr">
        <is>
          <t>SHELVES</t>
        </is>
      </c>
      <c r="D703" t="inlineStr">
        <is>
          <t>QP571 .H654 1982</t>
        </is>
      </c>
      <c r="E703" t="inlineStr">
        <is>
          <t>0                      QP 0571000H  654         1982</t>
        </is>
      </c>
      <c r="F703" t="inlineStr">
        <is>
          <t>Hormone action / edited by Robert F. Goldberger and Keith R. Yamamoto.</t>
        </is>
      </c>
      <c r="G703" t="inlineStr">
        <is>
          <t>V.2</t>
        </is>
      </c>
      <c r="H703" t="inlineStr">
        <is>
          <t>Yes</t>
        </is>
      </c>
      <c r="I703" t="inlineStr">
        <is>
          <t>1</t>
        </is>
      </c>
      <c r="J703" t="inlineStr">
        <is>
          <t>No</t>
        </is>
      </c>
      <c r="K703" t="inlineStr">
        <is>
          <t>No</t>
        </is>
      </c>
      <c r="L703" t="inlineStr">
        <is>
          <t>0</t>
        </is>
      </c>
      <c r="N703" t="inlineStr">
        <is>
          <t>New York : Plenum Press, c1982-1984.</t>
        </is>
      </c>
      <c r="O703" t="inlineStr">
        <is>
          <t>1982</t>
        </is>
      </c>
      <c r="Q703" t="inlineStr">
        <is>
          <t>eng</t>
        </is>
      </c>
      <c r="R703" t="inlineStr">
        <is>
          <t>nyu</t>
        </is>
      </c>
      <c r="S703" t="inlineStr">
        <is>
          <t>Biological regulation and development ; v. 3A, 3B</t>
        </is>
      </c>
      <c r="T703" t="inlineStr">
        <is>
          <t xml:space="preserve">QP </t>
        </is>
      </c>
      <c r="U703" t="n">
        <v>1</v>
      </c>
      <c r="V703" t="n">
        <v>2</v>
      </c>
      <c r="W703" t="inlineStr">
        <is>
          <t>2002-02-24</t>
        </is>
      </c>
      <c r="X703" t="inlineStr">
        <is>
          <t>2002-02-24</t>
        </is>
      </c>
      <c r="Y703" t="inlineStr">
        <is>
          <t>1993-03-04</t>
        </is>
      </c>
      <c r="Z703" t="inlineStr">
        <is>
          <t>1993-03-04</t>
        </is>
      </c>
      <c r="AA703" t="n">
        <v>301</v>
      </c>
      <c r="AB703" t="n">
        <v>256</v>
      </c>
      <c r="AC703" t="n">
        <v>285</v>
      </c>
      <c r="AD703" t="n">
        <v>3</v>
      </c>
      <c r="AE703" t="n">
        <v>3</v>
      </c>
      <c r="AF703" t="n">
        <v>14</v>
      </c>
      <c r="AG703" t="n">
        <v>14</v>
      </c>
      <c r="AH703" t="n">
        <v>2</v>
      </c>
      <c r="AI703" t="n">
        <v>2</v>
      </c>
      <c r="AJ703" t="n">
        <v>4</v>
      </c>
      <c r="AK703" t="n">
        <v>4</v>
      </c>
      <c r="AL703" t="n">
        <v>10</v>
      </c>
      <c r="AM703" t="n">
        <v>10</v>
      </c>
      <c r="AN703" t="n">
        <v>2</v>
      </c>
      <c r="AO703" t="n">
        <v>2</v>
      </c>
      <c r="AP703" t="n">
        <v>0</v>
      </c>
      <c r="AQ703" t="n">
        <v>0</v>
      </c>
      <c r="AR703" t="inlineStr">
        <is>
          <t>No</t>
        </is>
      </c>
      <c r="AS703" t="inlineStr">
        <is>
          <t>Yes</t>
        </is>
      </c>
      <c r="AT703">
        <f>HYPERLINK("http://catalog.hathitrust.org/Record/000271022","HathiTrust Record")</f>
        <v/>
      </c>
      <c r="AU703">
        <f>HYPERLINK("https://creighton-primo.hosted.exlibrisgroup.com/primo-explore/search?tab=default_tab&amp;search_scope=EVERYTHING&amp;vid=01CRU&amp;lang=en_US&amp;offset=0&amp;query=any,contains,991005251339702656","Catalog Record")</f>
        <v/>
      </c>
      <c r="AV703">
        <f>HYPERLINK("http://www.worldcat.org/oclc/8493753","WorldCat Record")</f>
        <v/>
      </c>
      <c r="AW703" t="inlineStr">
        <is>
          <t>3945233536:eng</t>
        </is>
      </c>
      <c r="AX703" t="inlineStr">
        <is>
          <t>8493753</t>
        </is>
      </c>
      <c r="AY703" t="inlineStr">
        <is>
          <t>991005251339702656</t>
        </is>
      </c>
      <c r="AZ703" t="inlineStr">
        <is>
          <t>991005251339702656</t>
        </is>
      </c>
      <c r="BA703" t="inlineStr">
        <is>
          <t>2261480160002656</t>
        </is>
      </c>
      <c r="BB703" t="inlineStr">
        <is>
          <t>BOOK</t>
        </is>
      </c>
      <c r="BD703" t="inlineStr">
        <is>
          <t>9780306409257</t>
        </is>
      </c>
      <c r="BE703" t="inlineStr">
        <is>
          <t>32285001563070</t>
        </is>
      </c>
      <c r="BF703" t="inlineStr">
        <is>
          <t>893896138</t>
        </is>
      </c>
    </row>
    <row r="704">
      <c r="B704" t="inlineStr">
        <is>
          <t>CURAL</t>
        </is>
      </c>
      <c r="C704" t="inlineStr">
        <is>
          <t>SHELVES</t>
        </is>
      </c>
      <c r="D704" t="inlineStr">
        <is>
          <t>QP571 .H654 1982</t>
        </is>
      </c>
      <c r="E704" t="inlineStr">
        <is>
          <t>0                      QP 0571000H  654         1982</t>
        </is>
      </c>
      <c r="F704" t="inlineStr">
        <is>
          <t>Hormone action / edited by Robert F. Goldberger and Keith R. Yamamoto.</t>
        </is>
      </c>
      <c r="G704" t="inlineStr">
        <is>
          <t>V.1</t>
        </is>
      </c>
      <c r="H704" t="inlineStr">
        <is>
          <t>Yes</t>
        </is>
      </c>
      <c r="I704" t="inlineStr">
        <is>
          <t>1</t>
        </is>
      </c>
      <c r="J704" t="inlineStr">
        <is>
          <t>No</t>
        </is>
      </c>
      <c r="K704" t="inlineStr">
        <is>
          <t>No</t>
        </is>
      </c>
      <c r="L704" t="inlineStr">
        <is>
          <t>0</t>
        </is>
      </c>
      <c r="N704" t="inlineStr">
        <is>
          <t>New York : Plenum Press, c1982-1984.</t>
        </is>
      </c>
      <c r="O704" t="inlineStr">
        <is>
          <t>1982</t>
        </is>
      </c>
      <c r="Q704" t="inlineStr">
        <is>
          <t>eng</t>
        </is>
      </c>
      <c r="R704" t="inlineStr">
        <is>
          <t>nyu</t>
        </is>
      </c>
      <c r="S704" t="inlineStr">
        <is>
          <t>Biological regulation and development ; v. 3A, 3B</t>
        </is>
      </c>
      <c r="T704" t="inlineStr">
        <is>
          <t xml:space="preserve">QP </t>
        </is>
      </c>
      <c r="U704" t="n">
        <v>1</v>
      </c>
      <c r="V704" t="n">
        <v>2</v>
      </c>
      <c r="W704" t="inlineStr">
        <is>
          <t>1995-02-05</t>
        </is>
      </c>
      <c r="X704" t="inlineStr">
        <is>
          <t>2002-02-24</t>
        </is>
      </c>
      <c r="Y704" t="inlineStr">
        <is>
          <t>1993-03-04</t>
        </is>
      </c>
      <c r="Z704" t="inlineStr">
        <is>
          <t>1993-03-04</t>
        </is>
      </c>
      <c r="AA704" t="n">
        <v>301</v>
      </c>
      <c r="AB704" t="n">
        <v>256</v>
      </c>
      <c r="AC704" t="n">
        <v>285</v>
      </c>
      <c r="AD704" t="n">
        <v>3</v>
      </c>
      <c r="AE704" t="n">
        <v>3</v>
      </c>
      <c r="AF704" t="n">
        <v>14</v>
      </c>
      <c r="AG704" t="n">
        <v>14</v>
      </c>
      <c r="AH704" t="n">
        <v>2</v>
      </c>
      <c r="AI704" t="n">
        <v>2</v>
      </c>
      <c r="AJ704" t="n">
        <v>4</v>
      </c>
      <c r="AK704" t="n">
        <v>4</v>
      </c>
      <c r="AL704" t="n">
        <v>10</v>
      </c>
      <c r="AM704" t="n">
        <v>10</v>
      </c>
      <c r="AN704" t="n">
        <v>2</v>
      </c>
      <c r="AO704" t="n">
        <v>2</v>
      </c>
      <c r="AP704" t="n">
        <v>0</v>
      </c>
      <c r="AQ704" t="n">
        <v>0</v>
      </c>
      <c r="AR704" t="inlineStr">
        <is>
          <t>No</t>
        </is>
      </c>
      <c r="AS704" t="inlineStr">
        <is>
          <t>Yes</t>
        </is>
      </c>
      <c r="AT704">
        <f>HYPERLINK("http://catalog.hathitrust.org/Record/000271022","HathiTrust Record")</f>
        <v/>
      </c>
      <c r="AU704">
        <f>HYPERLINK("https://creighton-primo.hosted.exlibrisgroup.com/primo-explore/search?tab=default_tab&amp;search_scope=EVERYTHING&amp;vid=01CRU&amp;lang=en_US&amp;offset=0&amp;query=any,contains,991005251339702656","Catalog Record")</f>
        <v/>
      </c>
      <c r="AV704">
        <f>HYPERLINK("http://www.worldcat.org/oclc/8493753","WorldCat Record")</f>
        <v/>
      </c>
      <c r="AW704" t="inlineStr">
        <is>
          <t>3945233536:eng</t>
        </is>
      </c>
      <c r="AX704" t="inlineStr">
        <is>
          <t>8493753</t>
        </is>
      </c>
      <c r="AY704" t="inlineStr">
        <is>
          <t>991005251339702656</t>
        </is>
      </c>
      <c r="AZ704" t="inlineStr">
        <is>
          <t>991005251339702656</t>
        </is>
      </c>
      <c r="BA704" t="inlineStr">
        <is>
          <t>2261480160002656</t>
        </is>
      </c>
      <c r="BB704" t="inlineStr">
        <is>
          <t>BOOK</t>
        </is>
      </c>
      <c r="BD704" t="inlineStr">
        <is>
          <t>9780306409257</t>
        </is>
      </c>
      <c r="BE704" t="inlineStr">
        <is>
          <t>32285001563062</t>
        </is>
      </c>
      <c r="BF704" t="inlineStr">
        <is>
          <t>893870759</t>
        </is>
      </c>
    </row>
    <row r="705">
      <c r="B705" t="inlineStr">
        <is>
          <t>CURAL</t>
        </is>
      </c>
      <c r="C705" t="inlineStr">
        <is>
          <t>SHELVES</t>
        </is>
      </c>
      <c r="D705" t="inlineStr">
        <is>
          <t>QP571 .N66 1987</t>
        </is>
      </c>
      <c r="E705" t="inlineStr">
        <is>
          <t>0                      QP 0571000N  66          1987</t>
        </is>
      </c>
      <c r="F705" t="inlineStr">
        <is>
          <t>Hormones / Anthony W. Norman, Gerald Litwack.</t>
        </is>
      </c>
      <c r="H705" t="inlineStr">
        <is>
          <t>No</t>
        </is>
      </c>
      <c r="I705" t="inlineStr">
        <is>
          <t>1</t>
        </is>
      </c>
      <c r="J705" t="inlineStr">
        <is>
          <t>No</t>
        </is>
      </c>
      <c r="K705" t="inlineStr">
        <is>
          <t>Yes</t>
        </is>
      </c>
      <c r="L705" t="inlineStr">
        <is>
          <t>0</t>
        </is>
      </c>
      <c r="M705" t="inlineStr">
        <is>
          <t>Norman, A. W. (Anthony W.), 1938-</t>
        </is>
      </c>
      <c r="N705" t="inlineStr">
        <is>
          <t>Orlando : Academic Press, 1987.</t>
        </is>
      </c>
      <c r="O705" t="inlineStr">
        <is>
          <t>1987</t>
        </is>
      </c>
      <c r="Q705" t="inlineStr">
        <is>
          <t>eng</t>
        </is>
      </c>
      <c r="R705" t="inlineStr">
        <is>
          <t>flu</t>
        </is>
      </c>
      <c r="T705" t="inlineStr">
        <is>
          <t xml:space="preserve">QP </t>
        </is>
      </c>
      <c r="U705" t="n">
        <v>3</v>
      </c>
      <c r="V705" t="n">
        <v>3</v>
      </c>
      <c r="W705" t="inlineStr">
        <is>
          <t>1993-09-05</t>
        </is>
      </c>
      <c r="X705" t="inlineStr">
        <is>
          <t>1993-09-05</t>
        </is>
      </c>
      <c r="Y705" t="inlineStr">
        <is>
          <t>1993-03-04</t>
        </is>
      </c>
      <c r="Z705" t="inlineStr">
        <is>
          <t>1993-03-04</t>
        </is>
      </c>
      <c r="AA705" t="n">
        <v>508</v>
      </c>
      <c r="AB705" t="n">
        <v>380</v>
      </c>
      <c r="AC705" t="n">
        <v>637</v>
      </c>
      <c r="AD705" t="n">
        <v>4</v>
      </c>
      <c r="AE705" t="n">
        <v>6</v>
      </c>
      <c r="AF705" t="n">
        <v>14</v>
      </c>
      <c r="AG705" t="n">
        <v>23</v>
      </c>
      <c r="AH705" t="n">
        <v>5</v>
      </c>
      <c r="AI705" t="n">
        <v>9</v>
      </c>
      <c r="AJ705" t="n">
        <v>2</v>
      </c>
      <c r="AK705" t="n">
        <v>4</v>
      </c>
      <c r="AL705" t="n">
        <v>6</v>
      </c>
      <c r="AM705" t="n">
        <v>10</v>
      </c>
      <c r="AN705" t="n">
        <v>3</v>
      </c>
      <c r="AO705" t="n">
        <v>4</v>
      </c>
      <c r="AP705" t="n">
        <v>0</v>
      </c>
      <c r="AQ705" t="n">
        <v>0</v>
      </c>
      <c r="AR705" t="inlineStr">
        <is>
          <t>No</t>
        </is>
      </c>
      <c r="AS705" t="inlineStr">
        <is>
          <t>Yes</t>
        </is>
      </c>
      <c r="AT705">
        <f>HYPERLINK("http://catalog.hathitrust.org/Record/000821529","HathiTrust Record")</f>
        <v/>
      </c>
      <c r="AU705">
        <f>HYPERLINK("https://creighton-primo.hosted.exlibrisgroup.com/primo-explore/search?tab=default_tab&amp;search_scope=EVERYTHING&amp;vid=01CRU&amp;lang=en_US&amp;offset=0&amp;query=any,contains,991005266619702656","Catalog Record")</f>
        <v/>
      </c>
      <c r="AV705">
        <f>HYPERLINK("http://www.worldcat.org/oclc/12551163","WorldCat Record")</f>
        <v/>
      </c>
      <c r="AW705" t="inlineStr">
        <is>
          <t>592372:eng</t>
        </is>
      </c>
      <c r="AX705" t="inlineStr">
        <is>
          <t>12551163</t>
        </is>
      </c>
      <c r="AY705" t="inlineStr">
        <is>
          <t>991005266619702656</t>
        </is>
      </c>
      <c r="AZ705" t="inlineStr">
        <is>
          <t>991005266619702656</t>
        </is>
      </c>
      <c r="BA705" t="inlineStr">
        <is>
          <t>2258690660002656</t>
        </is>
      </c>
      <c r="BB705" t="inlineStr">
        <is>
          <t>BOOK</t>
        </is>
      </c>
      <c r="BD705" t="inlineStr">
        <is>
          <t>9780125214407</t>
        </is>
      </c>
      <c r="BE705" t="inlineStr">
        <is>
          <t>32285001563120</t>
        </is>
      </c>
      <c r="BF705" t="inlineStr">
        <is>
          <t>893332690</t>
        </is>
      </c>
    </row>
    <row r="706">
      <c r="B706" t="inlineStr">
        <is>
          <t>CURAL</t>
        </is>
      </c>
      <c r="C706" t="inlineStr">
        <is>
          <t>SHELVES</t>
        </is>
      </c>
      <c r="D706" t="inlineStr">
        <is>
          <t>QP571.7 .N38 1988</t>
        </is>
      </c>
      <c r="E706" t="inlineStr">
        <is>
          <t>0                      QP 0571700N  38          1988</t>
        </is>
      </c>
      <c r="F706" t="inlineStr">
        <is>
          <t>Activation of hormone and growth factor receptors : molecular mechanisms and consequences / edited by Michael N. Alexis and Constantin E. Sekeris.</t>
        </is>
      </c>
      <c r="H706" t="inlineStr">
        <is>
          <t>No</t>
        </is>
      </c>
      <c r="I706" t="inlineStr">
        <is>
          <t>1</t>
        </is>
      </c>
      <c r="J706" t="inlineStr">
        <is>
          <t>No</t>
        </is>
      </c>
      <c r="K706" t="inlineStr">
        <is>
          <t>No</t>
        </is>
      </c>
      <c r="L706" t="inlineStr">
        <is>
          <t>0</t>
        </is>
      </c>
      <c r="M706" t="inlineStr">
        <is>
          <t>NATO Advanced Research Workshop on Molecular Mechanisms and Consequences of Activation of Hormone and Growth Factor Receptors (1988 : Nauplion, Greece)</t>
        </is>
      </c>
      <c r="N706" t="inlineStr">
        <is>
          <t>Dordrecht ; Boston : Kluwer Academic Publishers, 1990.</t>
        </is>
      </c>
      <c r="O706" t="inlineStr">
        <is>
          <t>1990</t>
        </is>
      </c>
      <c r="Q706" t="inlineStr">
        <is>
          <t>eng</t>
        </is>
      </c>
      <c r="R706" t="inlineStr">
        <is>
          <t xml:space="preserve">ne </t>
        </is>
      </c>
      <c r="S706" t="inlineStr">
        <is>
          <t>NATO ASI series. Series C, Mathematical and physical sciences ; vol. 295</t>
        </is>
      </c>
      <c r="T706" t="inlineStr">
        <is>
          <t xml:space="preserve">QP </t>
        </is>
      </c>
      <c r="U706" t="n">
        <v>7</v>
      </c>
      <c r="V706" t="n">
        <v>7</v>
      </c>
      <c r="W706" t="inlineStr">
        <is>
          <t>2000-04-02</t>
        </is>
      </c>
      <c r="X706" t="inlineStr">
        <is>
          <t>2000-04-02</t>
        </is>
      </c>
      <c r="Y706" t="inlineStr">
        <is>
          <t>1990-06-06</t>
        </is>
      </c>
      <c r="Z706" t="inlineStr">
        <is>
          <t>1990-06-06</t>
        </is>
      </c>
      <c r="AA706" t="n">
        <v>128</v>
      </c>
      <c r="AB706" t="n">
        <v>99</v>
      </c>
      <c r="AC706" t="n">
        <v>103</v>
      </c>
      <c r="AD706" t="n">
        <v>2</v>
      </c>
      <c r="AE706" t="n">
        <v>2</v>
      </c>
      <c r="AF706" t="n">
        <v>4</v>
      </c>
      <c r="AG706" t="n">
        <v>4</v>
      </c>
      <c r="AH706" t="n">
        <v>0</v>
      </c>
      <c r="AI706" t="n">
        <v>0</v>
      </c>
      <c r="AJ706" t="n">
        <v>3</v>
      </c>
      <c r="AK706" t="n">
        <v>3</v>
      </c>
      <c r="AL706" t="n">
        <v>2</v>
      </c>
      <c r="AM706" t="n">
        <v>2</v>
      </c>
      <c r="AN706" t="n">
        <v>1</v>
      </c>
      <c r="AO706" t="n">
        <v>1</v>
      </c>
      <c r="AP706" t="n">
        <v>0</v>
      </c>
      <c r="AQ706" t="n">
        <v>0</v>
      </c>
      <c r="AR706" t="inlineStr">
        <is>
          <t>No</t>
        </is>
      </c>
      <c r="AS706" t="inlineStr">
        <is>
          <t>Yes</t>
        </is>
      </c>
      <c r="AT706">
        <f>HYPERLINK("http://catalog.hathitrust.org/Record/002053059","HathiTrust Record")</f>
        <v/>
      </c>
      <c r="AU706">
        <f>HYPERLINK("https://creighton-primo.hosted.exlibrisgroup.com/primo-explore/search?tab=default_tab&amp;search_scope=EVERYTHING&amp;vid=01CRU&amp;lang=en_US&amp;offset=0&amp;query=any,contains,991001628109702656","Catalog Record")</f>
        <v/>
      </c>
      <c r="AV706">
        <f>HYPERLINK("http://www.worldcat.org/oclc/20854050","WorldCat Record")</f>
        <v/>
      </c>
      <c r="AW706" t="inlineStr">
        <is>
          <t>480964764:eng</t>
        </is>
      </c>
      <c r="AX706" t="inlineStr">
        <is>
          <t>20854050</t>
        </is>
      </c>
      <c r="AY706" t="inlineStr">
        <is>
          <t>991001628109702656</t>
        </is>
      </c>
      <c r="AZ706" t="inlineStr">
        <is>
          <t>991001628109702656</t>
        </is>
      </c>
      <c r="BA706" t="inlineStr">
        <is>
          <t>2272358230002656</t>
        </is>
      </c>
      <c r="BB706" t="inlineStr">
        <is>
          <t>BOOK</t>
        </is>
      </c>
      <c r="BD706" t="inlineStr">
        <is>
          <t>9780792305736</t>
        </is>
      </c>
      <c r="BE706" t="inlineStr">
        <is>
          <t>32285000175801</t>
        </is>
      </c>
      <c r="BF706" t="inlineStr">
        <is>
          <t>893797685</t>
        </is>
      </c>
    </row>
    <row r="707">
      <c r="B707" t="inlineStr">
        <is>
          <t>CURAL</t>
        </is>
      </c>
      <c r="C707" t="inlineStr">
        <is>
          <t>SHELVES</t>
        </is>
      </c>
      <c r="D707" t="inlineStr">
        <is>
          <t>QP572.A5 R6413 1991</t>
        </is>
      </c>
      <c r="E707" t="inlineStr">
        <is>
          <t>0                      QP 0572000A  5                  R  6413        1991</t>
        </is>
      </c>
      <c r="F707" t="inlineStr">
        <is>
          <t>Metabolism of anabolic androgenic steroids / author, Victor A. Rogozkin.</t>
        </is>
      </c>
      <c r="H707" t="inlineStr">
        <is>
          <t>No</t>
        </is>
      </c>
      <c r="I707" t="inlineStr">
        <is>
          <t>1</t>
        </is>
      </c>
      <c r="J707" t="inlineStr">
        <is>
          <t>No</t>
        </is>
      </c>
      <c r="K707" t="inlineStr">
        <is>
          <t>No</t>
        </is>
      </c>
      <c r="L707" t="inlineStr">
        <is>
          <t>0</t>
        </is>
      </c>
      <c r="M707" t="inlineStr">
        <is>
          <t>Rogozkin, V. A.</t>
        </is>
      </c>
      <c r="N707" t="inlineStr">
        <is>
          <t>Boca Raton : CRC Press, c1991.</t>
        </is>
      </c>
      <c r="O707" t="inlineStr">
        <is>
          <t>1991</t>
        </is>
      </c>
      <c r="Q707" t="inlineStr">
        <is>
          <t>eng</t>
        </is>
      </c>
      <c r="R707" t="inlineStr">
        <is>
          <t>flu</t>
        </is>
      </c>
      <c r="T707" t="inlineStr">
        <is>
          <t xml:space="preserve">QP </t>
        </is>
      </c>
      <c r="U707" t="n">
        <v>16</v>
      </c>
      <c r="V707" t="n">
        <v>16</v>
      </c>
      <c r="W707" t="inlineStr">
        <is>
          <t>2000-04-05</t>
        </is>
      </c>
      <c r="X707" t="inlineStr">
        <is>
          <t>2000-04-05</t>
        </is>
      </c>
      <c r="Y707" t="inlineStr">
        <is>
          <t>1991-08-01</t>
        </is>
      </c>
      <c r="Z707" t="inlineStr">
        <is>
          <t>1991-08-01</t>
        </is>
      </c>
      <c r="AA707" t="n">
        <v>144</v>
      </c>
      <c r="AB707" t="n">
        <v>109</v>
      </c>
      <c r="AC707" t="n">
        <v>109</v>
      </c>
      <c r="AD707" t="n">
        <v>2</v>
      </c>
      <c r="AE707" t="n">
        <v>2</v>
      </c>
      <c r="AF707" t="n">
        <v>4</v>
      </c>
      <c r="AG707" t="n">
        <v>4</v>
      </c>
      <c r="AH707" t="n">
        <v>2</v>
      </c>
      <c r="AI707" t="n">
        <v>2</v>
      </c>
      <c r="AJ707" t="n">
        <v>1</v>
      </c>
      <c r="AK707" t="n">
        <v>1</v>
      </c>
      <c r="AL707" t="n">
        <v>1</v>
      </c>
      <c r="AM707" t="n">
        <v>1</v>
      </c>
      <c r="AN707" t="n">
        <v>1</v>
      </c>
      <c r="AO707" t="n">
        <v>1</v>
      </c>
      <c r="AP707" t="n">
        <v>0</v>
      </c>
      <c r="AQ707" t="n">
        <v>0</v>
      </c>
      <c r="AR707" t="inlineStr">
        <is>
          <t>No</t>
        </is>
      </c>
      <c r="AS707" t="inlineStr">
        <is>
          <t>No</t>
        </is>
      </c>
      <c r="AU707">
        <f>HYPERLINK("https://creighton-primo.hosted.exlibrisgroup.com/primo-explore/search?tab=default_tab&amp;search_scope=EVERYTHING&amp;vid=01CRU&amp;lang=en_US&amp;offset=0&amp;query=any,contains,991001879019702656","Catalog Record")</f>
        <v/>
      </c>
      <c r="AV707">
        <f>HYPERLINK("http://www.worldcat.org/oclc/23694132","WorldCat Record")</f>
        <v/>
      </c>
      <c r="AW707" t="inlineStr">
        <is>
          <t>23034756:eng</t>
        </is>
      </c>
      <c r="AX707" t="inlineStr">
        <is>
          <t>23694132</t>
        </is>
      </c>
      <c r="AY707" t="inlineStr">
        <is>
          <t>991001879019702656</t>
        </is>
      </c>
      <c r="AZ707" t="inlineStr">
        <is>
          <t>991001879019702656</t>
        </is>
      </c>
      <c r="BA707" t="inlineStr">
        <is>
          <t>2260875610002656</t>
        </is>
      </c>
      <c r="BB707" t="inlineStr">
        <is>
          <t>BOOK</t>
        </is>
      </c>
      <c r="BD707" t="inlineStr">
        <is>
          <t>9780849364150</t>
        </is>
      </c>
      <c r="BE707" t="inlineStr">
        <is>
          <t>32285000663426</t>
        </is>
      </c>
      <c r="BF707" t="inlineStr">
        <is>
          <t>893885613</t>
        </is>
      </c>
    </row>
    <row r="708">
      <c r="B708" t="inlineStr">
        <is>
          <t>CURAL</t>
        </is>
      </c>
      <c r="C708" t="inlineStr">
        <is>
          <t>SHELVES</t>
        </is>
      </c>
      <c r="D708" t="inlineStr">
        <is>
          <t>QP572.M44 M44 1993</t>
        </is>
      </c>
      <c r="E708" t="inlineStr">
        <is>
          <t>0                      QP 0572000M  44                 M  44          1993</t>
        </is>
      </c>
      <c r="F708" t="inlineStr">
        <is>
          <t>Melatonin : biosynthesis, physiological effects, and clinical applications / edited by Hing-Sing Yu and Russel J. Reiter.</t>
        </is>
      </c>
      <c r="H708" t="inlineStr">
        <is>
          <t>No</t>
        </is>
      </c>
      <c r="I708" t="inlineStr">
        <is>
          <t>1</t>
        </is>
      </c>
      <c r="J708" t="inlineStr">
        <is>
          <t>No</t>
        </is>
      </c>
      <c r="K708" t="inlineStr">
        <is>
          <t>No</t>
        </is>
      </c>
      <c r="L708" t="inlineStr">
        <is>
          <t>0</t>
        </is>
      </c>
      <c r="N708" t="inlineStr">
        <is>
          <t>Boca Raton : CRC Press, 1993.</t>
        </is>
      </c>
      <c r="O708" t="inlineStr">
        <is>
          <t>1993</t>
        </is>
      </c>
      <c r="Q708" t="inlineStr">
        <is>
          <t>eng</t>
        </is>
      </c>
      <c r="R708" t="inlineStr">
        <is>
          <t>flu</t>
        </is>
      </c>
      <c r="T708" t="inlineStr">
        <is>
          <t xml:space="preserve">QP </t>
        </is>
      </c>
      <c r="U708" t="n">
        <v>16</v>
      </c>
      <c r="V708" t="n">
        <v>16</v>
      </c>
      <c r="W708" t="inlineStr">
        <is>
          <t>2006-09-28</t>
        </is>
      </c>
      <c r="X708" t="inlineStr">
        <is>
          <t>2006-09-28</t>
        </is>
      </c>
      <c r="Y708" t="inlineStr">
        <is>
          <t>1993-02-02</t>
        </is>
      </c>
      <c r="Z708" t="inlineStr">
        <is>
          <t>1993-02-02</t>
        </is>
      </c>
      <c r="AA708" t="n">
        <v>84</v>
      </c>
      <c r="AB708" t="n">
        <v>61</v>
      </c>
      <c r="AC708" t="n">
        <v>80</v>
      </c>
      <c r="AD708" t="n">
        <v>2</v>
      </c>
      <c r="AE708" t="n">
        <v>2</v>
      </c>
      <c r="AF708" t="n">
        <v>3</v>
      </c>
      <c r="AG708" t="n">
        <v>3</v>
      </c>
      <c r="AH708" t="n">
        <v>1</v>
      </c>
      <c r="AI708" t="n">
        <v>1</v>
      </c>
      <c r="AJ708" t="n">
        <v>0</v>
      </c>
      <c r="AK708" t="n">
        <v>0</v>
      </c>
      <c r="AL708" t="n">
        <v>2</v>
      </c>
      <c r="AM708" t="n">
        <v>2</v>
      </c>
      <c r="AN708" t="n">
        <v>1</v>
      </c>
      <c r="AO708" t="n">
        <v>1</v>
      </c>
      <c r="AP708" t="n">
        <v>0</v>
      </c>
      <c r="AQ708" t="n">
        <v>0</v>
      </c>
      <c r="AR708" t="inlineStr">
        <is>
          <t>No</t>
        </is>
      </c>
      <c r="AS708" t="inlineStr">
        <is>
          <t>No</t>
        </is>
      </c>
      <c r="AU708">
        <f>HYPERLINK("https://creighton-primo.hosted.exlibrisgroup.com/primo-explore/search?tab=default_tab&amp;search_scope=EVERYTHING&amp;vid=01CRU&amp;lang=en_US&amp;offset=0&amp;query=any,contains,991002050989702656","Catalog Record")</f>
        <v/>
      </c>
      <c r="AV708">
        <f>HYPERLINK("http://www.worldcat.org/oclc/26162278","WorldCat Record")</f>
        <v/>
      </c>
      <c r="AW708" t="inlineStr">
        <is>
          <t>3857299616:eng</t>
        </is>
      </c>
      <c r="AX708" t="inlineStr">
        <is>
          <t>26162278</t>
        </is>
      </c>
      <c r="AY708" t="inlineStr">
        <is>
          <t>991002050989702656</t>
        </is>
      </c>
      <c r="AZ708" t="inlineStr">
        <is>
          <t>991002050989702656</t>
        </is>
      </c>
      <c r="BA708" t="inlineStr">
        <is>
          <t>2271726740002656</t>
        </is>
      </c>
      <c r="BB708" t="inlineStr">
        <is>
          <t>BOOK</t>
        </is>
      </c>
      <c r="BD708" t="inlineStr">
        <is>
          <t>9780849369001</t>
        </is>
      </c>
      <c r="BE708" t="inlineStr">
        <is>
          <t>32285001449338</t>
        </is>
      </c>
      <c r="BF708" t="inlineStr">
        <is>
          <t>893328627</t>
        </is>
      </c>
    </row>
    <row r="709">
      <c r="B709" t="inlineStr">
        <is>
          <t>CURAL</t>
        </is>
      </c>
      <c r="C709" t="inlineStr">
        <is>
          <t>SHELVES</t>
        </is>
      </c>
      <c r="D709" t="inlineStr">
        <is>
          <t>QP572.S4 N48 1995</t>
        </is>
      </c>
      <c r="E709" t="inlineStr">
        <is>
          <t>0                      QP 0572000S  4                  N  48          1995</t>
        </is>
      </c>
      <c r="F709" t="inlineStr">
        <is>
          <t>Neurobiological effects of sex steroid hormones / edited by Paul E. Micevych, Ronald P. Hammer, Jr.</t>
        </is>
      </c>
      <c r="H709" t="inlineStr">
        <is>
          <t>No</t>
        </is>
      </c>
      <c r="I709" t="inlineStr">
        <is>
          <t>1</t>
        </is>
      </c>
      <c r="J709" t="inlineStr">
        <is>
          <t>No</t>
        </is>
      </c>
      <c r="K709" t="inlineStr">
        <is>
          <t>No</t>
        </is>
      </c>
      <c r="L709" t="inlineStr">
        <is>
          <t>0</t>
        </is>
      </c>
      <c r="N709" t="inlineStr">
        <is>
          <t>Cambridge ; New York : Cambridge University Press, 1995.</t>
        </is>
      </c>
      <c r="O709" t="inlineStr">
        <is>
          <t>1995</t>
        </is>
      </c>
      <c r="Q709" t="inlineStr">
        <is>
          <t>eng</t>
        </is>
      </c>
      <c r="R709" t="inlineStr">
        <is>
          <t>enk</t>
        </is>
      </c>
      <c r="T709" t="inlineStr">
        <is>
          <t xml:space="preserve">QP </t>
        </is>
      </c>
      <c r="U709" t="n">
        <v>4</v>
      </c>
      <c r="V709" t="n">
        <v>4</v>
      </c>
      <c r="W709" t="inlineStr">
        <is>
          <t>2005-04-29</t>
        </is>
      </c>
      <c r="X709" t="inlineStr">
        <is>
          <t>2005-04-29</t>
        </is>
      </c>
      <c r="Y709" t="inlineStr">
        <is>
          <t>1997-09-08</t>
        </is>
      </c>
      <c r="Z709" t="inlineStr">
        <is>
          <t>1997-09-08</t>
        </is>
      </c>
      <c r="AA709" t="n">
        <v>259</v>
      </c>
      <c r="AB709" t="n">
        <v>202</v>
      </c>
      <c r="AC709" t="n">
        <v>215</v>
      </c>
      <c r="AD709" t="n">
        <v>1</v>
      </c>
      <c r="AE709" t="n">
        <v>1</v>
      </c>
      <c r="AF709" t="n">
        <v>7</v>
      </c>
      <c r="AG709" t="n">
        <v>7</v>
      </c>
      <c r="AH709" t="n">
        <v>3</v>
      </c>
      <c r="AI709" t="n">
        <v>3</v>
      </c>
      <c r="AJ709" t="n">
        <v>2</v>
      </c>
      <c r="AK709" t="n">
        <v>2</v>
      </c>
      <c r="AL709" t="n">
        <v>6</v>
      </c>
      <c r="AM709" t="n">
        <v>6</v>
      </c>
      <c r="AN709" t="n">
        <v>0</v>
      </c>
      <c r="AO709" t="n">
        <v>0</v>
      </c>
      <c r="AP709" t="n">
        <v>0</v>
      </c>
      <c r="AQ709" t="n">
        <v>0</v>
      </c>
      <c r="AR709" t="inlineStr">
        <is>
          <t>No</t>
        </is>
      </c>
      <c r="AS709" t="inlineStr">
        <is>
          <t>No</t>
        </is>
      </c>
      <c r="AU709">
        <f>HYPERLINK("https://creighton-primo.hosted.exlibrisgroup.com/primo-explore/search?tab=default_tab&amp;search_scope=EVERYTHING&amp;vid=01CRU&amp;lang=en_US&amp;offset=0&amp;query=any,contains,991002380459702656","Catalog Record")</f>
        <v/>
      </c>
      <c r="AV709">
        <f>HYPERLINK("http://www.worldcat.org/oclc/30919680","WorldCat Record")</f>
        <v/>
      </c>
      <c r="AW709" t="inlineStr">
        <is>
          <t>917503254:eng</t>
        </is>
      </c>
      <c r="AX709" t="inlineStr">
        <is>
          <t>30919680</t>
        </is>
      </c>
      <c r="AY709" t="inlineStr">
        <is>
          <t>991002380459702656</t>
        </is>
      </c>
      <c r="AZ709" t="inlineStr">
        <is>
          <t>991002380459702656</t>
        </is>
      </c>
      <c r="BA709" t="inlineStr">
        <is>
          <t>2264610720002656</t>
        </is>
      </c>
      <c r="BB709" t="inlineStr">
        <is>
          <t>BOOK</t>
        </is>
      </c>
      <c r="BD709" t="inlineStr">
        <is>
          <t>9780521454308</t>
        </is>
      </c>
      <c r="BE709" t="inlineStr">
        <is>
          <t>32285003004156</t>
        </is>
      </c>
      <c r="BF709" t="inlineStr">
        <is>
          <t>893341364</t>
        </is>
      </c>
    </row>
    <row r="710">
      <c r="B710" t="inlineStr">
        <is>
          <t>CURAL</t>
        </is>
      </c>
      <c r="C710" t="inlineStr">
        <is>
          <t>SHELVES</t>
        </is>
      </c>
      <c r="D710" t="inlineStr">
        <is>
          <t>QP572.S4 N66 1995</t>
        </is>
      </c>
      <c r="E710" t="inlineStr">
        <is>
          <t>0                      QP 0572000S  4                  N  66          1995</t>
        </is>
      </c>
      <c r="F710" t="inlineStr">
        <is>
          <t>Non-reproductive actions of sex steroids.</t>
        </is>
      </c>
      <c r="H710" t="inlineStr">
        <is>
          <t>No</t>
        </is>
      </c>
      <c r="I710" t="inlineStr">
        <is>
          <t>1</t>
        </is>
      </c>
      <c r="J710" t="inlineStr">
        <is>
          <t>No</t>
        </is>
      </c>
      <c r="K710" t="inlineStr">
        <is>
          <t>No</t>
        </is>
      </c>
      <c r="L710" t="inlineStr">
        <is>
          <t>0</t>
        </is>
      </c>
      <c r="N710" t="inlineStr">
        <is>
          <t>Chichester ; New York : J. Wiley, 1995.</t>
        </is>
      </c>
      <c r="O710" t="inlineStr">
        <is>
          <t>1995</t>
        </is>
      </c>
      <c r="Q710" t="inlineStr">
        <is>
          <t>eng</t>
        </is>
      </c>
      <c r="R710" t="inlineStr">
        <is>
          <t>enk</t>
        </is>
      </c>
      <c r="S710" t="inlineStr">
        <is>
          <t>Ciba Foundation symposium ; 191</t>
        </is>
      </c>
      <c r="T710" t="inlineStr">
        <is>
          <t xml:space="preserve">QP </t>
        </is>
      </c>
      <c r="U710" t="n">
        <v>3</v>
      </c>
      <c r="V710" t="n">
        <v>3</v>
      </c>
      <c r="W710" t="inlineStr">
        <is>
          <t>1996-08-30</t>
        </is>
      </c>
      <c r="X710" t="inlineStr">
        <is>
          <t>1996-08-30</t>
        </is>
      </c>
      <c r="Y710" t="inlineStr">
        <is>
          <t>1996-05-28</t>
        </is>
      </c>
      <c r="Z710" t="inlineStr">
        <is>
          <t>1996-05-28</t>
        </is>
      </c>
      <c r="AA710" t="n">
        <v>186</v>
      </c>
      <c r="AB710" t="n">
        <v>139</v>
      </c>
      <c r="AC710" t="n">
        <v>204</v>
      </c>
      <c r="AD710" t="n">
        <v>2</v>
      </c>
      <c r="AE710" t="n">
        <v>2</v>
      </c>
      <c r="AF710" t="n">
        <v>3</v>
      </c>
      <c r="AG710" t="n">
        <v>3</v>
      </c>
      <c r="AH710" t="n">
        <v>1</v>
      </c>
      <c r="AI710" t="n">
        <v>1</v>
      </c>
      <c r="AJ710" t="n">
        <v>1</v>
      </c>
      <c r="AK710" t="n">
        <v>1</v>
      </c>
      <c r="AL710" t="n">
        <v>3</v>
      </c>
      <c r="AM710" t="n">
        <v>3</v>
      </c>
      <c r="AN710" t="n">
        <v>0</v>
      </c>
      <c r="AO710" t="n">
        <v>0</v>
      </c>
      <c r="AP710" t="n">
        <v>0</v>
      </c>
      <c r="AQ710" t="n">
        <v>0</v>
      </c>
      <c r="AR710" t="inlineStr">
        <is>
          <t>No</t>
        </is>
      </c>
      <c r="AS710" t="inlineStr">
        <is>
          <t>Yes</t>
        </is>
      </c>
      <c r="AT710">
        <f>HYPERLINK("http://catalog.hathitrust.org/Record/003056660","HathiTrust Record")</f>
        <v/>
      </c>
      <c r="AU710">
        <f>HYPERLINK("https://creighton-primo.hosted.exlibrisgroup.com/primo-explore/search?tab=default_tab&amp;search_scope=EVERYTHING&amp;vid=01CRU&amp;lang=en_US&amp;offset=0&amp;query=any,contains,991002460909702656","Catalog Record")</f>
        <v/>
      </c>
      <c r="AV710">
        <f>HYPERLINK("http://www.worldcat.org/oclc/32052918","WorldCat Record")</f>
        <v/>
      </c>
      <c r="AW710" t="inlineStr">
        <is>
          <t>751909609:eng</t>
        </is>
      </c>
      <c r="AX710" t="inlineStr">
        <is>
          <t>32052918</t>
        </is>
      </c>
      <c r="AY710" t="inlineStr">
        <is>
          <t>991002460909702656</t>
        </is>
      </c>
      <c r="AZ710" t="inlineStr">
        <is>
          <t>991002460909702656</t>
        </is>
      </c>
      <c r="BA710" t="inlineStr">
        <is>
          <t>2267191330002656</t>
        </is>
      </c>
      <c r="BB710" t="inlineStr">
        <is>
          <t>BOOK</t>
        </is>
      </c>
      <c r="BD710" t="inlineStr">
        <is>
          <t>9780471955139</t>
        </is>
      </c>
      <c r="BE710" t="inlineStr">
        <is>
          <t>32285002177771</t>
        </is>
      </c>
      <c r="BF710" t="inlineStr">
        <is>
          <t>893591374</t>
        </is>
      </c>
    </row>
    <row r="711">
      <c r="B711" t="inlineStr">
        <is>
          <t>CURAL</t>
        </is>
      </c>
      <c r="C711" t="inlineStr">
        <is>
          <t>SHELVES</t>
        </is>
      </c>
      <c r="D711" t="inlineStr">
        <is>
          <t>QP572.S4 O83 1994</t>
        </is>
      </c>
      <c r="E711" t="inlineStr">
        <is>
          <t>0                      QP 0572000S  4                  O  83          1994</t>
        </is>
      </c>
      <c r="F711" t="inlineStr">
        <is>
          <t>Beyond the natural body : an archeology of sex hormones / Nelly Oudshoorn.</t>
        </is>
      </c>
      <c r="H711" t="inlineStr">
        <is>
          <t>No</t>
        </is>
      </c>
      <c r="I711" t="inlineStr">
        <is>
          <t>1</t>
        </is>
      </c>
      <c r="J711" t="inlineStr">
        <is>
          <t>No</t>
        </is>
      </c>
      <c r="K711" t="inlineStr">
        <is>
          <t>No</t>
        </is>
      </c>
      <c r="L711" t="inlineStr">
        <is>
          <t>0</t>
        </is>
      </c>
      <c r="M711" t="inlineStr">
        <is>
          <t>Oudshoorn, Nelly, 1950-</t>
        </is>
      </c>
      <c r="N711" t="inlineStr">
        <is>
          <t>New York ; London : Routledge, 1994.</t>
        </is>
      </c>
      <c r="O711" t="inlineStr">
        <is>
          <t>1994</t>
        </is>
      </c>
      <c r="Q711" t="inlineStr">
        <is>
          <t>eng</t>
        </is>
      </c>
      <c r="R711" t="inlineStr">
        <is>
          <t>nyu</t>
        </is>
      </c>
      <c r="T711" t="inlineStr">
        <is>
          <t xml:space="preserve">QP </t>
        </is>
      </c>
      <c r="U711" t="n">
        <v>1</v>
      </c>
      <c r="V711" t="n">
        <v>1</v>
      </c>
      <c r="W711" t="inlineStr">
        <is>
          <t>2003-05-13</t>
        </is>
      </c>
      <c r="X711" t="inlineStr">
        <is>
          <t>2003-05-13</t>
        </is>
      </c>
      <c r="Y711" t="inlineStr">
        <is>
          <t>1994-12-28</t>
        </is>
      </c>
      <c r="Z711" t="inlineStr">
        <is>
          <t>1994-12-28</t>
        </is>
      </c>
      <c r="AA711" t="n">
        <v>351</v>
      </c>
      <c r="AB711" t="n">
        <v>228</v>
      </c>
      <c r="AC711" t="n">
        <v>269</v>
      </c>
      <c r="AD711" t="n">
        <v>1</v>
      </c>
      <c r="AE711" t="n">
        <v>1</v>
      </c>
      <c r="AF711" t="n">
        <v>9</v>
      </c>
      <c r="AG711" t="n">
        <v>9</v>
      </c>
      <c r="AH711" t="n">
        <v>2</v>
      </c>
      <c r="AI711" t="n">
        <v>2</v>
      </c>
      <c r="AJ711" t="n">
        <v>2</v>
      </c>
      <c r="AK711" t="n">
        <v>2</v>
      </c>
      <c r="AL711" t="n">
        <v>6</v>
      </c>
      <c r="AM711" t="n">
        <v>6</v>
      </c>
      <c r="AN711" t="n">
        <v>0</v>
      </c>
      <c r="AO711" t="n">
        <v>0</v>
      </c>
      <c r="AP711" t="n">
        <v>0</v>
      </c>
      <c r="AQ711" t="n">
        <v>0</v>
      </c>
      <c r="AR711" t="inlineStr">
        <is>
          <t>No</t>
        </is>
      </c>
      <c r="AS711" t="inlineStr">
        <is>
          <t>No</t>
        </is>
      </c>
      <c r="AU711">
        <f>HYPERLINK("https://creighton-primo.hosted.exlibrisgroup.com/primo-explore/search?tab=default_tab&amp;search_scope=EVERYTHING&amp;vid=01CRU&amp;lang=en_US&amp;offset=0&amp;query=any,contains,991002311649702656","Catalog Record")</f>
        <v/>
      </c>
      <c r="AV711">
        <f>HYPERLINK("http://www.worldcat.org/oclc/30025936","WorldCat Record")</f>
        <v/>
      </c>
      <c r="AW711" t="inlineStr">
        <is>
          <t>808522773:eng</t>
        </is>
      </c>
      <c r="AX711" t="inlineStr">
        <is>
          <t>30025936</t>
        </is>
      </c>
      <c r="AY711" t="inlineStr">
        <is>
          <t>991002311649702656</t>
        </is>
      </c>
      <c r="AZ711" t="inlineStr">
        <is>
          <t>991002311649702656</t>
        </is>
      </c>
      <c r="BA711" t="inlineStr">
        <is>
          <t>2264239990002656</t>
        </is>
      </c>
      <c r="BB711" t="inlineStr">
        <is>
          <t>BOOK</t>
        </is>
      </c>
      <c r="BD711" t="inlineStr">
        <is>
          <t>9780415091909</t>
        </is>
      </c>
      <c r="BE711" t="inlineStr">
        <is>
          <t>32285001979722</t>
        </is>
      </c>
      <c r="BF711" t="inlineStr">
        <is>
          <t>893798432</t>
        </is>
      </c>
    </row>
    <row r="712">
      <c r="B712" t="inlineStr">
        <is>
          <t>CURAL</t>
        </is>
      </c>
      <c r="C712" t="inlineStr">
        <is>
          <t>SHELVES</t>
        </is>
      </c>
      <c r="D712" t="inlineStr">
        <is>
          <t>QP572.S7 C66 1978</t>
        </is>
      </c>
      <c r="E712" t="inlineStr">
        <is>
          <t>0                      QP 0572000S  7                  C  66          1978</t>
        </is>
      </c>
      <c r="F712" t="inlineStr">
        <is>
          <t>Gene regulation by steroid hormones / edited by A. K. Roy and J. H. Clark.</t>
        </is>
      </c>
      <c r="H712" t="inlineStr">
        <is>
          <t>No</t>
        </is>
      </c>
      <c r="I712" t="inlineStr">
        <is>
          <t>1</t>
        </is>
      </c>
      <c r="J712" t="inlineStr">
        <is>
          <t>No</t>
        </is>
      </c>
      <c r="K712" t="inlineStr">
        <is>
          <t>No</t>
        </is>
      </c>
      <c r="L712" t="inlineStr">
        <is>
          <t>0</t>
        </is>
      </c>
      <c r="M712" t="inlineStr">
        <is>
          <t>Conference on Molecular Mechanism of Steroid Hormone Action (1978 : Oakland University)</t>
        </is>
      </c>
      <c r="N712" t="inlineStr">
        <is>
          <t>New York : Springer-Verlag, c1980.</t>
        </is>
      </c>
      <c r="O712" t="inlineStr">
        <is>
          <t>1980</t>
        </is>
      </c>
      <c r="Q712" t="inlineStr">
        <is>
          <t>eng</t>
        </is>
      </c>
      <c r="R712" t="inlineStr">
        <is>
          <t>nyu</t>
        </is>
      </c>
      <c r="T712" t="inlineStr">
        <is>
          <t xml:space="preserve">QP </t>
        </is>
      </c>
      <c r="U712" t="n">
        <v>4</v>
      </c>
      <c r="V712" t="n">
        <v>4</v>
      </c>
      <c r="W712" t="inlineStr">
        <is>
          <t>1997-10-08</t>
        </is>
      </c>
      <c r="X712" t="inlineStr">
        <is>
          <t>1997-10-08</t>
        </is>
      </c>
      <c r="Y712" t="inlineStr">
        <is>
          <t>1993-03-04</t>
        </is>
      </c>
      <c r="Z712" t="inlineStr">
        <is>
          <t>1993-03-04</t>
        </is>
      </c>
      <c r="AA712" t="n">
        <v>273</v>
      </c>
      <c r="AB712" t="n">
        <v>222</v>
      </c>
      <c r="AC712" t="n">
        <v>224</v>
      </c>
      <c r="AD712" t="n">
        <v>4</v>
      </c>
      <c r="AE712" t="n">
        <v>4</v>
      </c>
      <c r="AF712" t="n">
        <v>8</v>
      </c>
      <c r="AG712" t="n">
        <v>8</v>
      </c>
      <c r="AH712" t="n">
        <v>2</v>
      </c>
      <c r="AI712" t="n">
        <v>2</v>
      </c>
      <c r="AJ712" t="n">
        <v>2</v>
      </c>
      <c r="AK712" t="n">
        <v>2</v>
      </c>
      <c r="AL712" t="n">
        <v>3</v>
      </c>
      <c r="AM712" t="n">
        <v>3</v>
      </c>
      <c r="AN712" t="n">
        <v>2</v>
      </c>
      <c r="AO712" t="n">
        <v>2</v>
      </c>
      <c r="AP712" t="n">
        <v>0</v>
      </c>
      <c r="AQ712" t="n">
        <v>0</v>
      </c>
      <c r="AR712" t="inlineStr">
        <is>
          <t>No</t>
        </is>
      </c>
      <c r="AS712" t="inlineStr">
        <is>
          <t>Yes</t>
        </is>
      </c>
      <c r="AT712">
        <f>HYPERLINK("http://catalog.hathitrust.org/Record/000686727","HathiTrust Record")</f>
        <v/>
      </c>
      <c r="AU712">
        <f>HYPERLINK("https://creighton-primo.hosted.exlibrisgroup.com/primo-explore/search?tab=default_tab&amp;search_scope=EVERYTHING&amp;vid=01CRU&amp;lang=en_US&amp;offset=0&amp;query=any,contains,991004870049702656","Catalog Record")</f>
        <v/>
      </c>
      <c r="AV712">
        <f>HYPERLINK("http://www.worldcat.org/oclc/5751085","WorldCat Record")</f>
        <v/>
      </c>
      <c r="AW712" t="inlineStr">
        <is>
          <t>10678339388:eng</t>
        </is>
      </c>
      <c r="AX712" t="inlineStr">
        <is>
          <t>5751085</t>
        </is>
      </c>
      <c r="AY712" t="inlineStr">
        <is>
          <t>991004870049702656</t>
        </is>
      </c>
      <c r="AZ712" t="inlineStr">
        <is>
          <t>991004870049702656</t>
        </is>
      </c>
      <c r="BA712" t="inlineStr">
        <is>
          <t>2270208720002656</t>
        </is>
      </c>
      <c r="BB712" t="inlineStr">
        <is>
          <t>BOOK</t>
        </is>
      </c>
      <c r="BE712" t="inlineStr">
        <is>
          <t>32285001563146</t>
        </is>
      </c>
      <c r="BF712" t="inlineStr">
        <is>
          <t>893801441</t>
        </is>
      </c>
    </row>
    <row r="713">
      <c r="B713" t="inlineStr">
        <is>
          <t>CURAL</t>
        </is>
      </c>
      <c r="C713" t="inlineStr">
        <is>
          <t>SHELVES</t>
        </is>
      </c>
      <c r="D713" t="inlineStr">
        <is>
          <t>QP572.S7 I56 1985</t>
        </is>
      </c>
      <c r="E713" t="inlineStr">
        <is>
          <t>0                      QP 0572000S  7                  I  56          1985</t>
        </is>
      </c>
      <c r="F713" t="inlineStr">
        <is>
          <t>Interaction of steroid hormone receptors with DNA / edited by Mels Sluyser.</t>
        </is>
      </c>
      <c r="H713" t="inlineStr">
        <is>
          <t>No</t>
        </is>
      </c>
      <c r="I713" t="inlineStr">
        <is>
          <t>1</t>
        </is>
      </c>
      <c r="J713" t="inlineStr">
        <is>
          <t>No</t>
        </is>
      </c>
      <c r="K713" t="inlineStr">
        <is>
          <t>No</t>
        </is>
      </c>
      <c r="L713" t="inlineStr">
        <is>
          <t>0</t>
        </is>
      </c>
      <c r="N713" t="inlineStr">
        <is>
          <t>Chichester, England : Ellis Horwood ; Weinheim, Federal Republic of Germany : VCH Verlagsgesellschaft ; Deerfield Beach, FL, USA : Distribution VCH Publishers, 1985.</t>
        </is>
      </c>
      <c r="O713" t="inlineStr">
        <is>
          <t>1985</t>
        </is>
      </c>
      <c r="Q713" t="inlineStr">
        <is>
          <t>eng</t>
        </is>
      </c>
      <c r="R713" t="inlineStr">
        <is>
          <t>enk</t>
        </is>
      </c>
      <c r="S713" t="inlineStr">
        <is>
          <t>Ellis Horwood health science series</t>
        </is>
      </c>
      <c r="T713" t="inlineStr">
        <is>
          <t xml:space="preserve">QP </t>
        </is>
      </c>
      <c r="U713" t="n">
        <v>3</v>
      </c>
      <c r="V713" t="n">
        <v>3</v>
      </c>
      <c r="W713" t="inlineStr">
        <is>
          <t>1997-10-08</t>
        </is>
      </c>
      <c r="X713" t="inlineStr">
        <is>
          <t>1997-10-08</t>
        </is>
      </c>
      <c r="Y713" t="inlineStr">
        <is>
          <t>1993-03-04</t>
        </is>
      </c>
      <c r="Z713" t="inlineStr">
        <is>
          <t>1993-03-04</t>
        </is>
      </c>
      <c r="AA713" t="n">
        <v>198</v>
      </c>
      <c r="AB713" t="n">
        <v>155</v>
      </c>
      <c r="AC713" t="n">
        <v>172</v>
      </c>
      <c r="AD713" t="n">
        <v>1</v>
      </c>
      <c r="AE713" t="n">
        <v>1</v>
      </c>
      <c r="AF713" t="n">
        <v>2</v>
      </c>
      <c r="AG713" t="n">
        <v>4</v>
      </c>
      <c r="AH713" t="n">
        <v>0</v>
      </c>
      <c r="AI713" t="n">
        <v>0</v>
      </c>
      <c r="AJ713" t="n">
        <v>2</v>
      </c>
      <c r="AK713" t="n">
        <v>2</v>
      </c>
      <c r="AL713" t="n">
        <v>1</v>
      </c>
      <c r="AM713" t="n">
        <v>3</v>
      </c>
      <c r="AN713" t="n">
        <v>0</v>
      </c>
      <c r="AO713" t="n">
        <v>0</v>
      </c>
      <c r="AP713" t="n">
        <v>0</v>
      </c>
      <c r="AQ713" t="n">
        <v>0</v>
      </c>
      <c r="AR713" t="inlineStr">
        <is>
          <t>No</t>
        </is>
      </c>
      <c r="AS713" t="inlineStr">
        <is>
          <t>Yes</t>
        </is>
      </c>
      <c r="AT713">
        <f>HYPERLINK("http://catalog.hathitrust.org/Record/000385298","HathiTrust Record")</f>
        <v/>
      </c>
      <c r="AU713">
        <f>HYPERLINK("https://creighton-primo.hosted.exlibrisgroup.com/primo-explore/search?tab=default_tab&amp;search_scope=EVERYTHING&amp;vid=01CRU&amp;lang=en_US&amp;offset=0&amp;query=any,contains,991000671119702656","Catalog Record")</f>
        <v/>
      </c>
      <c r="AV713">
        <f>HYPERLINK("http://www.worldcat.org/oclc/12314742","WorldCat Record")</f>
        <v/>
      </c>
      <c r="AW713" t="inlineStr">
        <is>
          <t>54726893:eng</t>
        </is>
      </c>
      <c r="AX713" t="inlineStr">
        <is>
          <t>12314742</t>
        </is>
      </c>
      <c r="AY713" t="inlineStr">
        <is>
          <t>991000671119702656</t>
        </is>
      </c>
      <c r="AZ713" t="inlineStr">
        <is>
          <t>991000671119702656</t>
        </is>
      </c>
      <c r="BA713" t="inlineStr">
        <is>
          <t>2271620480002656</t>
        </is>
      </c>
      <c r="BB713" t="inlineStr">
        <is>
          <t>BOOK</t>
        </is>
      </c>
      <c r="BD713" t="inlineStr">
        <is>
          <t>9780895733665</t>
        </is>
      </c>
      <c r="BE713" t="inlineStr">
        <is>
          <t>32285001563153</t>
        </is>
      </c>
      <c r="BF713" t="inlineStr">
        <is>
          <t>893897109</t>
        </is>
      </c>
    </row>
    <row r="714">
      <c r="B714" t="inlineStr">
        <is>
          <t>CURAL</t>
        </is>
      </c>
      <c r="C714" t="inlineStr">
        <is>
          <t>SHELVES</t>
        </is>
      </c>
      <c r="D714" t="inlineStr">
        <is>
          <t>QP572.S7 M65 1985</t>
        </is>
      </c>
      <c r="E714" t="inlineStr">
        <is>
          <t>0                      QP 0572000S  7                  M  65          1985</t>
        </is>
      </c>
      <c r="F714" t="inlineStr">
        <is>
          <t>Molecular mechanism of steroid hormone action : recent advances / editor, V.K. Moudgil.</t>
        </is>
      </c>
      <c r="H714" t="inlineStr">
        <is>
          <t>No</t>
        </is>
      </c>
      <c r="I714" t="inlineStr">
        <is>
          <t>1</t>
        </is>
      </c>
      <c r="J714" t="inlineStr">
        <is>
          <t>No</t>
        </is>
      </c>
      <c r="K714" t="inlineStr">
        <is>
          <t>No</t>
        </is>
      </c>
      <c r="L714" t="inlineStr">
        <is>
          <t>0</t>
        </is>
      </c>
      <c r="N714" t="inlineStr">
        <is>
          <t>Berlin ; New York : Walter de Gruyter, 1985.</t>
        </is>
      </c>
      <c r="O714" t="inlineStr">
        <is>
          <t>1985</t>
        </is>
      </c>
      <c r="Q714" t="inlineStr">
        <is>
          <t>eng</t>
        </is>
      </c>
      <c r="R714" t="inlineStr">
        <is>
          <t xml:space="preserve">gw </t>
        </is>
      </c>
      <c r="T714" t="inlineStr">
        <is>
          <t xml:space="preserve">QP </t>
        </is>
      </c>
      <c r="U714" t="n">
        <v>4</v>
      </c>
      <c r="V714" t="n">
        <v>4</v>
      </c>
      <c r="W714" t="inlineStr">
        <is>
          <t>1997-10-08</t>
        </is>
      </c>
      <c r="X714" t="inlineStr">
        <is>
          <t>1997-10-08</t>
        </is>
      </c>
      <c r="Y714" t="inlineStr">
        <is>
          <t>1993-03-04</t>
        </is>
      </c>
      <c r="Z714" t="inlineStr">
        <is>
          <t>1993-03-04</t>
        </is>
      </c>
      <c r="AA714" t="n">
        <v>159</v>
      </c>
      <c r="AB714" t="n">
        <v>111</v>
      </c>
      <c r="AC714" t="n">
        <v>131</v>
      </c>
      <c r="AD714" t="n">
        <v>1</v>
      </c>
      <c r="AE714" t="n">
        <v>1</v>
      </c>
      <c r="AF714" t="n">
        <v>1</v>
      </c>
      <c r="AG714" t="n">
        <v>1</v>
      </c>
      <c r="AH714" t="n">
        <v>0</v>
      </c>
      <c r="AI714" t="n">
        <v>0</v>
      </c>
      <c r="AJ714" t="n">
        <v>1</v>
      </c>
      <c r="AK714" t="n">
        <v>1</v>
      </c>
      <c r="AL714" t="n">
        <v>0</v>
      </c>
      <c r="AM714" t="n">
        <v>0</v>
      </c>
      <c r="AN714" t="n">
        <v>0</v>
      </c>
      <c r="AO714" t="n">
        <v>0</v>
      </c>
      <c r="AP714" t="n">
        <v>0</v>
      </c>
      <c r="AQ714" t="n">
        <v>0</v>
      </c>
      <c r="AR714" t="inlineStr">
        <is>
          <t>No</t>
        </is>
      </c>
      <c r="AS714" t="inlineStr">
        <is>
          <t>Yes</t>
        </is>
      </c>
      <c r="AT714">
        <f>HYPERLINK("http://catalog.hathitrust.org/Record/000354764","HathiTrust Record")</f>
        <v/>
      </c>
      <c r="AU714">
        <f>HYPERLINK("https://creighton-primo.hosted.exlibrisgroup.com/primo-explore/search?tab=default_tab&amp;search_scope=EVERYTHING&amp;vid=01CRU&amp;lang=en_US&amp;offset=0&amp;query=any,contains,991000612729702656","Catalog Record")</f>
        <v/>
      </c>
      <c r="AV714">
        <f>HYPERLINK("http://www.worldcat.org/oclc/11917470","WorldCat Record")</f>
        <v/>
      </c>
      <c r="AW714" t="inlineStr">
        <is>
          <t>889821352:eng</t>
        </is>
      </c>
      <c r="AX714" t="inlineStr">
        <is>
          <t>11917470</t>
        </is>
      </c>
      <c r="AY714" t="inlineStr">
        <is>
          <t>991000612729702656</t>
        </is>
      </c>
      <c r="AZ714" t="inlineStr">
        <is>
          <t>991000612729702656</t>
        </is>
      </c>
      <c r="BA714" t="inlineStr">
        <is>
          <t>2267615270002656</t>
        </is>
      </c>
      <c r="BB714" t="inlineStr">
        <is>
          <t>BOOK</t>
        </is>
      </c>
      <c r="BD714" t="inlineStr">
        <is>
          <t>9780899250328</t>
        </is>
      </c>
      <c r="BE714" t="inlineStr">
        <is>
          <t>32285001563161</t>
        </is>
      </c>
      <c r="BF714" t="inlineStr">
        <is>
          <t>893521843</t>
        </is>
      </c>
    </row>
    <row r="715">
      <c r="B715" t="inlineStr">
        <is>
          <t>CURAL</t>
        </is>
      </c>
      <c r="C715" t="inlineStr">
        <is>
          <t>SHELVES</t>
        </is>
      </c>
      <c r="D715" t="inlineStr">
        <is>
          <t>QP572.S7 S745 1994</t>
        </is>
      </c>
      <c r="E715" t="inlineStr">
        <is>
          <t>0                      QP 0572000S  7                  S  745         1994</t>
        </is>
      </c>
      <c r="F715" t="inlineStr">
        <is>
          <t>Steroid hormone receptors : basic and clinical aspects / V.K. Moudgil, editor.</t>
        </is>
      </c>
      <c r="H715" t="inlineStr">
        <is>
          <t>No</t>
        </is>
      </c>
      <c r="I715" t="inlineStr">
        <is>
          <t>1</t>
        </is>
      </c>
      <c r="J715" t="inlineStr">
        <is>
          <t>No</t>
        </is>
      </c>
      <c r="K715" t="inlineStr">
        <is>
          <t>No</t>
        </is>
      </c>
      <c r="L715" t="inlineStr">
        <is>
          <t>0</t>
        </is>
      </c>
      <c r="N715" t="inlineStr">
        <is>
          <t>Boston : Birkhäuser, c1994.</t>
        </is>
      </c>
      <c r="O715" t="inlineStr">
        <is>
          <t>1994</t>
        </is>
      </c>
      <c r="Q715" t="inlineStr">
        <is>
          <t>eng</t>
        </is>
      </c>
      <c r="R715" t="inlineStr">
        <is>
          <t>mau</t>
        </is>
      </c>
      <c r="S715" t="inlineStr">
        <is>
          <t>Hormones in health and disease</t>
        </is>
      </c>
      <c r="T715" t="inlineStr">
        <is>
          <t xml:space="preserve">QP </t>
        </is>
      </c>
      <c r="U715" t="n">
        <v>9</v>
      </c>
      <c r="V715" t="n">
        <v>9</v>
      </c>
      <c r="W715" t="inlineStr">
        <is>
          <t>2005-03-16</t>
        </is>
      </c>
      <c r="X715" t="inlineStr">
        <is>
          <t>2005-03-16</t>
        </is>
      </c>
      <c r="Y715" t="inlineStr">
        <is>
          <t>1994-05-11</t>
        </is>
      </c>
      <c r="Z715" t="inlineStr">
        <is>
          <t>1994-05-11</t>
        </is>
      </c>
      <c r="AA715" t="n">
        <v>166</v>
      </c>
      <c r="AB715" t="n">
        <v>121</v>
      </c>
      <c r="AC715" t="n">
        <v>150</v>
      </c>
      <c r="AD715" t="n">
        <v>2</v>
      </c>
      <c r="AE715" t="n">
        <v>2</v>
      </c>
      <c r="AF715" t="n">
        <v>5</v>
      </c>
      <c r="AG715" t="n">
        <v>6</v>
      </c>
      <c r="AH715" t="n">
        <v>0</v>
      </c>
      <c r="AI715" t="n">
        <v>1</v>
      </c>
      <c r="AJ715" t="n">
        <v>3</v>
      </c>
      <c r="AK715" t="n">
        <v>3</v>
      </c>
      <c r="AL715" t="n">
        <v>2</v>
      </c>
      <c r="AM715" t="n">
        <v>3</v>
      </c>
      <c r="AN715" t="n">
        <v>1</v>
      </c>
      <c r="AO715" t="n">
        <v>1</v>
      </c>
      <c r="AP715" t="n">
        <v>0</v>
      </c>
      <c r="AQ715" t="n">
        <v>0</v>
      </c>
      <c r="AR715" t="inlineStr">
        <is>
          <t>No</t>
        </is>
      </c>
      <c r="AS715" t="inlineStr">
        <is>
          <t>Yes</t>
        </is>
      </c>
      <c r="AT715">
        <f>HYPERLINK("http://catalog.hathitrust.org/Record/002806515","HathiTrust Record")</f>
        <v/>
      </c>
      <c r="AU715">
        <f>HYPERLINK("https://creighton-primo.hosted.exlibrisgroup.com/primo-explore/search?tab=default_tab&amp;search_scope=EVERYTHING&amp;vid=01CRU&amp;lang=en_US&amp;offset=0&amp;query=any,contains,991002253629702656","Catalog Record")</f>
        <v/>
      </c>
      <c r="AV715">
        <f>HYPERLINK("http://www.worldcat.org/oclc/29185799","WorldCat Record")</f>
        <v/>
      </c>
      <c r="AW715" t="inlineStr">
        <is>
          <t>890108002:eng</t>
        </is>
      </c>
      <c r="AX715" t="inlineStr">
        <is>
          <t>29185799</t>
        </is>
      </c>
      <c r="AY715" t="inlineStr">
        <is>
          <t>991002253629702656</t>
        </is>
      </c>
      <c r="AZ715" t="inlineStr">
        <is>
          <t>991002253629702656</t>
        </is>
      </c>
      <c r="BA715" t="inlineStr">
        <is>
          <t>2260863770002656</t>
        </is>
      </c>
      <c r="BB715" t="inlineStr">
        <is>
          <t>BOOK</t>
        </is>
      </c>
      <c r="BD715" t="inlineStr">
        <is>
          <t>9780817636944</t>
        </is>
      </c>
      <c r="BE715" t="inlineStr">
        <is>
          <t>32285001896082</t>
        </is>
      </c>
      <c r="BF715" t="inlineStr">
        <is>
          <t>893710056</t>
        </is>
      </c>
    </row>
    <row r="716">
      <c r="B716" t="inlineStr">
        <is>
          <t>CURAL</t>
        </is>
      </c>
      <c r="C716" t="inlineStr">
        <is>
          <t>SHELVES</t>
        </is>
      </c>
      <c r="D716" t="inlineStr">
        <is>
          <t>QP572.S7 S746 1987</t>
        </is>
      </c>
      <c r="E716" t="inlineStr">
        <is>
          <t>0                      QP 0572000S  7                  S  746         1987</t>
        </is>
      </c>
      <c r="F716" t="inlineStr">
        <is>
          <t>Steroid hormone receptors : their intracellular localisation / edited by C.R. Clark.</t>
        </is>
      </c>
      <c r="H716" t="inlineStr">
        <is>
          <t>No</t>
        </is>
      </c>
      <c r="I716" t="inlineStr">
        <is>
          <t>1</t>
        </is>
      </c>
      <c r="J716" t="inlineStr">
        <is>
          <t>No</t>
        </is>
      </c>
      <c r="K716" t="inlineStr">
        <is>
          <t>No</t>
        </is>
      </c>
      <c r="L716" t="inlineStr">
        <is>
          <t>0</t>
        </is>
      </c>
      <c r="N716" t="inlineStr">
        <is>
          <t>Weinheim, Federal Republic of Germany : VCH ; Chichester, England : E. Horwood ; Deerfield Beach, FL, USA : Distribution, VCH Publishers, 1987.</t>
        </is>
      </c>
      <c r="O716" t="inlineStr">
        <is>
          <t>1987</t>
        </is>
      </c>
      <c r="Q716" t="inlineStr">
        <is>
          <t>eng</t>
        </is>
      </c>
      <c r="R716" t="inlineStr">
        <is>
          <t xml:space="preserve">gw </t>
        </is>
      </c>
      <c r="S716" t="inlineStr">
        <is>
          <t>Ellis Horwood series in biomedicine, 0930-3367</t>
        </is>
      </c>
      <c r="T716" t="inlineStr">
        <is>
          <t xml:space="preserve">QP </t>
        </is>
      </c>
      <c r="U716" t="n">
        <v>3</v>
      </c>
      <c r="V716" t="n">
        <v>3</v>
      </c>
      <c r="W716" t="inlineStr">
        <is>
          <t>1992-04-13</t>
        </is>
      </c>
      <c r="X716" t="inlineStr">
        <is>
          <t>1992-04-13</t>
        </is>
      </c>
      <c r="Y716" t="inlineStr">
        <is>
          <t>1992-04-13</t>
        </is>
      </c>
      <c r="Z716" t="inlineStr">
        <is>
          <t>1992-04-13</t>
        </is>
      </c>
      <c r="AA716" t="n">
        <v>192</v>
      </c>
      <c r="AB716" t="n">
        <v>132</v>
      </c>
      <c r="AC716" t="n">
        <v>135</v>
      </c>
      <c r="AD716" t="n">
        <v>1</v>
      </c>
      <c r="AE716" t="n">
        <v>1</v>
      </c>
      <c r="AF716" t="n">
        <v>7</v>
      </c>
      <c r="AG716" t="n">
        <v>7</v>
      </c>
      <c r="AH716" t="n">
        <v>3</v>
      </c>
      <c r="AI716" t="n">
        <v>3</v>
      </c>
      <c r="AJ716" t="n">
        <v>3</v>
      </c>
      <c r="AK716" t="n">
        <v>3</v>
      </c>
      <c r="AL716" t="n">
        <v>4</v>
      </c>
      <c r="AM716" t="n">
        <v>4</v>
      </c>
      <c r="AN716" t="n">
        <v>0</v>
      </c>
      <c r="AO716" t="n">
        <v>0</v>
      </c>
      <c r="AP716" t="n">
        <v>0</v>
      </c>
      <c r="AQ716" t="n">
        <v>0</v>
      </c>
      <c r="AR716" t="inlineStr">
        <is>
          <t>No</t>
        </is>
      </c>
      <c r="AS716" t="inlineStr">
        <is>
          <t>Yes</t>
        </is>
      </c>
      <c r="AT716">
        <f>HYPERLINK("http://catalog.hathitrust.org/Record/000828546","HathiTrust Record")</f>
        <v/>
      </c>
      <c r="AU716">
        <f>HYPERLINK("https://creighton-primo.hosted.exlibrisgroup.com/primo-explore/search?tab=default_tab&amp;search_scope=EVERYTHING&amp;vid=01CRU&amp;lang=en_US&amp;offset=0&amp;query=any,contains,991000922459702656","Catalog Record")</f>
        <v/>
      </c>
      <c r="AV716">
        <f>HYPERLINK("http://www.worldcat.org/oclc/14213725","WorldCat Record")</f>
        <v/>
      </c>
      <c r="AW716" t="inlineStr">
        <is>
          <t>836671373:eng</t>
        </is>
      </c>
      <c r="AX716" t="inlineStr">
        <is>
          <t>14213725</t>
        </is>
      </c>
      <c r="AY716" t="inlineStr">
        <is>
          <t>991000922459702656</t>
        </is>
      </c>
      <c r="AZ716" t="inlineStr">
        <is>
          <t>991000922459702656</t>
        </is>
      </c>
      <c r="BA716" t="inlineStr">
        <is>
          <t>2269399100002656</t>
        </is>
      </c>
      <c r="BB716" t="inlineStr">
        <is>
          <t>BOOK</t>
        </is>
      </c>
      <c r="BD716" t="inlineStr">
        <is>
          <t>9780895734983</t>
        </is>
      </c>
      <c r="BE716" t="inlineStr">
        <is>
          <t>32285001059574</t>
        </is>
      </c>
      <c r="BF716" t="inlineStr">
        <is>
          <t>893626505</t>
        </is>
      </c>
    </row>
    <row r="717">
      <c r="B717" t="inlineStr">
        <is>
          <t>CURAL</t>
        </is>
      </c>
      <c r="C717" t="inlineStr">
        <is>
          <t>SHELVES</t>
        </is>
      </c>
      <c r="D717" t="inlineStr">
        <is>
          <t>QP601 .B19</t>
        </is>
      </c>
      <c r="E717" t="inlineStr">
        <is>
          <t>0                      QP 0601000B  19</t>
        </is>
      </c>
      <c r="F717" t="inlineStr">
        <is>
          <t>Design of active-site-directed irreversible enzyme inhibitors; the organic chemistry of the enzymic active-site [by] B.R. Baker.</t>
        </is>
      </c>
      <c r="H717" t="inlineStr">
        <is>
          <t>No</t>
        </is>
      </c>
      <c r="I717" t="inlineStr">
        <is>
          <t>1</t>
        </is>
      </c>
      <c r="J717" t="inlineStr">
        <is>
          <t>No</t>
        </is>
      </c>
      <c r="K717" t="inlineStr">
        <is>
          <t>No</t>
        </is>
      </c>
      <c r="L717" t="inlineStr">
        <is>
          <t>0</t>
        </is>
      </c>
      <c r="M717" t="inlineStr">
        <is>
          <t>Baker, Bernard R. (Bernard Randall), 1915-1971.</t>
        </is>
      </c>
      <c r="N717" t="inlineStr">
        <is>
          <t>New York, Wiley [1967]</t>
        </is>
      </c>
      <c r="O717" t="inlineStr">
        <is>
          <t>1967</t>
        </is>
      </c>
      <c r="Q717" t="inlineStr">
        <is>
          <t>eng</t>
        </is>
      </c>
      <c r="R717" t="inlineStr">
        <is>
          <t>nyu</t>
        </is>
      </c>
      <c r="T717" t="inlineStr">
        <is>
          <t xml:space="preserve">QP </t>
        </is>
      </c>
      <c r="U717" t="n">
        <v>7</v>
      </c>
      <c r="V717" t="n">
        <v>7</v>
      </c>
      <c r="W717" t="inlineStr">
        <is>
          <t>2000-03-22</t>
        </is>
      </c>
      <c r="X717" t="inlineStr">
        <is>
          <t>2000-03-22</t>
        </is>
      </c>
      <c r="Y717" t="inlineStr">
        <is>
          <t>1997-08-07</t>
        </is>
      </c>
      <c r="Z717" t="inlineStr">
        <is>
          <t>1997-08-07</t>
        </is>
      </c>
      <c r="AA717" t="n">
        <v>421</v>
      </c>
      <c r="AB717" t="n">
        <v>318</v>
      </c>
      <c r="AC717" t="n">
        <v>345</v>
      </c>
      <c r="AD717" t="n">
        <v>2</v>
      </c>
      <c r="AE717" t="n">
        <v>2</v>
      </c>
      <c r="AF717" t="n">
        <v>13</v>
      </c>
      <c r="AG717" t="n">
        <v>14</v>
      </c>
      <c r="AH717" t="n">
        <v>3</v>
      </c>
      <c r="AI717" t="n">
        <v>3</v>
      </c>
      <c r="AJ717" t="n">
        <v>5</v>
      </c>
      <c r="AK717" t="n">
        <v>5</v>
      </c>
      <c r="AL717" t="n">
        <v>8</v>
      </c>
      <c r="AM717" t="n">
        <v>9</v>
      </c>
      <c r="AN717" t="n">
        <v>1</v>
      </c>
      <c r="AO717" t="n">
        <v>1</v>
      </c>
      <c r="AP717" t="n">
        <v>0</v>
      </c>
      <c r="AQ717" t="n">
        <v>0</v>
      </c>
      <c r="AR717" t="inlineStr">
        <is>
          <t>No</t>
        </is>
      </c>
      <c r="AS717" t="inlineStr">
        <is>
          <t>Yes</t>
        </is>
      </c>
      <c r="AT717">
        <f>HYPERLINK("http://catalog.hathitrust.org/Record/001555512","HathiTrust Record")</f>
        <v/>
      </c>
      <c r="AU717">
        <f>HYPERLINK("https://creighton-primo.hosted.exlibrisgroup.com/primo-explore/search?tab=default_tab&amp;search_scope=EVERYTHING&amp;vid=01CRU&amp;lang=en_US&amp;offset=0&amp;query=any,contains,991001193519702656","Catalog Record")</f>
        <v/>
      </c>
      <c r="AV717">
        <f>HYPERLINK("http://www.worldcat.org/oclc/191250","WorldCat Record")</f>
        <v/>
      </c>
      <c r="AW717" t="inlineStr">
        <is>
          <t>1350815:eng</t>
        </is>
      </c>
      <c r="AX717" t="inlineStr">
        <is>
          <t>191250</t>
        </is>
      </c>
      <c r="AY717" t="inlineStr">
        <is>
          <t>991001193519702656</t>
        </is>
      </c>
      <c r="AZ717" t="inlineStr">
        <is>
          <t>991001193519702656</t>
        </is>
      </c>
      <c r="BA717" t="inlineStr">
        <is>
          <t>2258764740002656</t>
        </is>
      </c>
      <c r="BB717" t="inlineStr">
        <is>
          <t>BOOK</t>
        </is>
      </c>
      <c r="BE717" t="inlineStr">
        <is>
          <t>32285003080925</t>
        </is>
      </c>
      <c r="BF717" t="inlineStr">
        <is>
          <t>893340231</t>
        </is>
      </c>
    </row>
    <row r="718">
      <c r="B718" t="inlineStr">
        <is>
          <t>CURAL</t>
        </is>
      </c>
      <c r="C718" t="inlineStr">
        <is>
          <t>SHELVES</t>
        </is>
      </c>
      <c r="D718" t="inlineStr">
        <is>
          <t>QP601 .B2435</t>
        </is>
      </c>
      <c r="E718" t="inlineStr">
        <is>
          <t>0                      QP 0601000B  2435</t>
        </is>
      </c>
      <c r="F718" t="inlineStr">
        <is>
          <t>Enzyme handbook / [by] Thomas E. Barman.</t>
        </is>
      </c>
      <c r="H718" t="inlineStr">
        <is>
          <t>Yes</t>
        </is>
      </c>
      <c r="I718" t="inlineStr">
        <is>
          <t>1</t>
        </is>
      </c>
      <c r="J718" t="inlineStr">
        <is>
          <t>Yes</t>
        </is>
      </c>
      <c r="K718" t="inlineStr">
        <is>
          <t>No</t>
        </is>
      </c>
      <c r="L718" t="inlineStr">
        <is>
          <t>0</t>
        </is>
      </c>
      <c r="M718" t="inlineStr">
        <is>
          <t>Barman, Thomas E.</t>
        </is>
      </c>
      <c r="N718" t="inlineStr">
        <is>
          <t>Berlin : Heidelberg ; New York : Springer, 1969.</t>
        </is>
      </c>
      <c r="O718" t="inlineStr">
        <is>
          <t>1969</t>
        </is>
      </c>
      <c r="Q718" t="inlineStr">
        <is>
          <t>eng</t>
        </is>
      </c>
      <c r="R718" t="inlineStr">
        <is>
          <t xml:space="preserve">gw </t>
        </is>
      </c>
      <c r="T718" t="inlineStr">
        <is>
          <t xml:space="preserve">QP </t>
        </is>
      </c>
      <c r="U718" t="n">
        <v>3</v>
      </c>
      <c r="V718" t="n">
        <v>7</v>
      </c>
      <c r="X718" t="inlineStr">
        <is>
          <t>1995-10-01</t>
        </is>
      </c>
      <c r="Y718" t="inlineStr">
        <is>
          <t>1994-06-10</t>
        </is>
      </c>
      <c r="Z718" t="inlineStr">
        <is>
          <t>1994-06-10</t>
        </is>
      </c>
      <c r="AA718" t="n">
        <v>584</v>
      </c>
      <c r="AB718" t="n">
        <v>438</v>
      </c>
      <c r="AC718" t="n">
        <v>461</v>
      </c>
      <c r="AD718" t="n">
        <v>3</v>
      </c>
      <c r="AE718" t="n">
        <v>3</v>
      </c>
      <c r="AF718" t="n">
        <v>15</v>
      </c>
      <c r="AG718" t="n">
        <v>16</v>
      </c>
      <c r="AH718" t="n">
        <v>4</v>
      </c>
      <c r="AI718" t="n">
        <v>5</v>
      </c>
      <c r="AJ718" t="n">
        <v>5</v>
      </c>
      <c r="AK718" t="n">
        <v>5</v>
      </c>
      <c r="AL718" t="n">
        <v>8</v>
      </c>
      <c r="AM718" t="n">
        <v>9</v>
      </c>
      <c r="AN718" t="n">
        <v>2</v>
      </c>
      <c r="AO718" t="n">
        <v>2</v>
      </c>
      <c r="AP718" t="n">
        <v>0</v>
      </c>
      <c r="AQ718" t="n">
        <v>0</v>
      </c>
      <c r="AR718" t="inlineStr">
        <is>
          <t>No</t>
        </is>
      </c>
      <c r="AS718" t="inlineStr">
        <is>
          <t>Yes</t>
        </is>
      </c>
      <c r="AT718">
        <f>HYPERLINK("http://catalog.hathitrust.org/Record/002077128","HathiTrust Record")</f>
        <v/>
      </c>
      <c r="AU718">
        <f>HYPERLINK("https://creighton-primo.hosted.exlibrisgroup.com/primo-explore/search?tab=default_tab&amp;search_scope=EVERYTHING&amp;vid=01CRU&amp;lang=en_US&amp;offset=0&amp;query=any,contains,991000005489702656","Catalog Record")</f>
        <v/>
      </c>
      <c r="AV718">
        <f>HYPERLINK("http://www.worldcat.org/oclc/13160","WorldCat Record")</f>
        <v/>
      </c>
      <c r="AW718" t="inlineStr">
        <is>
          <t>1135975:eng</t>
        </is>
      </c>
      <c r="AX718" t="inlineStr">
        <is>
          <t>13160</t>
        </is>
      </c>
      <c r="AY718" t="inlineStr">
        <is>
          <t>991000005489702656</t>
        </is>
      </c>
      <c r="AZ718" t="inlineStr">
        <is>
          <t>991000005489702656</t>
        </is>
      </c>
      <c r="BA718" t="inlineStr">
        <is>
          <t>2266328430002656</t>
        </is>
      </c>
      <c r="BB718" t="inlineStr">
        <is>
          <t>BOOK</t>
        </is>
      </c>
      <c r="BE718" t="inlineStr">
        <is>
          <t>32285001928695</t>
        </is>
      </c>
      <c r="BF718" t="inlineStr">
        <is>
          <t>893437915</t>
        </is>
      </c>
    </row>
    <row r="719">
      <c r="B719" t="inlineStr">
        <is>
          <t>CURAL</t>
        </is>
      </c>
      <c r="C719" t="inlineStr">
        <is>
          <t>SHELVES</t>
        </is>
      </c>
      <c r="D719" t="inlineStr">
        <is>
          <t>QP601 .B2435 V.2</t>
        </is>
      </c>
      <c r="E719" t="inlineStr">
        <is>
          <t>0                      QP 0601000B  2435                                                    V.2</t>
        </is>
      </c>
      <c r="F719" t="inlineStr">
        <is>
          <t>Enzyme handbook / [by] Thomas E. Barman.</t>
        </is>
      </c>
      <c r="G719" t="inlineStr">
        <is>
          <t>V.2*</t>
        </is>
      </c>
      <c r="H719" t="inlineStr">
        <is>
          <t>Yes</t>
        </is>
      </c>
      <c r="I719" t="inlineStr">
        <is>
          <t>1</t>
        </is>
      </c>
      <c r="J719" t="inlineStr">
        <is>
          <t>No</t>
        </is>
      </c>
      <c r="K719" t="inlineStr">
        <is>
          <t>No</t>
        </is>
      </c>
      <c r="L719" t="inlineStr">
        <is>
          <t>0</t>
        </is>
      </c>
      <c r="M719" t="inlineStr">
        <is>
          <t>Barman, Thomas E.</t>
        </is>
      </c>
      <c r="N719" t="inlineStr">
        <is>
          <t>Berlin : Heidelberg ; New York : Springer, 1969.</t>
        </is>
      </c>
      <c r="O719" t="inlineStr">
        <is>
          <t>1969</t>
        </is>
      </c>
      <c r="Q719" t="inlineStr">
        <is>
          <t>eng</t>
        </is>
      </c>
      <c r="R719" t="inlineStr">
        <is>
          <t xml:space="preserve">gw </t>
        </is>
      </c>
      <c r="T719" t="inlineStr">
        <is>
          <t xml:space="preserve">QP </t>
        </is>
      </c>
      <c r="U719" t="n">
        <v>4</v>
      </c>
      <c r="V719" t="n">
        <v>7</v>
      </c>
      <c r="W719" t="inlineStr">
        <is>
          <t>1995-10-01</t>
        </is>
      </c>
      <c r="X719" t="inlineStr">
        <is>
          <t>1995-10-01</t>
        </is>
      </c>
      <c r="Y719" t="inlineStr">
        <is>
          <t>1994-06-10</t>
        </is>
      </c>
      <c r="Z719" t="inlineStr">
        <is>
          <t>1994-06-10</t>
        </is>
      </c>
      <c r="AA719" t="n">
        <v>584</v>
      </c>
      <c r="AB719" t="n">
        <v>438</v>
      </c>
      <c r="AC719" t="n">
        <v>461</v>
      </c>
      <c r="AD719" t="n">
        <v>3</v>
      </c>
      <c r="AE719" t="n">
        <v>3</v>
      </c>
      <c r="AF719" t="n">
        <v>15</v>
      </c>
      <c r="AG719" t="n">
        <v>16</v>
      </c>
      <c r="AH719" t="n">
        <v>4</v>
      </c>
      <c r="AI719" t="n">
        <v>5</v>
      </c>
      <c r="AJ719" t="n">
        <v>5</v>
      </c>
      <c r="AK719" t="n">
        <v>5</v>
      </c>
      <c r="AL719" t="n">
        <v>8</v>
      </c>
      <c r="AM719" t="n">
        <v>9</v>
      </c>
      <c r="AN719" t="n">
        <v>2</v>
      </c>
      <c r="AO719" t="n">
        <v>2</v>
      </c>
      <c r="AP719" t="n">
        <v>0</v>
      </c>
      <c r="AQ719" t="n">
        <v>0</v>
      </c>
      <c r="AR719" t="inlineStr">
        <is>
          <t>No</t>
        </is>
      </c>
      <c r="AS719" t="inlineStr">
        <is>
          <t>Yes</t>
        </is>
      </c>
      <c r="AT719">
        <f>HYPERLINK("http://catalog.hathitrust.org/Record/002077128","HathiTrust Record")</f>
        <v/>
      </c>
      <c r="AU719">
        <f>HYPERLINK("https://creighton-primo.hosted.exlibrisgroup.com/primo-explore/search?tab=default_tab&amp;search_scope=EVERYTHING&amp;vid=01CRU&amp;lang=en_US&amp;offset=0&amp;query=any,contains,991000005489702656","Catalog Record")</f>
        <v/>
      </c>
      <c r="AV719">
        <f>HYPERLINK("http://www.worldcat.org/oclc/13160","WorldCat Record")</f>
        <v/>
      </c>
      <c r="AW719" t="inlineStr">
        <is>
          <t>1135975:eng</t>
        </is>
      </c>
      <c r="AX719" t="inlineStr">
        <is>
          <t>13160</t>
        </is>
      </c>
      <c r="AY719" t="inlineStr">
        <is>
          <t>991000005489702656</t>
        </is>
      </c>
      <c r="AZ719" t="inlineStr">
        <is>
          <t>991000005489702656</t>
        </is>
      </c>
      <c r="BA719" t="inlineStr">
        <is>
          <t>2266328430002656</t>
        </is>
      </c>
      <c r="BB719" t="inlineStr">
        <is>
          <t>BOOK</t>
        </is>
      </c>
      <c r="BE719" t="inlineStr">
        <is>
          <t>32285001928703</t>
        </is>
      </c>
      <c r="BF719" t="inlineStr">
        <is>
          <t>893406815</t>
        </is>
      </c>
    </row>
    <row r="720">
      <c r="B720" t="inlineStr">
        <is>
          <t>CURAL</t>
        </is>
      </c>
      <c r="C720" t="inlineStr">
        <is>
          <t>SHELVES</t>
        </is>
      </c>
      <c r="D720" t="inlineStr">
        <is>
          <t>QP601 .B374 1984</t>
        </is>
      </c>
      <c r="E720" t="inlineStr">
        <is>
          <t>0                      QP 0601000B  374         1984</t>
        </is>
      </c>
      <c r="F720" t="inlineStr">
        <is>
          <t>The bioorganic chemistry of enzymatic catalysis / Myron L. Bender, Raymond J. Bergeron, Makoto Komiyama.</t>
        </is>
      </c>
      <c r="H720" t="inlineStr">
        <is>
          <t>No</t>
        </is>
      </c>
      <c r="I720" t="inlineStr">
        <is>
          <t>1</t>
        </is>
      </c>
      <c r="J720" t="inlineStr">
        <is>
          <t>Yes</t>
        </is>
      </c>
      <c r="K720" t="inlineStr">
        <is>
          <t>Yes</t>
        </is>
      </c>
      <c r="L720" t="inlineStr">
        <is>
          <t>0</t>
        </is>
      </c>
      <c r="M720" t="inlineStr">
        <is>
          <t>Bender, Myron L., 1924-1988.</t>
        </is>
      </c>
      <c r="N720" t="inlineStr">
        <is>
          <t>New York : Wiley, c1984.</t>
        </is>
      </c>
      <c r="O720" t="inlineStr">
        <is>
          <t>1984</t>
        </is>
      </c>
      <c r="Q720" t="inlineStr">
        <is>
          <t>eng</t>
        </is>
      </c>
      <c r="R720" t="inlineStr">
        <is>
          <t>nyu</t>
        </is>
      </c>
      <c r="T720" t="inlineStr">
        <is>
          <t xml:space="preserve">QP </t>
        </is>
      </c>
      <c r="U720" t="n">
        <v>3</v>
      </c>
      <c r="V720" t="n">
        <v>5</v>
      </c>
      <c r="W720" t="inlineStr">
        <is>
          <t>1994-06-28</t>
        </is>
      </c>
      <c r="X720" t="inlineStr">
        <is>
          <t>1994-06-28</t>
        </is>
      </c>
      <c r="Y720" t="inlineStr">
        <is>
          <t>1993-03-04</t>
        </is>
      </c>
      <c r="Z720" t="inlineStr">
        <is>
          <t>1993-03-04</t>
        </is>
      </c>
      <c r="AA720" t="n">
        <v>553</v>
      </c>
      <c r="AB720" t="n">
        <v>460</v>
      </c>
      <c r="AC720" t="n">
        <v>477</v>
      </c>
      <c r="AD720" t="n">
        <v>5</v>
      </c>
      <c r="AE720" t="n">
        <v>5</v>
      </c>
      <c r="AF720" t="n">
        <v>23</v>
      </c>
      <c r="AG720" t="n">
        <v>24</v>
      </c>
      <c r="AH720" t="n">
        <v>6</v>
      </c>
      <c r="AI720" t="n">
        <v>7</v>
      </c>
      <c r="AJ720" t="n">
        <v>7</v>
      </c>
      <c r="AK720" t="n">
        <v>7</v>
      </c>
      <c r="AL720" t="n">
        <v>13</v>
      </c>
      <c r="AM720" t="n">
        <v>13</v>
      </c>
      <c r="AN720" t="n">
        <v>3</v>
      </c>
      <c r="AO720" t="n">
        <v>3</v>
      </c>
      <c r="AP720" t="n">
        <v>0</v>
      </c>
      <c r="AQ720" t="n">
        <v>0</v>
      </c>
      <c r="AR720" t="inlineStr">
        <is>
          <t>No</t>
        </is>
      </c>
      <c r="AS720" t="inlineStr">
        <is>
          <t>Yes</t>
        </is>
      </c>
      <c r="AT720">
        <f>HYPERLINK("http://catalog.hathitrust.org/Record/000168183","HathiTrust Record")</f>
        <v/>
      </c>
      <c r="AU720">
        <f>HYPERLINK("https://creighton-primo.hosted.exlibrisgroup.com/primo-explore/search?tab=default_tab&amp;search_scope=EVERYTHING&amp;vid=01CRU&amp;lang=en_US&amp;offset=0&amp;query=any,contains,991001775119702656","Catalog Record")</f>
        <v/>
      </c>
      <c r="AV720">
        <f>HYPERLINK("http://www.worldcat.org/oclc/9971434","WorldCat Record")</f>
        <v/>
      </c>
      <c r="AW720" t="inlineStr">
        <is>
          <t>43858219:eng</t>
        </is>
      </c>
      <c r="AX720" t="inlineStr">
        <is>
          <t>9971434</t>
        </is>
      </c>
      <c r="AY720" t="inlineStr">
        <is>
          <t>991001775119702656</t>
        </is>
      </c>
      <c r="AZ720" t="inlineStr">
        <is>
          <t>991001775119702656</t>
        </is>
      </c>
      <c r="BA720" t="inlineStr">
        <is>
          <t>2257818990002656</t>
        </is>
      </c>
      <c r="BB720" t="inlineStr">
        <is>
          <t>BOOK</t>
        </is>
      </c>
      <c r="BD720" t="inlineStr">
        <is>
          <t>9780471059912</t>
        </is>
      </c>
      <c r="BE720" t="inlineStr">
        <is>
          <t>32285001563187</t>
        </is>
      </c>
      <c r="BF720" t="inlineStr">
        <is>
          <t>893715713</t>
        </is>
      </c>
    </row>
    <row r="721">
      <c r="B721" t="inlineStr">
        <is>
          <t>CURAL</t>
        </is>
      </c>
      <c r="C721" t="inlineStr">
        <is>
          <t>SHELVES</t>
        </is>
      </c>
      <c r="D721" t="inlineStr">
        <is>
          <t>QP601 .C48</t>
        </is>
      </c>
      <c r="E721" t="inlineStr">
        <is>
          <t>0                      QP 0601000C  48</t>
        </is>
      </c>
      <c r="F721" t="inlineStr">
        <is>
          <t>Enzyme kinetics : a learning program for students of the biological and medical sciences / [by] Halvor N. Christensen and Graham A. Palmer.</t>
        </is>
      </c>
      <c r="H721" t="inlineStr">
        <is>
          <t>No</t>
        </is>
      </c>
      <c r="I721" t="inlineStr">
        <is>
          <t>1</t>
        </is>
      </c>
      <c r="J721" t="inlineStr">
        <is>
          <t>No</t>
        </is>
      </c>
      <c r="K721" t="inlineStr">
        <is>
          <t>No</t>
        </is>
      </c>
      <c r="L721" t="inlineStr">
        <is>
          <t>0</t>
        </is>
      </c>
      <c r="M721" t="inlineStr">
        <is>
          <t>Christensen, Halvor N.</t>
        </is>
      </c>
      <c r="N721" t="inlineStr">
        <is>
          <t>Philadelphia : Saunders, [1967]</t>
        </is>
      </c>
      <c r="O721" t="inlineStr">
        <is>
          <t>1967</t>
        </is>
      </c>
      <c r="Q721" t="inlineStr">
        <is>
          <t>eng</t>
        </is>
      </c>
      <c r="R721" t="inlineStr">
        <is>
          <t>pau</t>
        </is>
      </c>
      <c r="T721" t="inlineStr">
        <is>
          <t xml:space="preserve">QP </t>
        </is>
      </c>
      <c r="U721" t="n">
        <v>3</v>
      </c>
      <c r="V721" t="n">
        <v>3</v>
      </c>
      <c r="W721" t="inlineStr">
        <is>
          <t>1997-09-22</t>
        </is>
      </c>
      <c r="X721" t="inlineStr">
        <is>
          <t>1997-09-22</t>
        </is>
      </c>
      <c r="Y721" t="inlineStr">
        <is>
          <t>1994-06-29</t>
        </is>
      </c>
      <c r="Z721" t="inlineStr">
        <is>
          <t>1994-06-29</t>
        </is>
      </c>
      <c r="AA721" t="n">
        <v>370</v>
      </c>
      <c r="AB721" t="n">
        <v>282</v>
      </c>
      <c r="AC721" t="n">
        <v>362</v>
      </c>
      <c r="AD721" t="n">
        <v>2</v>
      </c>
      <c r="AE721" t="n">
        <v>2</v>
      </c>
      <c r="AF721" t="n">
        <v>9</v>
      </c>
      <c r="AG721" t="n">
        <v>11</v>
      </c>
      <c r="AH721" t="n">
        <v>5</v>
      </c>
      <c r="AI721" t="n">
        <v>5</v>
      </c>
      <c r="AJ721" t="n">
        <v>0</v>
      </c>
      <c r="AK721" t="n">
        <v>2</v>
      </c>
      <c r="AL721" t="n">
        <v>6</v>
      </c>
      <c r="AM721" t="n">
        <v>7</v>
      </c>
      <c r="AN721" t="n">
        <v>1</v>
      </c>
      <c r="AO721" t="n">
        <v>1</v>
      </c>
      <c r="AP721" t="n">
        <v>0</v>
      </c>
      <c r="AQ721" t="n">
        <v>0</v>
      </c>
      <c r="AR721" t="inlineStr">
        <is>
          <t>No</t>
        </is>
      </c>
      <c r="AS721" t="inlineStr">
        <is>
          <t>Yes</t>
        </is>
      </c>
      <c r="AT721">
        <f>HYPERLINK("http://catalog.hathitrust.org/Record/001555519","HathiTrust Record")</f>
        <v/>
      </c>
      <c r="AU721">
        <f>HYPERLINK("https://creighton-primo.hosted.exlibrisgroup.com/primo-explore/search?tab=default_tab&amp;search_scope=EVERYTHING&amp;vid=01CRU&amp;lang=en_US&amp;offset=0&amp;query=any,contains,991002709189702656","Catalog Record")</f>
        <v/>
      </c>
      <c r="AV721">
        <f>HYPERLINK("http://www.worldcat.org/oclc/408502","WorldCat Record")</f>
        <v/>
      </c>
      <c r="AW721" t="inlineStr">
        <is>
          <t>1443332:eng</t>
        </is>
      </c>
      <c r="AX721" t="inlineStr">
        <is>
          <t>408502</t>
        </is>
      </c>
      <c r="AY721" t="inlineStr">
        <is>
          <t>991002709189702656</t>
        </is>
      </c>
      <c r="AZ721" t="inlineStr">
        <is>
          <t>991002709189702656</t>
        </is>
      </c>
      <c r="BA721" t="inlineStr">
        <is>
          <t>2264102320002656</t>
        </is>
      </c>
      <c r="BB721" t="inlineStr">
        <is>
          <t>BOOK</t>
        </is>
      </c>
      <c r="BE721" t="inlineStr">
        <is>
          <t>32285001935518</t>
        </is>
      </c>
      <c r="BF721" t="inlineStr">
        <is>
          <t>893323275</t>
        </is>
      </c>
    </row>
    <row r="722">
      <c r="B722" t="inlineStr">
        <is>
          <t>CURAL</t>
        </is>
      </c>
      <c r="C722" t="inlineStr">
        <is>
          <t>SHELVES</t>
        </is>
      </c>
      <c r="D722" t="inlineStr">
        <is>
          <t>QP601 .C753 2000</t>
        </is>
      </c>
      <c r="E722" t="inlineStr">
        <is>
          <t>0                      QP 0601000C  753         2000</t>
        </is>
      </c>
      <c r="F722" t="inlineStr">
        <is>
          <t>Enzymes : a practical introduction to structure, mechanism, and data analysis / Robert A. Copeland.</t>
        </is>
      </c>
      <c r="H722" t="inlineStr">
        <is>
          <t>No</t>
        </is>
      </c>
      <c r="I722" t="inlineStr">
        <is>
          <t>1</t>
        </is>
      </c>
      <c r="J722" t="inlineStr">
        <is>
          <t>No</t>
        </is>
      </c>
      <c r="K722" t="inlineStr">
        <is>
          <t>No</t>
        </is>
      </c>
      <c r="L722" t="inlineStr">
        <is>
          <t>0</t>
        </is>
      </c>
      <c r="M722" t="inlineStr">
        <is>
          <t>Copeland, Robert Allen.</t>
        </is>
      </c>
      <c r="N722" t="inlineStr">
        <is>
          <t>New York : J. Wiley, c2000.</t>
        </is>
      </c>
      <c r="O722" t="inlineStr">
        <is>
          <t>2000</t>
        </is>
      </c>
      <c r="P722" t="inlineStr">
        <is>
          <t>2nd ed.</t>
        </is>
      </c>
      <c r="Q722" t="inlineStr">
        <is>
          <t>eng</t>
        </is>
      </c>
      <c r="R722" t="inlineStr">
        <is>
          <t>nyu</t>
        </is>
      </c>
      <c r="T722" t="inlineStr">
        <is>
          <t xml:space="preserve">QP </t>
        </is>
      </c>
      <c r="U722" t="n">
        <v>4</v>
      </c>
      <c r="V722" t="n">
        <v>4</v>
      </c>
      <c r="W722" t="inlineStr">
        <is>
          <t>2004-01-09</t>
        </is>
      </c>
      <c r="X722" t="inlineStr">
        <is>
          <t>2004-01-09</t>
        </is>
      </c>
      <c r="Y722" t="inlineStr">
        <is>
          <t>2001-02-28</t>
        </is>
      </c>
      <c r="Z722" t="inlineStr">
        <is>
          <t>2001-02-28</t>
        </is>
      </c>
      <c r="AA722" t="n">
        <v>581</v>
      </c>
      <c r="AB722" t="n">
        <v>438</v>
      </c>
      <c r="AC722" t="n">
        <v>799</v>
      </c>
      <c r="AD722" t="n">
        <v>4</v>
      </c>
      <c r="AE722" t="n">
        <v>29</v>
      </c>
      <c r="AF722" t="n">
        <v>25</v>
      </c>
      <c r="AG722" t="n">
        <v>43</v>
      </c>
      <c r="AH722" t="n">
        <v>9</v>
      </c>
      <c r="AI722" t="n">
        <v>13</v>
      </c>
      <c r="AJ722" t="n">
        <v>10</v>
      </c>
      <c r="AK722" t="n">
        <v>10</v>
      </c>
      <c r="AL722" t="n">
        <v>9</v>
      </c>
      <c r="AM722" t="n">
        <v>13</v>
      </c>
      <c r="AN722" t="n">
        <v>3</v>
      </c>
      <c r="AO722" t="n">
        <v>14</v>
      </c>
      <c r="AP722" t="n">
        <v>0</v>
      </c>
      <c r="AQ722" t="n">
        <v>0</v>
      </c>
      <c r="AR722" t="inlineStr">
        <is>
          <t>No</t>
        </is>
      </c>
      <c r="AS722" t="inlineStr">
        <is>
          <t>No</t>
        </is>
      </c>
      <c r="AU722">
        <f>HYPERLINK("https://creighton-primo.hosted.exlibrisgroup.com/primo-explore/search?tab=default_tab&amp;search_scope=EVERYTHING&amp;vid=01CRU&amp;lang=en_US&amp;offset=0&amp;query=any,contains,991003475509702656","Catalog Record")</f>
        <v/>
      </c>
      <c r="AV722">
        <f>HYPERLINK("http://www.worldcat.org/oclc/42619660","WorldCat Record")</f>
        <v/>
      </c>
      <c r="AW722" t="inlineStr">
        <is>
          <t>4926801763:eng</t>
        </is>
      </c>
      <c r="AX722" t="inlineStr">
        <is>
          <t>42619660</t>
        </is>
      </c>
      <c r="AY722" t="inlineStr">
        <is>
          <t>991003475509702656</t>
        </is>
      </c>
      <c r="AZ722" t="inlineStr">
        <is>
          <t>991003475509702656</t>
        </is>
      </c>
      <c r="BA722" t="inlineStr">
        <is>
          <t>2264322760002656</t>
        </is>
      </c>
      <c r="BB722" t="inlineStr">
        <is>
          <t>BOOK</t>
        </is>
      </c>
      <c r="BD722" t="inlineStr">
        <is>
          <t>9780471359296</t>
        </is>
      </c>
      <c r="BE722" t="inlineStr">
        <is>
          <t>32285004298286</t>
        </is>
      </c>
      <c r="BF722" t="inlineStr">
        <is>
          <t>893511979</t>
        </is>
      </c>
    </row>
    <row r="723">
      <c r="B723" t="inlineStr">
        <is>
          <t>CURAL</t>
        </is>
      </c>
      <c r="C723" t="inlineStr">
        <is>
          <t>SHELVES</t>
        </is>
      </c>
      <c r="D723" t="inlineStr">
        <is>
          <t>QP601 .D48 1964</t>
        </is>
      </c>
      <c r="E723" t="inlineStr">
        <is>
          <t>0                      QP 0601000D  48          1964</t>
        </is>
      </c>
      <c r="F723" t="inlineStr">
        <is>
          <t>Enzymes / by Malcolm Dixon and Edwin C. Webb.</t>
        </is>
      </c>
      <c r="H723" t="inlineStr">
        <is>
          <t>No</t>
        </is>
      </c>
      <c r="I723" t="inlineStr">
        <is>
          <t>1</t>
        </is>
      </c>
      <c r="J723" t="inlineStr">
        <is>
          <t>No</t>
        </is>
      </c>
      <c r="K723" t="inlineStr">
        <is>
          <t>Yes</t>
        </is>
      </c>
      <c r="L723" t="inlineStr">
        <is>
          <t>0</t>
        </is>
      </c>
      <c r="M723" t="inlineStr">
        <is>
          <t>Dixon, Malcolm, 1899-1985.</t>
        </is>
      </c>
      <c r="N723" t="inlineStr">
        <is>
          <t>New York : Academic Press, 1964.</t>
        </is>
      </c>
      <c r="O723" t="inlineStr">
        <is>
          <t>1964</t>
        </is>
      </c>
      <c r="P723" t="inlineStr">
        <is>
          <t>2d ed.</t>
        </is>
      </c>
      <c r="Q723" t="inlineStr">
        <is>
          <t>eng</t>
        </is>
      </c>
      <c r="R723" t="inlineStr">
        <is>
          <t>nyu</t>
        </is>
      </c>
      <c r="T723" t="inlineStr">
        <is>
          <t xml:space="preserve">QP </t>
        </is>
      </c>
      <c r="U723" t="n">
        <v>3</v>
      </c>
      <c r="V723" t="n">
        <v>3</v>
      </c>
      <c r="W723" t="inlineStr">
        <is>
          <t>2002-06-05</t>
        </is>
      </c>
      <c r="X723" t="inlineStr">
        <is>
          <t>2002-06-05</t>
        </is>
      </c>
      <c r="Y723" t="inlineStr">
        <is>
          <t>1994-10-19</t>
        </is>
      </c>
      <c r="Z723" t="inlineStr">
        <is>
          <t>1994-10-19</t>
        </is>
      </c>
      <c r="AA723" t="n">
        <v>611</v>
      </c>
      <c r="AB723" t="n">
        <v>548</v>
      </c>
      <c r="AC723" t="n">
        <v>844</v>
      </c>
      <c r="AD723" t="n">
        <v>8</v>
      </c>
      <c r="AE723" t="n">
        <v>9</v>
      </c>
      <c r="AF723" t="n">
        <v>23</v>
      </c>
      <c r="AG723" t="n">
        <v>38</v>
      </c>
      <c r="AH723" t="n">
        <v>7</v>
      </c>
      <c r="AI723" t="n">
        <v>15</v>
      </c>
      <c r="AJ723" t="n">
        <v>5</v>
      </c>
      <c r="AK723" t="n">
        <v>6</v>
      </c>
      <c r="AL723" t="n">
        <v>11</v>
      </c>
      <c r="AM723" t="n">
        <v>20</v>
      </c>
      <c r="AN723" t="n">
        <v>7</v>
      </c>
      <c r="AO723" t="n">
        <v>7</v>
      </c>
      <c r="AP723" t="n">
        <v>0</v>
      </c>
      <c r="AQ723" t="n">
        <v>0</v>
      </c>
      <c r="AR723" t="inlineStr">
        <is>
          <t>No</t>
        </is>
      </c>
      <c r="AS723" t="inlineStr">
        <is>
          <t>Yes</t>
        </is>
      </c>
      <c r="AT723">
        <f>HYPERLINK("http://catalog.hathitrust.org/Record/001555527","HathiTrust Record")</f>
        <v/>
      </c>
      <c r="AU723">
        <f>HYPERLINK("https://creighton-primo.hosted.exlibrisgroup.com/primo-explore/search?tab=default_tab&amp;search_scope=EVERYTHING&amp;vid=01CRU&amp;lang=en_US&amp;offset=0&amp;query=any,contains,991002989639702656","Catalog Record")</f>
        <v/>
      </c>
      <c r="AV723">
        <f>HYPERLINK("http://www.worldcat.org/oclc/559791","WorldCat Record")</f>
        <v/>
      </c>
      <c r="AW723" t="inlineStr">
        <is>
          <t>285944:eng</t>
        </is>
      </c>
      <c r="AX723" t="inlineStr">
        <is>
          <t>559791</t>
        </is>
      </c>
      <c r="AY723" t="inlineStr">
        <is>
          <t>991002989639702656</t>
        </is>
      </c>
      <c r="AZ723" t="inlineStr">
        <is>
          <t>991002989639702656</t>
        </is>
      </c>
      <c r="BA723" t="inlineStr">
        <is>
          <t>2262206850002656</t>
        </is>
      </c>
      <c r="BB723" t="inlineStr">
        <is>
          <t>BOOK</t>
        </is>
      </c>
      <c r="BE723" t="inlineStr">
        <is>
          <t>32285001962470</t>
        </is>
      </c>
      <c r="BF723" t="inlineStr">
        <is>
          <t>893348207</t>
        </is>
      </c>
    </row>
    <row r="724">
      <c r="B724" t="inlineStr">
        <is>
          <t>CURAL</t>
        </is>
      </c>
      <c r="C724" t="inlineStr">
        <is>
          <t>SHELVES</t>
        </is>
      </c>
      <c r="D724" t="inlineStr">
        <is>
          <t>QP601 .D78</t>
        </is>
      </c>
      <c r="E724" t="inlineStr">
        <is>
          <t>0                      QP 0601000D  78</t>
        </is>
      </c>
      <c r="F724" t="inlineStr">
        <is>
          <t>Bioorganic chemistry : a chemical approach to enzyme action / Hermann Dugas and Christopher Penney.</t>
        </is>
      </c>
      <c r="H724" t="inlineStr">
        <is>
          <t>No</t>
        </is>
      </c>
      <c r="I724" t="inlineStr">
        <is>
          <t>1</t>
        </is>
      </c>
      <c r="J724" t="inlineStr">
        <is>
          <t>No</t>
        </is>
      </c>
      <c r="K724" t="inlineStr">
        <is>
          <t>No</t>
        </is>
      </c>
      <c r="L724" t="inlineStr">
        <is>
          <t>0</t>
        </is>
      </c>
      <c r="M724" t="inlineStr">
        <is>
          <t>Dugas, Hermann.</t>
        </is>
      </c>
      <c r="N724" t="inlineStr">
        <is>
          <t>New York : Springer-Verlag, c1981.</t>
        </is>
      </c>
      <c r="O724" t="inlineStr">
        <is>
          <t>1981</t>
        </is>
      </c>
      <c r="Q724" t="inlineStr">
        <is>
          <t>eng</t>
        </is>
      </c>
      <c r="R724" t="inlineStr">
        <is>
          <t>nyu</t>
        </is>
      </c>
      <c r="S724" t="inlineStr">
        <is>
          <t>Springer advanced texts in chemistry</t>
        </is>
      </c>
      <c r="T724" t="inlineStr">
        <is>
          <t xml:space="preserve">QP </t>
        </is>
      </c>
      <c r="U724" t="n">
        <v>11</v>
      </c>
      <c r="V724" t="n">
        <v>11</v>
      </c>
      <c r="W724" t="inlineStr">
        <is>
          <t>1996-01-30</t>
        </is>
      </c>
      <c r="X724" t="inlineStr">
        <is>
          <t>1996-01-30</t>
        </is>
      </c>
      <c r="Y724" t="inlineStr">
        <is>
          <t>1993-03-04</t>
        </is>
      </c>
      <c r="Z724" t="inlineStr">
        <is>
          <t>1993-03-04</t>
        </is>
      </c>
      <c r="AA724" t="n">
        <v>535</v>
      </c>
      <c r="AB724" t="n">
        <v>401</v>
      </c>
      <c r="AC724" t="n">
        <v>710</v>
      </c>
      <c r="AD724" t="n">
        <v>2</v>
      </c>
      <c r="AE724" t="n">
        <v>5</v>
      </c>
      <c r="AF724" t="n">
        <v>13</v>
      </c>
      <c r="AG724" t="n">
        <v>29</v>
      </c>
      <c r="AH724" t="n">
        <v>6</v>
      </c>
      <c r="AI724" t="n">
        <v>12</v>
      </c>
      <c r="AJ724" t="n">
        <v>1</v>
      </c>
      <c r="AK724" t="n">
        <v>6</v>
      </c>
      <c r="AL724" t="n">
        <v>9</v>
      </c>
      <c r="AM724" t="n">
        <v>16</v>
      </c>
      <c r="AN724" t="n">
        <v>1</v>
      </c>
      <c r="AO724" t="n">
        <v>4</v>
      </c>
      <c r="AP724" t="n">
        <v>0</v>
      </c>
      <c r="AQ724" t="n">
        <v>0</v>
      </c>
      <c r="AR724" t="inlineStr">
        <is>
          <t>No</t>
        </is>
      </c>
      <c r="AS724" t="inlineStr">
        <is>
          <t>Yes</t>
        </is>
      </c>
      <c r="AT724">
        <f>HYPERLINK("http://catalog.hathitrust.org/Record/006247712","HathiTrust Record")</f>
        <v/>
      </c>
      <c r="AU724">
        <f>HYPERLINK("https://creighton-primo.hosted.exlibrisgroup.com/primo-explore/search?tab=default_tab&amp;search_scope=EVERYTHING&amp;vid=01CRU&amp;lang=en_US&amp;offset=0&amp;query=any,contains,991004960609702656","Catalog Record")</f>
        <v/>
      </c>
      <c r="AV724">
        <f>HYPERLINK("http://www.worldcat.org/oclc/6304744","WorldCat Record")</f>
        <v/>
      </c>
      <c r="AW724" t="inlineStr">
        <is>
          <t>4776446455:eng</t>
        </is>
      </c>
      <c r="AX724" t="inlineStr">
        <is>
          <t>6304744</t>
        </is>
      </c>
      <c r="AY724" t="inlineStr">
        <is>
          <t>991004960609702656</t>
        </is>
      </c>
      <c r="AZ724" t="inlineStr">
        <is>
          <t>991004960609702656</t>
        </is>
      </c>
      <c r="BA724" t="inlineStr">
        <is>
          <t>2259216750002656</t>
        </is>
      </c>
      <c r="BB724" t="inlineStr">
        <is>
          <t>BOOK</t>
        </is>
      </c>
      <c r="BE724" t="inlineStr">
        <is>
          <t>32285001563195</t>
        </is>
      </c>
      <c r="BF724" t="inlineStr">
        <is>
          <t>893520231</t>
        </is>
      </c>
    </row>
    <row r="725">
      <c r="B725" t="inlineStr">
        <is>
          <t>CURAL</t>
        </is>
      </c>
      <c r="C725" t="inlineStr">
        <is>
          <t>SHELVES</t>
        </is>
      </c>
      <c r="D725" t="inlineStr">
        <is>
          <t>QP601 .E5157 1990</t>
        </is>
      </c>
      <c r="E725" t="inlineStr">
        <is>
          <t>0                      QP 0601000E  5157        1990</t>
        </is>
      </c>
      <c r="F725" t="inlineStr">
        <is>
          <t>Enzyme chemistry : impact and applications / edited by Colin J. Suckling.</t>
        </is>
      </c>
      <c r="H725" t="inlineStr">
        <is>
          <t>No</t>
        </is>
      </c>
      <c r="I725" t="inlineStr">
        <is>
          <t>1</t>
        </is>
      </c>
      <c r="J725" t="inlineStr">
        <is>
          <t>No</t>
        </is>
      </c>
      <c r="K725" t="inlineStr">
        <is>
          <t>No</t>
        </is>
      </c>
      <c r="L725" t="inlineStr">
        <is>
          <t>0</t>
        </is>
      </c>
      <c r="N725" t="inlineStr">
        <is>
          <t>London ; New York : Chapman and Hall, c1990.</t>
        </is>
      </c>
      <c r="O725" t="inlineStr">
        <is>
          <t>1990</t>
        </is>
      </c>
      <c r="P725" t="inlineStr">
        <is>
          <t>2nd ed.</t>
        </is>
      </c>
      <c r="Q725" t="inlineStr">
        <is>
          <t>eng</t>
        </is>
      </c>
      <c r="R725" t="inlineStr">
        <is>
          <t>enk</t>
        </is>
      </c>
      <c r="T725" t="inlineStr">
        <is>
          <t xml:space="preserve">QP </t>
        </is>
      </c>
      <c r="U725" t="n">
        <v>9</v>
      </c>
      <c r="V725" t="n">
        <v>9</v>
      </c>
      <c r="W725" t="inlineStr">
        <is>
          <t>2003-04-02</t>
        </is>
      </c>
      <c r="X725" t="inlineStr">
        <is>
          <t>2003-04-02</t>
        </is>
      </c>
      <c r="Y725" t="inlineStr">
        <is>
          <t>1995-08-14</t>
        </is>
      </c>
      <c r="Z725" t="inlineStr">
        <is>
          <t>1995-08-14</t>
        </is>
      </c>
      <c r="AA725" t="n">
        <v>288</v>
      </c>
      <c r="AB725" t="n">
        <v>181</v>
      </c>
      <c r="AC725" t="n">
        <v>309</v>
      </c>
      <c r="AD725" t="n">
        <v>1</v>
      </c>
      <c r="AE725" t="n">
        <v>2</v>
      </c>
      <c r="AF725" t="n">
        <v>6</v>
      </c>
      <c r="AG725" t="n">
        <v>11</v>
      </c>
      <c r="AH725" t="n">
        <v>3</v>
      </c>
      <c r="AI725" t="n">
        <v>3</v>
      </c>
      <c r="AJ725" t="n">
        <v>3</v>
      </c>
      <c r="AK725" t="n">
        <v>6</v>
      </c>
      <c r="AL725" t="n">
        <v>2</v>
      </c>
      <c r="AM725" t="n">
        <v>5</v>
      </c>
      <c r="AN725" t="n">
        <v>0</v>
      </c>
      <c r="AO725" t="n">
        <v>1</v>
      </c>
      <c r="AP725" t="n">
        <v>0</v>
      </c>
      <c r="AQ725" t="n">
        <v>0</v>
      </c>
      <c r="AR725" t="inlineStr">
        <is>
          <t>No</t>
        </is>
      </c>
      <c r="AS725" t="inlineStr">
        <is>
          <t>No</t>
        </is>
      </c>
      <c r="AU725">
        <f>HYPERLINK("https://creighton-primo.hosted.exlibrisgroup.com/primo-explore/search?tab=default_tab&amp;search_scope=EVERYTHING&amp;vid=01CRU&amp;lang=en_US&amp;offset=0&amp;query=any,contains,991001563149702656","Catalog Record")</f>
        <v/>
      </c>
      <c r="AV725">
        <f>HYPERLINK("http://www.worldcat.org/oclc/20318756","WorldCat Record")</f>
        <v/>
      </c>
      <c r="AW725" t="inlineStr">
        <is>
          <t>352660982:eng</t>
        </is>
      </c>
      <c r="AX725" t="inlineStr">
        <is>
          <t>20318756</t>
        </is>
      </c>
      <c r="AY725" t="inlineStr">
        <is>
          <t>991001563149702656</t>
        </is>
      </c>
      <c r="AZ725" t="inlineStr">
        <is>
          <t>991001563149702656</t>
        </is>
      </c>
      <c r="BA725" t="inlineStr">
        <is>
          <t>2257761950002656</t>
        </is>
      </c>
      <c r="BB725" t="inlineStr">
        <is>
          <t>BOOK</t>
        </is>
      </c>
      <c r="BD725" t="inlineStr">
        <is>
          <t>9780412349706</t>
        </is>
      </c>
      <c r="BE725" t="inlineStr">
        <is>
          <t>32285002077328</t>
        </is>
      </c>
      <c r="BF725" t="inlineStr">
        <is>
          <t>893596547</t>
        </is>
      </c>
    </row>
    <row r="726">
      <c r="B726" t="inlineStr">
        <is>
          <t>CURAL</t>
        </is>
      </c>
      <c r="C726" t="inlineStr">
        <is>
          <t>SHELVES</t>
        </is>
      </c>
      <c r="D726" t="inlineStr">
        <is>
          <t>QP601 .E522</t>
        </is>
      </c>
      <c r="E726" t="inlineStr">
        <is>
          <t>0                      QP 0601000E  522</t>
        </is>
      </c>
      <c r="F726" t="inlineStr">
        <is>
          <t>The Enzymes / edited by Paul D. Boyer, Henry Lardy [and] Karl Myrbäck.</t>
        </is>
      </c>
      <c r="G726" t="inlineStr">
        <is>
          <t>V.6</t>
        </is>
      </c>
      <c r="H726" t="inlineStr">
        <is>
          <t>Yes</t>
        </is>
      </c>
      <c r="I726" t="inlineStr">
        <is>
          <t>1</t>
        </is>
      </c>
      <c r="J726" t="inlineStr">
        <is>
          <t>No</t>
        </is>
      </c>
      <c r="K726" t="inlineStr">
        <is>
          <t>No</t>
        </is>
      </c>
      <c r="L726" t="inlineStr">
        <is>
          <t>0</t>
        </is>
      </c>
      <c r="N726" t="inlineStr">
        <is>
          <t>New York : Academic Press, 1959-63.</t>
        </is>
      </c>
      <c r="O726" t="inlineStr">
        <is>
          <t>1959</t>
        </is>
      </c>
      <c r="P726" t="inlineStr">
        <is>
          <t>2d ed., completely rev.</t>
        </is>
      </c>
      <c r="Q726" t="inlineStr">
        <is>
          <t>eng</t>
        </is>
      </c>
      <c r="R726" t="inlineStr">
        <is>
          <t>nyu</t>
        </is>
      </c>
      <c r="T726" t="inlineStr">
        <is>
          <t xml:space="preserve">QP </t>
        </is>
      </c>
      <c r="U726" t="n">
        <v>0</v>
      </c>
      <c r="V726" t="n">
        <v>7</v>
      </c>
      <c r="X726" t="inlineStr">
        <is>
          <t>2000-03-22</t>
        </is>
      </c>
      <c r="Y726" t="inlineStr">
        <is>
          <t>1994-06-10</t>
        </is>
      </c>
      <c r="Z726" t="inlineStr">
        <is>
          <t>1994-06-10</t>
        </is>
      </c>
      <c r="AA726" t="n">
        <v>527</v>
      </c>
      <c r="AB726" t="n">
        <v>436</v>
      </c>
      <c r="AC726" t="n">
        <v>444</v>
      </c>
      <c r="AD726" t="n">
        <v>4</v>
      </c>
      <c r="AE726" t="n">
        <v>4</v>
      </c>
      <c r="AF726" t="n">
        <v>18</v>
      </c>
      <c r="AG726" t="n">
        <v>18</v>
      </c>
      <c r="AH726" t="n">
        <v>9</v>
      </c>
      <c r="AI726" t="n">
        <v>9</v>
      </c>
      <c r="AJ726" t="n">
        <v>3</v>
      </c>
      <c r="AK726" t="n">
        <v>3</v>
      </c>
      <c r="AL726" t="n">
        <v>9</v>
      </c>
      <c r="AM726" t="n">
        <v>9</v>
      </c>
      <c r="AN726" t="n">
        <v>3</v>
      </c>
      <c r="AO726" t="n">
        <v>3</v>
      </c>
      <c r="AP726" t="n">
        <v>0</v>
      </c>
      <c r="AQ726" t="n">
        <v>0</v>
      </c>
      <c r="AR726" t="inlineStr">
        <is>
          <t>No</t>
        </is>
      </c>
      <c r="AS726" t="inlineStr">
        <is>
          <t>Yes</t>
        </is>
      </c>
      <c r="AT726">
        <f>HYPERLINK("http://catalog.hathitrust.org/Record/001555532","HathiTrust Record")</f>
        <v/>
      </c>
      <c r="AU726">
        <f>HYPERLINK("https://creighton-primo.hosted.exlibrisgroup.com/primo-explore/search?tab=default_tab&amp;search_scope=EVERYTHING&amp;vid=01CRU&amp;lang=en_US&amp;offset=0&amp;query=any,contains,991002990189702656","Catalog Record")</f>
        <v/>
      </c>
      <c r="AV726">
        <f>HYPERLINK("http://www.worldcat.org/oclc/560195","WorldCat Record")</f>
        <v/>
      </c>
      <c r="AW726" t="inlineStr">
        <is>
          <t>10568118565:eng</t>
        </is>
      </c>
      <c r="AX726" t="inlineStr">
        <is>
          <t>560195</t>
        </is>
      </c>
      <c r="AY726" t="inlineStr">
        <is>
          <t>991002990189702656</t>
        </is>
      </c>
      <c r="AZ726" t="inlineStr">
        <is>
          <t>991002990189702656</t>
        </is>
      </c>
      <c r="BA726" t="inlineStr">
        <is>
          <t>2256613680002656</t>
        </is>
      </c>
      <c r="BB726" t="inlineStr">
        <is>
          <t>BOOK</t>
        </is>
      </c>
      <c r="BE726" t="inlineStr">
        <is>
          <t>32285001928760</t>
        </is>
      </c>
      <c r="BF726" t="inlineStr">
        <is>
          <t>893409793</t>
        </is>
      </c>
    </row>
    <row r="727">
      <c r="B727" t="inlineStr">
        <is>
          <t>CURAL</t>
        </is>
      </c>
      <c r="C727" t="inlineStr">
        <is>
          <t>SHELVES</t>
        </is>
      </c>
      <c r="D727" t="inlineStr">
        <is>
          <t>QP601 .E522</t>
        </is>
      </c>
      <c r="E727" t="inlineStr">
        <is>
          <t>0                      QP 0601000E  522</t>
        </is>
      </c>
      <c r="F727" t="inlineStr">
        <is>
          <t>The Enzymes / edited by Paul D. Boyer, Henry Lardy [and] Karl Myrbäck.</t>
        </is>
      </c>
      <c r="G727" t="inlineStr">
        <is>
          <t>V.5</t>
        </is>
      </c>
      <c r="H727" t="inlineStr">
        <is>
          <t>Yes</t>
        </is>
      </c>
      <c r="I727" t="inlineStr">
        <is>
          <t>1</t>
        </is>
      </c>
      <c r="J727" t="inlineStr">
        <is>
          <t>No</t>
        </is>
      </c>
      <c r="K727" t="inlineStr">
        <is>
          <t>No</t>
        </is>
      </c>
      <c r="L727" t="inlineStr">
        <is>
          <t>0</t>
        </is>
      </c>
      <c r="N727" t="inlineStr">
        <is>
          <t>New York : Academic Press, 1959-63.</t>
        </is>
      </c>
      <c r="O727" t="inlineStr">
        <is>
          <t>1959</t>
        </is>
      </c>
      <c r="P727" t="inlineStr">
        <is>
          <t>2d ed., completely rev.</t>
        </is>
      </c>
      <c r="Q727" t="inlineStr">
        <is>
          <t>eng</t>
        </is>
      </c>
      <c r="R727" t="inlineStr">
        <is>
          <t>nyu</t>
        </is>
      </c>
      <c r="T727" t="inlineStr">
        <is>
          <t xml:space="preserve">QP </t>
        </is>
      </c>
      <c r="U727" t="n">
        <v>0</v>
      </c>
      <c r="V727" t="n">
        <v>7</v>
      </c>
      <c r="X727" t="inlineStr">
        <is>
          <t>2000-03-22</t>
        </is>
      </c>
      <c r="Y727" t="inlineStr">
        <is>
          <t>1994-06-10</t>
        </is>
      </c>
      <c r="Z727" t="inlineStr">
        <is>
          <t>1994-06-10</t>
        </is>
      </c>
      <c r="AA727" t="n">
        <v>527</v>
      </c>
      <c r="AB727" t="n">
        <v>436</v>
      </c>
      <c r="AC727" t="n">
        <v>444</v>
      </c>
      <c r="AD727" t="n">
        <v>4</v>
      </c>
      <c r="AE727" t="n">
        <v>4</v>
      </c>
      <c r="AF727" t="n">
        <v>18</v>
      </c>
      <c r="AG727" t="n">
        <v>18</v>
      </c>
      <c r="AH727" t="n">
        <v>9</v>
      </c>
      <c r="AI727" t="n">
        <v>9</v>
      </c>
      <c r="AJ727" t="n">
        <v>3</v>
      </c>
      <c r="AK727" t="n">
        <v>3</v>
      </c>
      <c r="AL727" t="n">
        <v>9</v>
      </c>
      <c r="AM727" t="n">
        <v>9</v>
      </c>
      <c r="AN727" t="n">
        <v>3</v>
      </c>
      <c r="AO727" t="n">
        <v>3</v>
      </c>
      <c r="AP727" t="n">
        <v>0</v>
      </c>
      <c r="AQ727" t="n">
        <v>0</v>
      </c>
      <c r="AR727" t="inlineStr">
        <is>
          <t>No</t>
        </is>
      </c>
      <c r="AS727" t="inlineStr">
        <is>
          <t>Yes</t>
        </is>
      </c>
      <c r="AT727">
        <f>HYPERLINK("http://catalog.hathitrust.org/Record/001555532","HathiTrust Record")</f>
        <v/>
      </c>
      <c r="AU727">
        <f>HYPERLINK("https://creighton-primo.hosted.exlibrisgroup.com/primo-explore/search?tab=default_tab&amp;search_scope=EVERYTHING&amp;vid=01CRU&amp;lang=en_US&amp;offset=0&amp;query=any,contains,991002990189702656","Catalog Record")</f>
        <v/>
      </c>
      <c r="AV727">
        <f>HYPERLINK("http://www.worldcat.org/oclc/560195","WorldCat Record")</f>
        <v/>
      </c>
      <c r="AW727" t="inlineStr">
        <is>
          <t>10568118565:eng</t>
        </is>
      </c>
      <c r="AX727" t="inlineStr">
        <is>
          <t>560195</t>
        </is>
      </c>
      <c r="AY727" t="inlineStr">
        <is>
          <t>991002990189702656</t>
        </is>
      </c>
      <c r="AZ727" t="inlineStr">
        <is>
          <t>991002990189702656</t>
        </is>
      </c>
      <c r="BA727" t="inlineStr">
        <is>
          <t>2256613680002656</t>
        </is>
      </c>
      <c r="BB727" t="inlineStr">
        <is>
          <t>BOOK</t>
        </is>
      </c>
      <c r="BE727" t="inlineStr">
        <is>
          <t>32285001928752</t>
        </is>
      </c>
      <c r="BF727" t="inlineStr">
        <is>
          <t>893445488</t>
        </is>
      </c>
    </row>
    <row r="728">
      <c r="B728" t="inlineStr">
        <is>
          <t>CURAL</t>
        </is>
      </c>
      <c r="C728" t="inlineStr">
        <is>
          <t>SHELVES</t>
        </is>
      </c>
      <c r="D728" t="inlineStr">
        <is>
          <t>QP601 .E522</t>
        </is>
      </c>
      <c r="E728" t="inlineStr">
        <is>
          <t>0                      QP 0601000E  522</t>
        </is>
      </c>
      <c r="F728" t="inlineStr">
        <is>
          <t>The Enzymes / edited by Paul D. Boyer, Henry Lardy [and] Karl Myrbäck.</t>
        </is>
      </c>
      <c r="G728" t="inlineStr">
        <is>
          <t>V.4</t>
        </is>
      </c>
      <c r="H728" t="inlineStr">
        <is>
          <t>Yes</t>
        </is>
      </c>
      <c r="I728" t="inlineStr">
        <is>
          <t>1</t>
        </is>
      </c>
      <c r="J728" t="inlineStr">
        <is>
          <t>No</t>
        </is>
      </c>
      <c r="K728" t="inlineStr">
        <is>
          <t>No</t>
        </is>
      </c>
      <c r="L728" t="inlineStr">
        <is>
          <t>0</t>
        </is>
      </c>
      <c r="N728" t="inlineStr">
        <is>
          <t>New York : Academic Press, 1959-63.</t>
        </is>
      </c>
      <c r="O728" t="inlineStr">
        <is>
          <t>1959</t>
        </is>
      </c>
      <c r="P728" t="inlineStr">
        <is>
          <t>2d ed., completely rev.</t>
        </is>
      </c>
      <c r="Q728" t="inlineStr">
        <is>
          <t>eng</t>
        </is>
      </c>
      <c r="R728" t="inlineStr">
        <is>
          <t>nyu</t>
        </is>
      </c>
      <c r="T728" t="inlineStr">
        <is>
          <t xml:space="preserve">QP </t>
        </is>
      </c>
      <c r="U728" t="n">
        <v>0</v>
      </c>
      <c r="V728" t="n">
        <v>7</v>
      </c>
      <c r="X728" t="inlineStr">
        <is>
          <t>2000-03-22</t>
        </is>
      </c>
      <c r="Y728" t="inlineStr">
        <is>
          <t>1994-06-10</t>
        </is>
      </c>
      <c r="Z728" t="inlineStr">
        <is>
          <t>1994-06-10</t>
        </is>
      </c>
      <c r="AA728" t="n">
        <v>527</v>
      </c>
      <c r="AB728" t="n">
        <v>436</v>
      </c>
      <c r="AC728" t="n">
        <v>444</v>
      </c>
      <c r="AD728" t="n">
        <v>4</v>
      </c>
      <c r="AE728" t="n">
        <v>4</v>
      </c>
      <c r="AF728" t="n">
        <v>18</v>
      </c>
      <c r="AG728" t="n">
        <v>18</v>
      </c>
      <c r="AH728" t="n">
        <v>9</v>
      </c>
      <c r="AI728" t="n">
        <v>9</v>
      </c>
      <c r="AJ728" t="n">
        <v>3</v>
      </c>
      <c r="AK728" t="n">
        <v>3</v>
      </c>
      <c r="AL728" t="n">
        <v>9</v>
      </c>
      <c r="AM728" t="n">
        <v>9</v>
      </c>
      <c r="AN728" t="n">
        <v>3</v>
      </c>
      <c r="AO728" t="n">
        <v>3</v>
      </c>
      <c r="AP728" t="n">
        <v>0</v>
      </c>
      <c r="AQ728" t="n">
        <v>0</v>
      </c>
      <c r="AR728" t="inlineStr">
        <is>
          <t>No</t>
        </is>
      </c>
      <c r="AS728" t="inlineStr">
        <is>
          <t>Yes</t>
        </is>
      </c>
      <c r="AT728">
        <f>HYPERLINK("http://catalog.hathitrust.org/Record/001555532","HathiTrust Record")</f>
        <v/>
      </c>
      <c r="AU728">
        <f>HYPERLINK("https://creighton-primo.hosted.exlibrisgroup.com/primo-explore/search?tab=default_tab&amp;search_scope=EVERYTHING&amp;vid=01CRU&amp;lang=en_US&amp;offset=0&amp;query=any,contains,991002990189702656","Catalog Record")</f>
        <v/>
      </c>
      <c r="AV728">
        <f>HYPERLINK("http://www.worldcat.org/oclc/560195","WorldCat Record")</f>
        <v/>
      </c>
      <c r="AW728" t="inlineStr">
        <is>
          <t>10568118565:eng</t>
        </is>
      </c>
      <c r="AX728" t="inlineStr">
        <is>
          <t>560195</t>
        </is>
      </c>
      <c r="AY728" t="inlineStr">
        <is>
          <t>991002990189702656</t>
        </is>
      </c>
      <c r="AZ728" t="inlineStr">
        <is>
          <t>991002990189702656</t>
        </is>
      </c>
      <c r="BA728" t="inlineStr">
        <is>
          <t>2256613680002656</t>
        </is>
      </c>
      <c r="BB728" t="inlineStr">
        <is>
          <t>BOOK</t>
        </is>
      </c>
      <c r="BE728" t="inlineStr">
        <is>
          <t>32285001928745</t>
        </is>
      </c>
      <c r="BF728" t="inlineStr">
        <is>
          <t>893415892</t>
        </is>
      </c>
    </row>
    <row r="729">
      <c r="B729" t="inlineStr">
        <is>
          <t>CURAL</t>
        </is>
      </c>
      <c r="C729" t="inlineStr">
        <is>
          <t>SHELVES</t>
        </is>
      </c>
      <c r="D729" t="inlineStr">
        <is>
          <t>QP601 .E522</t>
        </is>
      </c>
      <c r="E729" t="inlineStr">
        <is>
          <t>0                      QP 0601000E  522</t>
        </is>
      </c>
      <c r="F729" t="inlineStr">
        <is>
          <t>The Enzymes / edited by Paul D. Boyer, Henry Lardy [and] Karl Myrbäck.</t>
        </is>
      </c>
      <c r="G729" t="inlineStr">
        <is>
          <t>V.3</t>
        </is>
      </c>
      <c r="H729" t="inlineStr">
        <is>
          <t>Yes</t>
        </is>
      </c>
      <c r="I729" t="inlineStr">
        <is>
          <t>1</t>
        </is>
      </c>
      <c r="J729" t="inlineStr">
        <is>
          <t>No</t>
        </is>
      </c>
      <c r="K729" t="inlineStr">
        <is>
          <t>No</t>
        </is>
      </c>
      <c r="L729" t="inlineStr">
        <is>
          <t>0</t>
        </is>
      </c>
      <c r="N729" t="inlineStr">
        <is>
          <t>New York : Academic Press, 1959-63.</t>
        </is>
      </c>
      <c r="O729" t="inlineStr">
        <is>
          <t>1959</t>
        </is>
      </c>
      <c r="P729" t="inlineStr">
        <is>
          <t>2d ed., completely rev.</t>
        </is>
      </c>
      <c r="Q729" t="inlineStr">
        <is>
          <t>eng</t>
        </is>
      </c>
      <c r="R729" t="inlineStr">
        <is>
          <t>nyu</t>
        </is>
      </c>
      <c r="T729" t="inlineStr">
        <is>
          <t xml:space="preserve">QP </t>
        </is>
      </c>
      <c r="U729" t="n">
        <v>0</v>
      </c>
      <c r="V729" t="n">
        <v>7</v>
      </c>
      <c r="X729" t="inlineStr">
        <is>
          <t>2000-03-22</t>
        </is>
      </c>
      <c r="Y729" t="inlineStr">
        <is>
          <t>1994-06-10</t>
        </is>
      </c>
      <c r="Z729" t="inlineStr">
        <is>
          <t>1994-06-10</t>
        </is>
      </c>
      <c r="AA729" t="n">
        <v>527</v>
      </c>
      <c r="AB729" t="n">
        <v>436</v>
      </c>
      <c r="AC729" t="n">
        <v>444</v>
      </c>
      <c r="AD729" t="n">
        <v>4</v>
      </c>
      <c r="AE729" t="n">
        <v>4</v>
      </c>
      <c r="AF729" t="n">
        <v>18</v>
      </c>
      <c r="AG729" t="n">
        <v>18</v>
      </c>
      <c r="AH729" t="n">
        <v>9</v>
      </c>
      <c r="AI729" t="n">
        <v>9</v>
      </c>
      <c r="AJ729" t="n">
        <v>3</v>
      </c>
      <c r="AK729" t="n">
        <v>3</v>
      </c>
      <c r="AL729" t="n">
        <v>9</v>
      </c>
      <c r="AM729" t="n">
        <v>9</v>
      </c>
      <c r="AN729" t="n">
        <v>3</v>
      </c>
      <c r="AO729" t="n">
        <v>3</v>
      </c>
      <c r="AP729" t="n">
        <v>0</v>
      </c>
      <c r="AQ729" t="n">
        <v>0</v>
      </c>
      <c r="AR729" t="inlineStr">
        <is>
          <t>No</t>
        </is>
      </c>
      <c r="AS729" t="inlineStr">
        <is>
          <t>Yes</t>
        </is>
      </c>
      <c r="AT729">
        <f>HYPERLINK("http://catalog.hathitrust.org/Record/001555532","HathiTrust Record")</f>
        <v/>
      </c>
      <c r="AU729">
        <f>HYPERLINK("https://creighton-primo.hosted.exlibrisgroup.com/primo-explore/search?tab=default_tab&amp;search_scope=EVERYTHING&amp;vid=01CRU&amp;lang=en_US&amp;offset=0&amp;query=any,contains,991002990189702656","Catalog Record")</f>
        <v/>
      </c>
      <c r="AV729">
        <f>HYPERLINK("http://www.worldcat.org/oclc/560195","WorldCat Record")</f>
        <v/>
      </c>
      <c r="AW729" t="inlineStr">
        <is>
          <t>10568118565:eng</t>
        </is>
      </c>
      <c r="AX729" t="inlineStr">
        <is>
          <t>560195</t>
        </is>
      </c>
      <c r="AY729" t="inlineStr">
        <is>
          <t>991002990189702656</t>
        </is>
      </c>
      <c r="AZ729" t="inlineStr">
        <is>
          <t>991002990189702656</t>
        </is>
      </c>
      <c r="BA729" t="inlineStr">
        <is>
          <t>2256613680002656</t>
        </is>
      </c>
      <c r="BB729" t="inlineStr">
        <is>
          <t>BOOK</t>
        </is>
      </c>
      <c r="BE729" t="inlineStr">
        <is>
          <t>32285001928737</t>
        </is>
      </c>
      <c r="BF729" t="inlineStr">
        <is>
          <t>893409794</t>
        </is>
      </c>
    </row>
    <row r="730">
      <c r="B730" t="inlineStr">
        <is>
          <t>CURAL</t>
        </is>
      </c>
      <c r="C730" t="inlineStr">
        <is>
          <t>SHELVES</t>
        </is>
      </c>
      <c r="D730" t="inlineStr">
        <is>
          <t>QP601 .E522</t>
        </is>
      </c>
      <c r="E730" t="inlineStr">
        <is>
          <t>0                      QP 0601000E  522</t>
        </is>
      </c>
      <c r="F730" t="inlineStr">
        <is>
          <t>The Enzymes / edited by Paul D. Boyer, Henry Lardy [and] Karl Myrbäck.</t>
        </is>
      </c>
      <c r="G730" t="inlineStr">
        <is>
          <t>V.1</t>
        </is>
      </c>
      <c r="H730" t="inlineStr">
        <is>
          <t>Yes</t>
        </is>
      </c>
      <c r="I730" t="inlineStr">
        <is>
          <t>1</t>
        </is>
      </c>
      <c r="J730" t="inlineStr">
        <is>
          <t>No</t>
        </is>
      </c>
      <c r="K730" t="inlineStr">
        <is>
          <t>No</t>
        </is>
      </c>
      <c r="L730" t="inlineStr">
        <is>
          <t>0</t>
        </is>
      </c>
      <c r="N730" t="inlineStr">
        <is>
          <t>New York : Academic Press, 1959-63.</t>
        </is>
      </c>
      <c r="O730" t="inlineStr">
        <is>
          <t>1959</t>
        </is>
      </c>
      <c r="P730" t="inlineStr">
        <is>
          <t>2d ed., completely rev.</t>
        </is>
      </c>
      <c r="Q730" t="inlineStr">
        <is>
          <t>eng</t>
        </is>
      </c>
      <c r="R730" t="inlineStr">
        <is>
          <t>nyu</t>
        </is>
      </c>
      <c r="T730" t="inlineStr">
        <is>
          <t xml:space="preserve">QP </t>
        </is>
      </c>
      <c r="U730" t="n">
        <v>2</v>
      </c>
      <c r="V730" t="n">
        <v>7</v>
      </c>
      <c r="W730" t="inlineStr">
        <is>
          <t>1994-09-28</t>
        </is>
      </c>
      <c r="X730" t="inlineStr">
        <is>
          <t>2000-03-22</t>
        </is>
      </c>
      <c r="Y730" t="inlineStr">
        <is>
          <t>1994-06-10</t>
        </is>
      </c>
      <c r="Z730" t="inlineStr">
        <is>
          <t>1994-06-10</t>
        </is>
      </c>
      <c r="AA730" t="n">
        <v>527</v>
      </c>
      <c r="AB730" t="n">
        <v>436</v>
      </c>
      <c r="AC730" t="n">
        <v>444</v>
      </c>
      <c r="AD730" t="n">
        <v>4</v>
      </c>
      <c r="AE730" t="n">
        <v>4</v>
      </c>
      <c r="AF730" t="n">
        <v>18</v>
      </c>
      <c r="AG730" t="n">
        <v>18</v>
      </c>
      <c r="AH730" t="n">
        <v>9</v>
      </c>
      <c r="AI730" t="n">
        <v>9</v>
      </c>
      <c r="AJ730" t="n">
        <v>3</v>
      </c>
      <c r="AK730" t="n">
        <v>3</v>
      </c>
      <c r="AL730" t="n">
        <v>9</v>
      </c>
      <c r="AM730" t="n">
        <v>9</v>
      </c>
      <c r="AN730" t="n">
        <v>3</v>
      </c>
      <c r="AO730" t="n">
        <v>3</v>
      </c>
      <c r="AP730" t="n">
        <v>0</v>
      </c>
      <c r="AQ730" t="n">
        <v>0</v>
      </c>
      <c r="AR730" t="inlineStr">
        <is>
          <t>No</t>
        </is>
      </c>
      <c r="AS730" t="inlineStr">
        <is>
          <t>Yes</t>
        </is>
      </c>
      <c r="AT730">
        <f>HYPERLINK("http://catalog.hathitrust.org/Record/001555532","HathiTrust Record")</f>
        <v/>
      </c>
      <c r="AU730">
        <f>HYPERLINK("https://creighton-primo.hosted.exlibrisgroup.com/primo-explore/search?tab=default_tab&amp;search_scope=EVERYTHING&amp;vid=01CRU&amp;lang=en_US&amp;offset=0&amp;query=any,contains,991002990189702656","Catalog Record")</f>
        <v/>
      </c>
      <c r="AV730">
        <f>HYPERLINK("http://www.worldcat.org/oclc/560195","WorldCat Record")</f>
        <v/>
      </c>
      <c r="AW730" t="inlineStr">
        <is>
          <t>10568118565:eng</t>
        </is>
      </c>
      <c r="AX730" t="inlineStr">
        <is>
          <t>560195</t>
        </is>
      </c>
      <c r="AY730" t="inlineStr">
        <is>
          <t>991002990189702656</t>
        </is>
      </c>
      <c r="AZ730" t="inlineStr">
        <is>
          <t>991002990189702656</t>
        </is>
      </c>
      <c r="BA730" t="inlineStr">
        <is>
          <t>2256613680002656</t>
        </is>
      </c>
      <c r="BB730" t="inlineStr">
        <is>
          <t>BOOK</t>
        </is>
      </c>
      <c r="BE730" t="inlineStr">
        <is>
          <t>32285001928711</t>
        </is>
      </c>
      <c r="BF730" t="inlineStr">
        <is>
          <t>893415891</t>
        </is>
      </c>
    </row>
    <row r="731">
      <c r="B731" t="inlineStr">
        <is>
          <t>CURAL</t>
        </is>
      </c>
      <c r="C731" t="inlineStr">
        <is>
          <t>SHELVES</t>
        </is>
      </c>
      <c r="D731" t="inlineStr">
        <is>
          <t>QP601 .E522</t>
        </is>
      </c>
      <c r="E731" t="inlineStr">
        <is>
          <t>0                      QP 0601000E  522</t>
        </is>
      </c>
      <c r="F731" t="inlineStr">
        <is>
          <t>The Enzymes / edited by Paul D. Boyer, Henry Lardy [and] Karl Myrbäck.</t>
        </is>
      </c>
      <c r="G731" t="inlineStr">
        <is>
          <t>V.2</t>
        </is>
      </c>
      <c r="H731" t="inlineStr">
        <is>
          <t>Yes</t>
        </is>
      </c>
      <c r="I731" t="inlineStr">
        <is>
          <t>1</t>
        </is>
      </c>
      <c r="J731" t="inlineStr">
        <is>
          <t>No</t>
        </is>
      </c>
      <c r="K731" t="inlineStr">
        <is>
          <t>No</t>
        </is>
      </c>
      <c r="L731" t="inlineStr">
        <is>
          <t>0</t>
        </is>
      </c>
      <c r="N731" t="inlineStr">
        <is>
          <t>New York : Academic Press, 1959-63.</t>
        </is>
      </c>
      <c r="O731" t="inlineStr">
        <is>
          <t>1959</t>
        </is>
      </c>
      <c r="P731" t="inlineStr">
        <is>
          <t>2d ed., completely rev.</t>
        </is>
      </c>
      <c r="Q731" t="inlineStr">
        <is>
          <t>eng</t>
        </is>
      </c>
      <c r="R731" t="inlineStr">
        <is>
          <t>nyu</t>
        </is>
      </c>
      <c r="T731" t="inlineStr">
        <is>
          <t xml:space="preserve">QP </t>
        </is>
      </c>
      <c r="U731" t="n">
        <v>0</v>
      </c>
      <c r="V731" t="n">
        <v>7</v>
      </c>
      <c r="X731" t="inlineStr">
        <is>
          <t>2000-03-22</t>
        </is>
      </c>
      <c r="Y731" t="inlineStr">
        <is>
          <t>1994-06-10</t>
        </is>
      </c>
      <c r="Z731" t="inlineStr">
        <is>
          <t>1994-06-10</t>
        </is>
      </c>
      <c r="AA731" t="n">
        <v>527</v>
      </c>
      <c r="AB731" t="n">
        <v>436</v>
      </c>
      <c r="AC731" t="n">
        <v>444</v>
      </c>
      <c r="AD731" t="n">
        <v>4</v>
      </c>
      <c r="AE731" t="n">
        <v>4</v>
      </c>
      <c r="AF731" t="n">
        <v>18</v>
      </c>
      <c r="AG731" t="n">
        <v>18</v>
      </c>
      <c r="AH731" t="n">
        <v>9</v>
      </c>
      <c r="AI731" t="n">
        <v>9</v>
      </c>
      <c r="AJ731" t="n">
        <v>3</v>
      </c>
      <c r="AK731" t="n">
        <v>3</v>
      </c>
      <c r="AL731" t="n">
        <v>9</v>
      </c>
      <c r="AM731" t="n">
        <v>9</v>
      </c>
      <c r="AN731" t="n">
        <v>3</v>
      </c>
      <c r="AO731" t="n">
        <v>3</v>
      </c>
      <c r="AP731" t="n">
        <v>0</v>
      </c>
      <c r="AQ731" t="n">
        <v>0</v>
      </c>
      <c r="AR731" t="inlineStr">
        <is>
          <t>No</t>
        </is>
      </c>
      <c r="AS731" t="inlineStr">
        <is>
          <t>Yes</t>
        </is>
      </c>
      <c r="AT731">
        <f>HYPERLINK("http://catalog.hathitrust.org/Record/001555532","HathiTrust Record")</f>
        <v/>
      </c>
      <c r="AU731">
        <f>HYPERLINK("https://creighton-primo.hosted.exlibrisgroup.com/primo-explore/search?tab=default_tab&amp;search_scope=EVERYTHING&amp;vid=01CRU&amp;lang=en_US&amp;offset=0&amp;query=any,contains,991002990189702656","Catalog Record")</f>
        <v/>
      </c>
      <c r="AV731">
        <f>HYPERLINK("http://www.worldcat.org/oclc/560195","WorldCat Record")</f>
        <v/>
      </c>
      <c r="AW731" t="inlineStr">
        <is>
          <t>10568118565:eng</t>
        </is>
      </c>
      <c r="AX731" t="inlineStr">
        <is>
          <t>560195</t>
        </is>
      </c>
      <c r="AY731" t="inlineStr">
        <is>
          <t>991002990189702656</t>
        </is>
      </c>
      <c r="AZ731" t="inlineStr">
        <is>
          <t>991002990189702656</t>
        </is>
      </c>
      <c r="BA731" t="inlineStr">
        <is>
          <t>2256613680002656</t>
        </is>
      </c>
      <c r="BB731" t="inlineStr">
        <is>
          <t>BOOK</t>
        </is>
      </c>
      <c r="BE731" t="inlineStr">
        <is>
          <t>32285001928729</t>
        </is>
      </c>
      <c r="BF731" t="inlineStr">
        <is>
          <t>893415893</t>
        </is>
      </c>
    </row>
    <row r="732">
      <c r="B732" t="inlineStr">
        <is>
          <t>CURAL</t>
        </is>
      </c>
      <c r="C732" t="inlineStr">
        <is>
          <t>SHELVES</t>
        </is>
      </c>
      <c r="D732" t="inlineStr">
        <is>
          <t>QP601 .E522</t>
        </is>
      </c>
      <c r="E732" t="inlineStr">
        <is>
          <t>0                      QP 0601000E  522</t>
        </is>
      </c>
      <c r="F732" t="inlineStr">
        <is>
          <t>The Enzymes / edited by Paul D. Boyer, Henry Lardy [and] Karl Myrbäck.</t>
        </is>
      </c>
      <c r="G732" t="inlineStr">
        <is>
          <t>V.7</t>
        </is>
      </c>
      <c r="H732" t="inlineStr">
        <is>
          <t>Yes</t>
        </is>
      </c>
      <c r="I732" t="inlineStr">
        <is>
          <t>1</t>
        </is>
      </c>
      <c r="J732" t="inlineStr">
        <is>
          <t>No</t>
        </is>
      </c>
      <c r="K732" t="inlineStr">
        <is>
          <t>No</t>
        </is>
      </c>
      <c r="L732" t="inlineStr">
        <is>
          <t>0</t>
        </is>
      </c>
      <c r="N732" t="inlineStr">
        <is>
          <t>New York : Academic Press, 1959-63.</t>
        </is>
      </c>
      <c r="O732" t="inlineStr">
        <is>
          <t>1959</t>
        </is>
      </c>
      <c r="P732" t="inlineStr">
        <is>
          <t>2d ed., completely rev.</t>
        </is>
      </c>
      <c r="Q732" t="inlineStr">
        <is>
          <t>eng</t>
        </is>
      </c>
      <c r="R732" t="inlineStr">
        <is>
          <t>nyu</t>
        </is>
      </c>
      <c r="T732" t="inlineStr">
        <is>
          <t xml:space="preserve">QP </t>
        </is>
      </c>
      <c r="U732" t="n">
        <v>5</v>
      </c>
      <c r="V732" t="n">
        <v>7</v>
      </c>
      <c r="W732" t="inlineStr">
        <is>
          <t>2000-03-22</t>
        </is>
      </c>
      <c r="X732" t="inlineStr">
        <is>
          <t>2000-03-22</t>
        </is>
      </c>
      <c r="Y732" t="inlineStr">
        <is>
          <t>1994-06-10</t>
        </is>
      </c>
      <c r="Z732" t="inlineStr">
        <is>
          <t>1994-06-10</t>
        </is>
      </c>
      <c r="AA732" t="n">
        <v>527</v>
      </c>
      <c r="AB732" t="n">
        <v>436</v>
      </c>
      <c r="AC732" t="n">
        <v>444</v>
      </c>
      <c r="AD732" t="n">
        <v>4</v>
      </c>
      <c r="AE732" t="n">
        <v>4</v>
      </c>
      <c r="AF732" t="n">
        <v>18</v>
      </c>
      <c r="AG732" t="n">
        <v>18</v>
      </c>
      <c r="AH732" t="n">
        <v>9</v>
      </c>
      <c r="AI732" t="n">
        <v>9</v>
      </c>
      <c r="AJ732" t="n">
        <v>3</v>
      </c>
      <c r="AK732" t="n">
        <v>3</v>
      </c>
      <c r="AL732" t="n">
        <v>9</v>
      </c>
      <c r="AM732" t="n">
        <v>9</v>
      </c>
      <c r="AN732" t="n">
        <v>3</v>
      </c>
      <c r="AO732" t="n">
        <v>3</v>
      </c>
      <c r="AP732" t="n">
        <v>0</v>
      </c>
      <c r="AQ732" t="n">
        <v>0</v>
      </c>
      <c r="AR732" t="inlineStr">
        <is>
          <t>No</t>
        </is>
      </c>
      <c r="AS732" t="inlineStr">
        <is>
          <t>Yes</t>
        </is>
      </c>
      <c r="AT732">
        <f>HYPERLINK("http://catalog.hathitrust.org/Record/001555532","HathiTrust Record")</f>
        <v/>
      </c>
      <c r="AU732">
        <f>HYPERLINK("https://creighton-primo.hosted.exlibrisgroup.com/primo-explore/search?tab=default_tab&amp;search_scope=EVERYTHING&amp;vid=01CRU&amp;lang=en_US&amp;offset=0&amp;query=any,contains,991002990189702656","Catalog Record")</f>
        <v/>
      </c>
      <c r="AV732">
        <f>HYPERLINK("http://www.worldcat.org/oclc/560195","WorldCat Record")</f>
        <v/>
      </c>
      <c r="AW732" t="inlineStr">
        <is>
          <t>10568118565:eng</t>
        </is>
      </c>
      <c r="AX732" t="inlineStr">
        <is>
          <t>560195</t>
        </is>
      </c>
      <c r="AY732" t="inlineStr">
        <is>
          <t>991002990189702656</t>
        </is>
      </c>
      <c r="AZ732" t="inlineStr">
        <is>
          <t>991002990189702656</t>
        </is>
      </c>
      <c r="BA732" t="inlineStr">
        <is>
          <t>2256613680002656</t>
        </is>
      </c>
      <c r="BB732" t="inlineStr">
        <is>
          <t>BOOK</t>
        </is>
      </c>
      <c r="BE732" t="inlineStr">
        <is>
          <t>32285001928778</t>
        </is>
      </c>
      <c r="BF732" t="inlineStr">
        <is>
          <t>893415890</t>
        </is>
      </c>
    </row>
    <row r="733">
      <c r="B733" t="inlineStr">
        <is>
          <t>CURAL</t>
        </is>
      </c>
      <c r="C733" t="inlineStr">
        <is>
          <t>SHELVES</t>
        </is>
      </c>
      <c r="D733" t="inlineStr">
        <is>
          <t>QP601 .F35</t>
        </is>
      </c>
      <c r="E733" t="inlineStr">
        <is>
          <t>0                      QP 0601000F  35</t>
        </is>
      </c>
      <c r="F733" t="inlineStr">
        <is>
          <t>Regulation of enzyme activity and allosteric interactions / Symposium organizer: J. P. Changeux. Edited by E. Kvamme and A. Pihl.</t>
        </is>
      </c>
      <c r="H733" t="inlineStr">
        <is>
          <t>No</t>
        </is>
      </c>
      <c r="I733" t="inlineStr">
        <is>
          <t>1</t>
        </is>
      </c>
      <c r="J733" t="inlineStr">
        <is>
          <t>No</t>
        </is>
      </c>
      <c r="K733" t="inlineStr">
        <is>
          <t>No</t>
        </is>
      </c>
      <c r="L733" t="inlineStr">
        <is>
          <t>0</t>
        </is>
      </c>
      <c r="M733" t="inlineStr">
        <is>
          <t>Federation of European Biochemical Societies.</t>
        </is>
      </c>
      <c r="N733" t="inlineStr">
        <is>
          <t>Oslo : Universitetsforlaget ; London ; New York : Academic Press, 1968.</t>
        </is>
      </c>
      <c r="O733" t="inlineStr">
        <is>
          <t>1968</t>
        </is>
      </c>
      <c r="Q733" t="inlineStr">
        <is>
          <t>eng</t>
        </is>
      </c>
      <c r="R733" t="inlineStr">
        <is>
          <t xml:space="preserve">no </t>
        </is>
      </c>
      <c r="S733" t="inlineStr">
        <is>
          <t>Its Proceedings of the 4th Meeting of the Federation of European Biochemical Societies, Oslo, 3-7 July 1967</t>
        </is>
      </c>
      <c r="T733" t="inlineStr">
        <is>
          <t xml:space="preserve">QP </t>
        </is>
      </c>
      <c r="U733" t="n">
        <v>2</v>
      </c>
      <c r="V733" t="n">
        <v>2</v>
      </c>
      <c r="W733" t="inlineStr">
        <is>
          <t>1994-06-28</t>
        </is>
      </c>
      <c r="X733" t="inlineStr">
        <is>
          <t>1994-06-28</t>
        </is>
      </c>
      <c r="Y733" t="inlineStr">
        <is>
          <t>1993-11-23</t>
        </is>
      </c>
      <c r="Z733" t="inlineStr">
        <is>
          <t>1993-11-23</t>
        </is>
      </c>
      <c r="AA733" t="n">
        <v>312</v>
      </c>
      <c r="AB733" t="n">
        <v>234</v>
      </c>
      <c r="AC733" t="n">
        <v>239</v>
      </c>
      <c r="AD733" t="n">
        <v>2</v>
      </c>
      <c r="AE733" t="n">
        <v>2</v>
      </c>
      <c r="AF733" t="n">
        <v>8</v>
      </c>
      <c r="AG733" t="n">
        <v>8</v>
      </c>
      <c r="AH733" t="n">
        <v>3</v>
      </c>
      <c r="AI733" t="n">
        <v>3</v>
      </c>
      <c r="AJ733" t="n">
        <v>3</v>
      </c>
      <c r="AK733" t="n">
        <v>3</v>
      </c>
      <c r="AL733" t="n">
        <v>2</v>
      </c>
      <c r="AM733" t="n">
        <v>2</v>
      </c>
      <c r="AN733" t="n">
        <v>1</v>
      </c>
      <c r="AO733" t="n">
        <v>1</v>
      </c>
      <c r="AP733" t="n">
        <v>1</v>
      </c>
      <c r="AQ733" t="n">
        <v>1</v>
      </c>
      <c r="AR733" t="inlineStr">
        <is>
          <t>No</t>
        </is>
      </c>
      <c r="AS733" t="inlineStr">
        <is>
          <t>Yes</t>
        </is>
      </c>
      <c r="AT733">
        <f>HYPERLINK("http://catalog.hathitrust.org/Record/001555540","HathiTrust Record")</f>
        <v/>
      </c>
      <c r="AU733">
        <f>HYPERLINK("https://creighton-primo.hosted.exlibrisgroup.com/primo-explore/search?tab=default_tab&amp;search_scope=EVERYTHING&amp;vid=01CRU&amp;lang=en_US&amp;offset=0&amp;query=any,contains,991002807209702656","Catalog Record")</f>
        <v/>
      </c>
      <c r="AV733">
        <f>HYPERLINK("http://www.worldcat.org/oclc/449996","WorldCat Record")</f>
        <v/>
      </c>
      <c r="AW733" t="inlineStr">
        <is>
          <t>1590428:eng</t>
        </is>
      </c>
      <c r="AX733" t="inlineStr">
        <is>
          <t>449996</t>
        </is>
      </c>
      <c r="AY733" t="inlineStr">
        <is>
          <t>991002807209702656</t>
        </is>
      </c>
      <c r="AZ733" t="inlineStr">
        <is>
          <t>991002807209702656</t>
        </is>
      </c>
      <c r="BA733" t="inlineStr">
        <is>
          <t>2265376490002656</t>
        </is>
      </c>
      <c r="BB733" t="inlineStr">
        <is>
          <t>BOOK</t>
        </is>
      </c>
      <c r="BE733" t="inlineStr">
        <is>
          <t>32285001688521</t>
        </is>
      </c>
      <c r="BF733" t="inlineStr">
        <is>
          <t>893792941</t>
        </is>
      </c>
    </row>
    <row r="734">
      <c r="B734" t="inlineStr">
        <is>
          <t>CURAL</t>
        </is>
      </c>
      <c r="C734" t="inlineStr">
        <is>
          <t>SHELVES</t>
        </is>
      </c>
      <c r="D734" t="inlineStr">
        <is>
          <t>QP601 .F36 1972</t>
        </is>
      </c>
      <c r="E734" t="inlineStr">
        <is>
          <t>0                      QP 0601000F  36          1972</t>
        </is>
      </c>
      <c r="F734" t="inlineStr">
        <is>
          <t>Enzymes : structure and function / organized by J. Drenth, R. A. Oosterbaan [and] C. Veeger.</t>
        </is>
      </c>
      <c r="H734" t="inlineStr">
        <is>
          <t>No</t>
        </is>
      </c>
      <c r="I734" t="inlineStr">
        <is>
          <t>1</t>
        </is>
      </c>
      <c r="J734" t="inlineStr">
        <is>
          <t>No</t>
        </is>
      </c>
      <c r="K734" t="inlineStr">
        <is>
          <t>No</t>
        </is>
      </c>
      <c r="L734" t="inlineStr">
        <is>
          <t>0</t>
        </is>
      </c>
      <c r="M734" t="inlineStr">
        <is>
          <t>Federation of European Biochemical Societies.</t>
        </is>
      </c>
      <c r="N734" t="inlineStr">
        <is>
          <t>[Amsterdam] : North-Holland ; [New York] : American Elsevier, 1972.</t>
        </is>
      </c>
      <c r="O734" t="inlineStr">
        <is>
          <t>1972</t>
        </is>
      </c>
      <c r="Q734" t="inlineStr">
        <is>
          <t>eng</t>
        </is>
      </c>
      <c r="R734" t="inlineStr">
        <is>
          <t xml:space="preserve">ne </t>
        </is>
      </c>
      <c r="S734" t="inlineStr">
        <is>
          <t>FEBS meeting, v. 29</t>
        </is>
      </c>
      <c r="T734" t="inlineStr">
        <is>
          <t xml:space="preserve">QP </t>
        </is>
      </c>
      <c r="U734" t="n">
        <v>2</v>
      </c>
      <c r="V734" t="n">
        <v>2</v>
      </c>
      <c r="W734" t="inlineStr">
        <is>
          <t>1995-11-05</t>
        </is>
      </c>
      <c r="X734" t="inlineStr">
        <is>
          <t>1995-11-05</t>
        </is>
      </c>
      <c r="Y734" t="inlineStr">
        <is>
          <t>1993-11-23</t>
        </is>
      </c>
      <c r="Z734" t="inlineStr">
        <is>
          <t>1993-11-23</t>
        </is>
      </c>
      <c r="AA734" t="n">
        <v>250</v>
      </c>
      <c r="AB734" t="n">
        <v>181</v>
      </c>
      <c r="AC734" t="n">
        <v>189</v>
      </c>
      <c r="AD734" t="n">
        <v>2</v>
      </c>
      <c r="AE734" t="n">
        <v>2</v>
      </c>
      <c r="AF734" t="n">
        <v>3</v>
      </c>
      <c r="AG734" t="n">
        <v>3</v>
      </c>
      <c r="AH734" t="n">
        <v>0</v>
      </c>
      <c r="AI734" t="n">
        <v>0</v>
      </c>
      <c r="AJ734" t="n">
        <v>1</v>
      </c>
      <c r="AK734" t="n">
        <v>1</v>
      </c>
      <c r="AL734" t="n">
        <v>1</v>
      </c>
      <c r="AM734" t="n">
        <v>1</v>
      </c>
      <c r="AN734" t="n">
        <v>1</v>
      </c>
      <c r="AO734" t="n">
        <v>1</v>
      </c>
      <c r="AP734" t="n">
        <v>0</v>
      </c>
      <c r="AQ734" t="n">
        <v>0</v>
      </c>
      <c r="AR734" t="inlineStr">
        <is>
          <t>No</t>
        </is>
      </c>
      <c r="AS734" t="inlineStr">
        <is>
          <t>Yes</t>
        </is>
      </c>
      <c r="AT734">
        <f>HYPERLINK("http://catalog.hathitrust.org/Record/001555537","HathiTrust Record")</f>
        <v/>
      </c>
      <c r="AU734">
        <f>HYPERLINK("https://creighton-primo.hosted.exlibrisgroup.com/primo-explore/search?tab=default_tab&amp;search_scope=EVERYTHING&amp;vid=01CRU&amp;lang=en_US&amp;offset=0&amp;query=any,contains,991003122909702656","Catalog Record")</f>
        <v/>
      </c>
      <c r="AV734">
        <f>HYPERLINK("http://www.worldcat.org/oclc/668196","WorldCat Record")</f>
        <v/>
      </c>
      <c r="AW734" t="inlineStr">
        <is>
          <t>1687241:eng</t>
        </is>
      </c>
      <c r="AX734" t="inlineStr">
        <is>
          <t>668196</t>
        </is>
      </c>
      <c r="AY734" t="inlineStr">
        <is>
          <t>991003122909702656</t>
        </is>
      </c>
      <c r="AZ734" t="inlineStr">
        <is>
          <t>991003122909702656</t>
        </is>
      </c>
      <c r="BA734" t="inlineStr">
        <is>
          <t>2254789240002656</t>
        </is>
      </c>
      <c r="BB734" t="inlineStr">
        <is>
          <t>BOOK</t>
        </is>
      </c>
      <c r="BD734" t="inlineStr">
        <is>
          <t>9780444104243</t>
        </is>
      </c>
      <c r="BE734" t="inlineStr">
        <is>
          <t>32285001688513</t>
        </is>
      </c>
      <c r="BF734" t="inlineStr">
        <is>
          <t>893348358</t>
        </is>
      </c>
    </row>
    <row r="735">
      <c r="B735" t="inlineStr">
        <is>
          <t>CURAL</t>
        </is>
      </c>
      <c r="C735" t="inlineStr">
        <is>
          <t>SHELVES</t>
        </is>
      </c>
      <c r="D735" t="inlineStr">
        <is>
          <t>QP601 .F42 1985</t>
        </is>
      </c>
      <c r="E735" t="inlineStr">
        <is>
          <t>0                      QP 0601000F  42          1985</t>
        </is>
      </c>
      <c r="F735" t="inlineStr">
        <is>
          <t>Enzyme structure and mechanism / Alan Fersht.</t>
        </is>
      </c>
      <c r="H735" t="inlineStr">
        <is>
          <t>No</t>
        </is>
      </c>
      <c r="I735" t="inlineStr">
        <is>
          <t>1</t>
        </is>
      </c>
      <c r="J735" t="inlineStr">
        <is>
          <t>Yes</t>
        </is>
      </c>
      <c r="K735" t="inlineStr">
        <is>
          <t>No</t>
        </is>
      </c>
      <c r="L735" t="inlineStr">
        <is>
          <t>0</t>
        </is>
      </c>
      <c r="M735" t="inlineStr">
        <is>
          <t>Fersht, Alan, 1943-</t>
        </is>
      </c>
      <c r="N735" t="inlineStr">
        <is>
          <t>New York : W.H. Freeman, c1985.</t>
        </is>
      </c>
      <c r="O735" t="inlineStr">
        <is>
          <t>1985</t>
        </is>
      </c>
      <c r="P735" t="inlineStr">
        <is>
          <t>2nd ed.</t>
        </is>
      </c>
      <c r="Q735" t="inlineStr">
        <is>
          <t>eng</t>
        </is>
      </c>
      <c r="R735" t="inlineStr">
        <is>
          <t>nyu</t>
        </is>
      </c>
      <c r="T735" t="inlineStr">
        <is>
          <t xml:space="preserve">QP </t>
        </is>
      </c>
      <c r="U735" t="n">
        <v>15</v>
      </c>
      <c r="V735" t="n">
        <v>15</v>
      </c>
      <c r="W735" t="inlineStr">
        <is>
          <t>2000-03-22</t>
        </is>
      </c>
      <c r="X735" t="inlineStr">
        <is>
          <t>2000-03-22</t>
        </is>
      </c>
      <c r="Y735" t="inlineStr">
        <is>
          <t>1991-12-23</t>
        </is>
      </c>
      <c r="Z735" t="inlineStr">
        <is>
          <t>1991-12-23</t>
        </is>
      </c>
      <c r="AA735" t="n">
        <v>730</v>
      </c>
      <c r="AB735" t="n">
        <v>518</v>
      </c>
      <c r="AC735" t="n">
        <v>823</v>
      </c>
      <c r="AD735" t="n">
        <v>3</v>
      </c>
      <c r="AE735" t="n">
        <v>7</v>
      </c>
      <c r="AF735" t="n">
        <v>20</v>
      </c>
      <c r="AG735" t="n">
        <v>36</v>
      </c>
      <c r="AH735" t="n">
        <v>7</v>
      </c>
      <c r="AI735" t="n">
        <v>14</v>
      </c>
      <c r="AJ735" t="n">
        <v>4</v>
      </c>
      <c r="AK735" t="n">
        <v>8</v>
      </c>
      <c r="AL735" t="n">
        <v>12</v>
      </c>
      <c r="AM735" t="n">
        <v>20</v>
      </c>
      <c r="AN735" t="n">
        <v>1</v>
      </c>
      <c r="AO735" t="n">
        <v>5</v>
      </c>
      <c r="AP735" t="n">
        <v>0</v>
      </c>
      <c r="AQ735" t="n">
        <v>0</v>
      </c>
      <c r="AR735" t="inlineStr">
        <is>
          <t>No</t>
        </is>
      </c>
      <c r="AS735" t="inlineStr">
        <is>
          <t>No</t>
        </is>
      </c>
      <c r="AU735">
        <f>HYPERLINK("https://creighton-primo.hosted.exlibrisgroup.com/primo-explore/search?tab=default_tab&amp;search_scope=EVERYTHING&amp;vid=01CRU&amp;lang=en_US&amp;offset=0&amp;query=any,contains,991000382589702656","Catalog Record")</f>
        <v/>
      </c>
      <c r="AV735">
        <f>HYPERLINK("http://www.worldcat.org/oclc/10505784","WorldCat Record")</f>
        <v/>
      </c>
      <c r="AW735" t="inlineStr">
        <is>
          <t>2876355:eng</t>
        </is>
      </c>
      <c r="AX735" t="inlineStr">
        <is>
          <t>10505784</t>
        </is>
      </c>
      <c r="AY735" t="inlineStr">
        <is>
          <t>991000382589702656</t>
        </is>
      </c>
      <c r="AZ735" t="inlineStr">
        <is>
          <t>991000382589702656</t>
        </is>
      </c>
      <c r="BA735" t="inlineStr">
        <is>
          <t>2256012290002656</t>
        </is>
      </c>
      <c r="BB735" t="inlineStr">
        <is>
          <t>BOOK</t>
        </is>
      </c>
      <c r="BD735" t="inlineStr">
        <is>
          <t>9780716716150</t>
        </is>
      </c>
      <c r="BE735" t="inlineStr">
        <is>
          <t>32285000874973</t>
        </is>
      </c>
      <c r="BF735" t="inlineStr">
        <is>
          <t>893502429</t>
        </is>
      </c>
    </row>
    <row r="736">
      <c r="B736" t="inlineStr">
        <is>
          <t>CURAL</t>
        </is>
      </c>
      <c r="C736" t="inlineStr">
        <is>
          <t>SHELVES</t>
        </is>
      </c>
      <c r="D736" t="inlineStr">
        <is>
          <t>QP601 .H49 1979</t>
        </is>
      </c>
      <c r="E736" t="inlineStr">
        <is>
          <t>0                      QP 0601000H  49          1979</t>
        </is>
      </c>
      <c r="F736" t="inlineStr">
        <is>
          <t>Kinetics of fast enzyme reactions : theory and practice / Keitaro Hiromi.</t>
        </is>
      </c>
      <c r="H736" t="inlineStr">
        <is>
          <t>No</t>
        </is>
      </c>
      <c r="I736" t="inlineStr">
        <is>
          <t>1</t>
        </is>
      </c>
      <c r="J736" t="inlineStr">
        <is>
          <t>No</t>
        </is>
      </c>
      <c r="K736" t="inlineStr">
        <is>
          <t>No</t>
        </is>
      </c>
      <c r="L736" t="inlineStr">
        <is>
          <t>0</t>
        </is>
      </c>
      <c r="M736" t="inlineStr">
        <is>
          <t>Hiromi, Keitarō, 1926-</t>
        </is>
      </c>
      <c r="N736" t="inlineStr">
        <is>
          <t>Tokyo : Kodansha Ltd. ; New York : Wiley, c1979.</t>
        </is>
      </c>
      <c r="O736" t="inlineStr">
        <is>
          <t>1979</t>
        </is>
      </c>
      <c r="Q736" t="inlineStr">
        <is>
          <t>eng</t>
        </is>
      </c>
      <c r="R736" t="inlineStr">
        <is>
          <t xml:space="preserve">ja </t>
        </is>
      </c>
      <c r="T736" t="inlineStr">
        <is>
          <t xml:space="preserve">QP </t>
        </is>
      </c>
      <c r="U736" t="n">
        <v>4</v>
      </c>
      <c r="V736" t="n">
        <v>4</v>
      </c>
      <c r="W736" t="inlineStr">
        <is>
          <t>1995-03-23</t>
        </is>
      </c>
      <c r="X736" t="inlineStr">
        <is>
          <t>1995-03-23</t>
        </is>
      </c>
      <c r="Y736" t="inlineStr">
        <is>
          <t>1993-03-04</t>
        </is>
      </c>
      <c r="Z736" t="inlineStr">
        <is>
          <t>1993-03-04</t>
        </is>
      </c>
      <c r="AA736" t="n">
        <v>286</v>
      </c>
      <c r="AB736" t="n">
        <v>201</v>
      </c>
      <c r="AC736" t="n">
        <v>203</v>
      </c>
      <c r="AD736" t="n">
        <v>2</v>
      </c>
      <c r="AE736" t="n">
        <v>2</v>
      </c>
      <c r="AF736" t="n">
        <v>4</v>
      </c>
      <c r="AG736" t="n">
        <v>4</v>
      </c>
      <c r="AH736" t="n">
        <v>1</v>
      </c>
      <c r="AI736" t="n">
        <v>1</v>
      </c>
      <c r="AJ736" t="n">
        <v>2</v>
      </c>
      <c r="AK736" t="n">
        <v>2</v>
      </c>
      <c r="AL736" t="n">
        <v>1</v>
      </c>
      <c r="AM736" t="n">
        <v>1</v>
      </c>
      <c r="AN736" t="n">
        <v>1</v>
      </c>
      <c r="AO736" t="n">
        <v>1</v>
      </c>
      <c r="AP736" t="n">
        <v>0</v>
      </c>
      <c r="AQ736" t="n">
        <v>0</v>
      </c>
      <c r="AR736" t="inlineStr">
        <is>
          <t>No</t>
        </is>
      </c>
      <c r="AS736" t="inlineStr">
        <is>
          <t>Yes</t>
        </is>
      </c>
      <c r="AT736">
        <f>HYPERLINK("http://catalog.hathitrust.org/Record/000692166","HathiTrust Record")</f>
        <v/>
      </c>
      <c r="AU736">
        <f>HYPERLINK("https://creighton-primo.hosted.exlibrisgroup.com/primo-explore/search?tab=default_tab&amp;search_scope=EVERYTHING&amp;vid=01CRU&amp;lang=en_US&amp;offset=0&amp;query=any,contains,991004816649702656","Catalog Record")</f>
        <v/>
      </c>
      <c r="AV736">
        <f>HYPERLINK("http://www.worldcat.org/oclc/5310683","WorldCat Record")</f>
        <v/>
      </c>
      <c r="AW736" t="inlineStr">
        <is>
          <t>17287358:eng</t>
        </is>
      </c>
      <c r="AX736" t="inlineStr">
        <is>
          <t>5310683</t>
        </is>
      </c>
      <c r="AY736" t="inlineStr">
        <is>
          <t>991004816649702656</t>
        </is>
      </c>
      <c r="AZ736" t="inlineStr">
        <is>
          <t>991004816649702656</t>
        </is>
      </c>
      <c r="BA736" t="inlineStr">
        <is>
          <t>2264437870002656</t>
        </is>
      </c>
      <c r="BB736" t="inlineStr">
        <is>
          <t>BOOK</t>
        </is>
      </c>
      <c r="BD736" t="inlineStr">
        <is>
          <t>9780470268667</t>
        </is>
      </c>
      <c r="BE736" t="inlineStr">
        <is>
          <t>32285001563211</t>
        </is>
      </c>
      <c r="BF736" t="inlineStr">
        <is>
          <t>893870144</t>
        </is>
      </c>
    </row>
    <row r="737">
      <c r="B737" t="inlineStr">
        <is>
          <t>CURAL</t>
        </is>
      </c>
      <c r="C737" t="inlineStr">
        <is>
          <t>SHELVES</t>
        </is>
      </c>
      <c r="D737" t="inlineStr">
        <is>
          <t>QP601 .I55 1964</t>
        </is>
      </c>
      <c r="E737" t="inlineStr">
        <is>
          <t>0                      QP 0601000I  55          1964</t>
        </is>
      </c>
      <c r="F737" t="inlineStr">
        <is>
          <t>Enzyme nomenclature : recommendations, 1964, of the International Union of Biochemistry on the nomenclature and classification of enzymes, together with their units and the symbols of enzyme kinetics.</t>
        </is>
      </c>
      <c r="H737" t="inlineStr">
        <is>
          <t>No</t>
        </is>
      </c>
      <c r="I737" t="inlineStr">
        <is>
          <t>1</t>
        </is>
      </c>
      <c r="J737" t="inlineStr">
        <is>
          <t>No</t>
        </is>
      </c>
      <c r="K737" t="inlineStr">
        <is>
          <t>No</t>
        </is>
      </c>
      <c r="L737" t="inlineStr">
        <is>
          <t>0</t>
        </is>
      </c>
      <c r="M737" t="inlineStr">
        <is>
          <t>International Union of Biochemistry. Standing Committee on Enzymes.</t>
        </is>
      </c>
      <c r="N737" t="inlineStr">
        <is>
          <t>Amsterdam ; New York : Elsevier Pub. Co., 1965.</t>
        </is>
      </c>
      <c r="O737" t="inlineStr">
        <is>
          <t>1965</t>
        </is>
      </c>
      <c r="Q737" t="inlineStr">
        <is>
          <t>eng</t>
        </is>
      </c>
      <c r="R737" t="inlineStr">
        <is>
          <t xml:space="preserve">ne </t>
        </is>
      </c>
      <c r="T737" t="inlineStr">
        <is>
          <t xml:space="preserve">QP </t>
        </is>
      </c>
      <c r="U737" t="n">
        <v>2</v>
      </c>
      <c r="V737" t="n">
        <v>2</v>
      </c>
      <c r="W737" t="inlineStr">
        <is>
          <t>1995-08-02</t>
        </is>
      </c>
      <c r="X737" t="inlineStr">
        <is>
          <t>1995-08-02</t>
        </is>
      </c>
      <c r="Y737" t="inlineStr">
        <is>
          <t>1994-06-10</t>
        </is>
      </c>
      <c r="Z737" t="inlineStr">
        <is>
          <t>1994-06-10</t>
        </is>
      </c>
      <c r="AA737" t="n">
        <v>229</v>
      </c>
      <c r="AB737" t="n">
        <v>187</v>
      </c>
      <c r="AC737" t="n">
        <v>190</v>
      </c>
      <c r="AD737" t="n">
        <v>2</v>
      </c>
      <c r="AE737" t="n">
        <v>2</v>
      </c>
      <c r="AF737" t="n">
        <v>4</v>
      </c>
      <c r="AG737" t="n">
        <v>4</v>
      </c>
      <c r="AH737" t="n">
        <v>0</v>
      </c>
      <c r="AI737" t="n">
        <v>0</v>
      </c>
      <c r="AJ737" t="n">
        <v>1</v>
      </c>
      <c r="AK737" t="n">
        <v>1</v>
      </c>
      <c r="AL737" t="n">
        <v>3</v>
      </c>
      <c r="AM737" t="n">
        <v>3</v>
      </c>
      <c r="AN737" t="n">
        <v>1</v>
      </c>
      <c r="AO737" t="n">
        <v>1</v>
      </c>
      <c r="AP737" t="n">
        <v>0</v>
      </c>
      <c r="AQ737" t="n">
        <v>0</v>
      </c>
      <c r="AR737" t="inlineStr">
        <is>
          <t>No</t>
        </is>
      </c>
      <c r="AS737" t="inlineStr">
        <is>
          <t>Yes</t>
        </is>
      </c>
      <c r="AT737">
        <f>HYPERLINK("http://catalog.hathitrust.org/Record/001555554","HathiTrust Record")</f>
        <v/>
      </c>
      <c r="AU737">
        <f>HYPERLINK("https://creighton-primo.hosted.exlibrisgroup.com/primo-explore/search?tab=default_tab&amp;search_scope=EVERYTHING&amp;vid=01CRU&amp;lang=en_US&amp;offset=0&amp;query=any,contains,991001633179702656","Catalog Record")</f>
        <v/>
      </c>
      <c r="AV737">
        <f>HYPERLINK("http://www.worldcat.org/oclc/233672","WorldCat Record")</f>
        <v/>
      </c>
      <c r="AW737" t="inlineStr">
        <is>
          <t>9349953582:eng</t>
        </is>
      </c>
      <c r="AX737" t="inlineStr">
        <is>
          <t>233672</t>
        </is>
      </c>
      <c r="AY737" t="inlineStr">
        <is>
          <t>991001633179702656</t>
        </is>
      </c>
      <c r="AZ737" t="inlineStr">
        <is>
          <t>991001633179702656</t>
        </is>
      </c>
      <c r="BA737" t="inlineStr">
        <is>
          <t>2259222090002656</t>
        </is>
      </c>
      <c r="BB737" t="inlineStr">
        <is>
          <t>BOOK</t>
        </is>
      </c>
      <c r="BE737" t="inlineStr">
        <is>
          <t>32285001928653</t>
        </is>
      </c>
      <c r="BF737" t="inlineStr">
        <is>
          <t>893809116</t>
        </is>
      </c>
    </row>
    <row r="738">
      <c r="B738" t="inlineStr">
        <is>
          <t>CURAL</t>
        </is>
      </c>
      <c r="C738" t="inlineStr">
        <is>
          <t>SHELVES</t>
        </is>
      </c>
      <c r="D738" t="inlineStr">
        <is>
          <t>QP601 .L6</t>
        </is>
      </c>
      <c r="E738" t="inlineStr">
        <is>
          <t>0                      QP 0601000L  6</t>
        </is>
      </c>
      <c r="F738" t="inlineStr">
        <is>
          <t>Enzymes, the agents of life / by David M. Locke.</t>
        </is>
      </c>
      <c r="H738" t="inlineStr">
        <is>
          <t>No</t>
        </is>
      </c>
      <c r="I738" t="inlineStr">
        <is>
          <t>1</t>
        </is>
      </c>
      <c r="J738" t="inlineStr">
        <is>
          <t>No</t>
        </is>
      </c>
      <c r="K738" t="inlineStr">
        <is>
          <t>No</t>
        </is>
      </c>
      <c r="L738" t="inlineStr">
        <is>
          <t>0</t>
        </is>
      </c>
      <c r="M738" t="inlineStr">
        <is>
          <t>Locke, David M. (David Millard), 1929-</t>
        </is>
      </c>
      <c r="N738" t="inlineStr">
        <is>
          <t>New York : Crown Publishers, [1969]</t>
        </is>
      </c>
      <c r="O738" t="inlineStr">
        <is>
          <t>1969</t>
        </is>
      </c>
      <c r="Q738" t="inlineStr">
        <is>
          <t>eng</t>
        </is>
      </c>
      <c r="R738" t="inlineStr">
        <is>
          <t>nyu</t>
        </is>
      </c>
      <c r="T738" t="inlineStr">
        <is>
          <t xml:space="preserve">QP </t>
        </is>
      </c>
      <c r="U738" t="n">
        <v>8</v>
      </c>
      <c r="V738" t="n">
        <v>8</v>
      </c>
      <c r="W738" t="inlineStr">
        <is>
          <t>1999-03-16</t>
        </is>
      </c>
      <c r="X738" t="inlineStr">
        <is>
          <t>1999-03-16</t>
        </is>
      </c>
      <c r="Y738" t="inlineStr">
        <is>
          <t>1991-10-16</t>
        </is>
      </c>
      <c r="Z738" t="inlineStr">
        <is>
          <t>1991-10-16</t>
        </is>
      </c>
      <c r="AA738" t="n">
        <v>593</v>
      </c>
      <c r="AB738" t="n">
        <v>552</v>
      </c>
      <c r="AC738" t="n">
        <v>559</v>
      </c>
      <c r="AD738" t="n">
        <v>4</v>
      </c>
      <c r="AE738" t="n">
        <v>4</v>
      </c>
      <c r="AF738" t="n">
        <v>10</v>
      </c>
      <c r="AG738" t="n">
        <v>10</v>
      </c>
      <c r="AH738" t="n">
        <v>4</v>
      </c>
      <c r="AI738" t="n">
        <v>4</v>
      </c>
      <c r="AJ738" t="n">
        <v>2</v>
      </c>
      <c r="AK738" t="n">
        <v>2</v>
      </c>
      <c r="AL738" t="n">
        <v>5</v>
      </c>
      <c r="AM738" t="n">
        <v>5</v>
      </c>
      <c r="AN738" t="n">
        <v>2</v>
      </c>
      <c r="AO738" t="n">
        <v>2</v>
      </c>
      <c r="AP738" t="n">
        <v>0</v>
      </c>
      <c r="AQ738" t="n">
        <v>0</v>
      </c>
      <c r="AR738" t="inlineStr">
        <is>
          <t>No</t>
        </is>
      </c>
      <c r="AS738" t="inlineStr">
        <is>
          <t>Yes</t>
        </is>
      </c>
      <c r="AT738">
        <f>HYPERLINK("http://catalog.hathitrust.org/Record/001555565","HathiTrust Record")</f>
        <v/>
      </c>
      <c r="AU738">
        <f>HYPERLINK("https://creighton-primo.hosted.exlibrisgroup.com/primo-explore/search?tab=default_tab&amp;search_scope=EVERYTHING&amp;vid=01CRU&amp;lang=en_US&amp;offset=0&amp;query=any,contains,991002991819702656","Catalog Record")</f>
        <v/>
      </c>
      <c r="AV738">
        <f>HYPERLINK("http://www.worldcat.org/oclc/561126","WorldCat Record")</f>
        <v/>
      </c>
      <c r="AW738" t="inlineStr">
        <is>
          <t>1636070:eng</t>
        </is>
      </c>
      <c r="AX738" t="inlineStr">
        <is>
          <t>561126</t>
        </is>
      </c>
      <c r="AY738" t="inlineStr">
        <is>
          <t>991002991819702656</t>
        </is>
      </c>
      <c r="AZ738" t="inlineStr">
        <is>
          <t>991002991819702656</t>
        </is>
      </c>
      <c r="BA738" t="inlineStr">
        <is>
          <t>2255397990002656</t>
        </is>
      </c>
      <c r="BB738" t="inlineStr">
        <is>
          <t>BOOK</t>
        </is>
      </c>
      <c r="BE738" t="inlineStr">
        <is>
          <t>32285000773720</t>
        </is>
      </c>
      <c r="BF738" t="inlineStr">
        <is>
          <t>893698549</t>
        </is>
      </c>
    </row>
    <row r="739">
      <c r="B739" t="inlineStr">
        <is>
          <t>CURAL</t>
        </is>
      </c>
      <c r="C739" t="inlineStr">
        <is>
          <t>SHELVES</t>
        </is>
      </c>
      <c r="D739" t="inlineStr">
        <is>
          <t>QP601 .M314 1994</t>
        </is>
      </c>
      <c r="E739" t="inlineStr">
        <is>
          <t>0                      QP 0601000M  314         1994</t>
        </is>
      </c>
      <c r="F739" t="inlineStr">
        <is>
          <t>Handbook of detection of enzymes on electrophoretic gels / Gennady P. Manchenko.</t>
        </is>
      </c>
      <c r="H739" t="inlineStr">
        <is>
          <t>No</t>
        </is>
      </c>
      <c r="I739" t="inlineStr">
        <is>
          <t>1</t>
        </is>
      </c>
      <c r="J739" t="inlineStr">
        <is>
          <t>No</t>
        </is>
      </c>
      <c r="K739" t="inlineStr">
        <is>
          <t>No</t>
        </is>
      </c>
      <c r="L739" t="inlineStr">
        <is>
          <t>0</t>
        </is>
      </c>
      <c r="M739" t="inlineStr">
        <is>
          <t>Manchenko, Gennady P.</t>
        </is>
      </c>
      <c r="N739" t="inlineStr">
        <is>
          <t>Boca Raton, Fla. : CRC Press, c1994.</t>
        </is>
      </c>
      <c r="O739" t="inlineStr">
        <is>
          <t>1994</t>
        </is>
      </c>
      <c r="Q739" t="inlineStr">
        <is>
          <t>eng</t>
        </is>
      </c>
      <c r="R739" t="inlineStr">
        <is>
          <t>flu</t>
        </is>
      </c>
      <c r="T739" t="inlineStr">
        <is>
          <t xml:space="preserve">QP </t>
        </is>
      </c>
      <c r="U739" t="n">
        <v>3</v>
      </c>
      <c r="V739" t="n">
        <v>3</v>
      </c>
      <c r="W739" t="inlineStr">
        <is>
          <t>2003-03-07</t>
        </is>
      </c>
      <c r="X739" t="inlineStr">
        <is>
          <t>2003-03-07</t>
        </is>
      </c>
      <c r="Y739" t="inlineStr">
        <is>
          <t>1995-06-19</t>
        </is>
      </c>
      <c r="Z739" t="inlineStr">
        <is>
          <t>1995-06-19</t>
        </is>
      </c>
      <c r="AA739" t="n">
        <v>286</v>
      </c>
      <c r="AB739" t="n">
        <v>216</v>
      </c>
      <c r="AC739" t="n">
        <v>297</v>
      </c>
      <c r="AD739" t="n">
        <v>3</v>
      </c>
      <c r="AE739" t="n">
        <v>3</v>
      </c>
      <c r="AF739" t="n">
        <v>7</v>
      </c>
      <c r="AG739" t="n">
        <v>10</v>
      </c>
      <c r="AH739" t="n">
        <v>1</v>
      </c>
      <c r="AI739" t="n">
        <v>2</v>
      </c>
      <c r="AJ739" t="n">
        <v>2</v>
      </c>
      <c r="AK739" t="n">
        <v>3</v>
      </c>
      <c r="AL739" t="n">
        <v>3</v>
      </c>
      <c r="AM739" t="n">
        <v>6</v>
      </c>
      <c r="AN739" t="n">
        <v>2</v>
      </c>
      <c r="AO739" t="n">
        <v>2</v>
      </c>
      <c r="AP739" t="n">
        <v>0</v>
      </c>
      <c r="AQ739" t="n">
        <v>0</v>
      </c>
      <c r="AR739" t="inlineStr">
        <is>
          <t>No</t>
        </is>
      </c>
      <c r="AS739" t="inlineStr">
        <is>
          <t>No</t>
        </is>
      </c>
      <c r="AU739">
        <f>HYPERLINK("https://creighton-primo.hosted.exlibrisgroup.com/primo-explore/search?tab=default_tab&amp;search_scope=EVERYTHING&amp;vid=01CRU&amp;lang=en_US&amp;offset=0&amp;query=any,contains,991002324569702656","Catalog Record")</f>
        <v/>
      </c>
      <c r="AV739">
        <f>HYPERLINK("http://www.worldcat.org/oclc/30155176","WorldCat Record")</f>
        <v/>
      </c>
      <c r="AW739" t="inlineStr">
        <is>
          <t>927803:eng</t>
        </is>
      </c>
      <c r="AX739" t="inlineStr">
        <is>
          <t>30155176</t>
        </is>
      </c>
      <c r="AY739" t="inlineStr">
        <is>
          <t>991002324569702656</t>
        </is>
      </c>
      <c r="AZ739" t="inlineStr">
        <is>
          <t>991002324569702656</t>
        </is>
      </c>
      <c r="BA739" t="inlineStr">
        <is>
          <t>2262947420002656</t>
        </is>
      </c>
      <c r="BB739" t="inlineStr">
        <is>
          <t>BOOK</t>
        </is>
      </c>
      <c r="BD739" t="inlineStr">
        <is>
          <t>9780849389351</t>
        </is>
      </c>
      <c r="BE739" t="inlineStr">
        <is>
          <t>32285002051828</t>
        </is>
      </c>
      <c r="BF739" t="inlineStr">
        <is>
          <t>893352265</t>
        </is>
      </c>
    </row>
    <row r="740">
      <c r="B740" t="inlineStr">
        <is>
          <t>CURAL</t>
        </is>
      </c>
      <c r="C740" t="inlineStr">
        <is>
          <t>SHELVES</t>
        </is>
      </c>
      <c r="D740" t="inlineStr">
        <is>
          <t>QP601 .S43</t>
        </is>
      </c>
      <c r="E740" t="inlineStr">
        <is>
          <t>0                      QP 0601000S  43</t>
        </is>
      </c>
      <c r="F740" t="inlineStr">
        <is>
          <t>Chemistry and control of enzyme reactions / K. G. Scrimgeour.</t>
        </is>
      </c>
      <c r="H740" t="inlineStr">
        <is>
          <t>No</t>
        </is>
      </c>
      <c r="I740" t="inlineStr">
        <is>
          <t>1</t>
        </is>
      </c>
      <c r="J740" t="inlineStr">
        <is>
          <t>No</t>
        </is>
      </c>
      <c r="K740" t="inlineStr">
        <is>
          <t>No</t>
        </is>
      </c>
      <c r="L740" t="inlineStr">
        <is>
          <t>0</t>
        </is>
      </c>
      <c r="M740" t="inlineStr">
        <is>
          <t>Scrimgeour, K. G.</t>
        </is>
      </c>
      <c r="N740" t="inlineStr">
        <is>
          <t>London ; New York : Academic Press, 1977.</t>
        </is>
      </c>
      <c r="O740" t="inlineStr">
        <is>
          <t>1977</t>
        </is>
      </c>
      <c r="Q740" t="inlineStr">
        <is>
          <t>eng</t>
        </is>
      </c>
      <c r="R740" t="inlineStr">
        <is>
          <t>enk</t>
        </is>
      </c>
      <c r="T740" t="inlineStr">
        <is>
          <t xml:space="preserve">QP </t>
        </is>
      </c>
      <c r="U740" t="n">
        <v>5</v>
      </c>
      <c r="V740" t="n">
        <v>5</v>
      </c>
      <c r="W740" t="inlineStr">
        <is>
          <t>1997-10-03</t>
        </is>
      </c>
      <c r="X740" t="inlineStr">
        <is>
          <t>1997-10-03</t>
        </is>
      </c>
      <c r="Y740" t="inlineStr">
        <is>
          <t>1993-03-04</t>
        </is>
      </c>
      <c r="Z740" t="inlineStr">
        <is>
          <t>1993-03-04</t>
        </is>
      </c>
      <c r="AA740" t="n">
        <v>432</v>
      </c>
      <c r="AB740" t="n">
        <v>298</v>
      </c>
      <c r="AC740" t="n">
        <v>304</v>
      </c>
      <c r="AD740" t="n">
        <v>2</v>
      </c>
      <c r="AE740" t="n">
        <v>2</v>
      </c>
      <c r="AF740" t="n">
        <v>11</v>
      </c>
      <c r="AG740" t="n">
        <v>11</v>
      </c>
      <c r="AH740" t="n">
        <v>4</v>
      </c>
      <c r="AI740" t="n">
        <v>4</v>
      </c>
      <c r="AJ740" t="n">
        <v>4</v>
      </c>
      <c r="AK740" t="n">
        <v>4</v>
      </c>
      <c r="AL740" t="n">
        <v>6</v>
      </c>
      <c r="AM740" t="n">
        <v>6</v>
      </c>
      <c r="AN740" t="n">
        <v>1</v>
      </c>
      <c r="AO740" t="n">
        <v>1</v>
      </c>
      <c r="AP740" t="n">
        <v>0</v>
      </c>
      <c r="AQ740" t="n">
        <v>0</v>
      </c>
      <c r="AR740" t="inlineStr">
        <is>
          <t>No</t>
        </is>
      </c>
      <c r="AS740" t="inlineStr">
        <is>
          <t>Yes</t>
        </is>
      </c>
      <c r="AT740">
        <f>HYPERLINK("http://catalog.hathitrust.org/Record/000131105","HathiTrust Record")</f>
        <v/>
      </c>
      <c r="AU740">
        <f>HYPERLINK("https://creighton-primo.hosted.exlibrisgroup.com/primo-explore/search?tab=default_tab&amp;search_scope=EVERYTHING&amp;vid=01CRU&amp;lang=en_US&amp;offset=0&amp;query=any,contains,991004496599702656","Catalog Record")</f>
        <v/>
      </c>
      <c r="AV740">
        <f>HYPERLINK("http://www.worldcat.org/oclc/3702780","WorldCat Record")</f>
        <v/>
      </c>
      <c r="AW740" t="inlineStr">
        <is>
          <t>11670224:eng</t>
        </is>
      </c>
      <c r="AX740" t="inlineStr">
        <is>
          <t>3702780</t>
        </is>
      </c>
      <c r="AY740" t="inlineStr">
        <is>
          <t>991004496599702656</t>
        </is>
      </c>
      <c r="AZ740" t="inlineStr">
        <is>
          <t>991004496599702656</t>
        </is>
      </c>
      <c r="BA740" t="inlineStr">
        <is>
          <t>2266696990002656</t>
        </is>
      </c>
      <c r="BB740" t="inlineStr">
        <is>
          <t>BOOK</t>
        </is>
      </c>
      <c r="BD740" t="inlineStr">
        <is>
          <t>9780126341508</t>
        </is>
      </c>
      <c r="BE740" t="inlineStr">
        <is>
          <t>32285001563336</t>
        </is>
      </c>
      <c r="BF740" t="inlineStr">
        <is>
          <t>893235573</t>
        </is>
      </c>
    </row>
    <row r="741">
      <c r="B741" t="inlineStr">
        <is>
          <t>CURAL</t>
        </is>
      </c>
      <c r="C741" t="inlineStr">
        <is>
          <t>SHELVES</t>
        </is>
      </c>
      <c r="D741" t="inlineStr">
        <is>
          <t>QP601 .S88 1953</t>
        </is>
      </c>
      <c r="E741" t="inlineStr">
        <is>
          <t>0                      QP 0601000S  88          1953</t>
        </is>
      </c>
      <c r="F741" t="inlineStr">
        <is>
          <t>Chemistry and methods of enzymes / by James B. Sumner and G. Fred Somers.</t>
        </is>
      </c>
      <c r="H741" t="inlineStr">
        <is>
          <t>No</t>
        </is>
      </c>
      <c r="I741" t="inlineStr">
        <is>
          <t>1</t>
        </is>
      </c>
      <c r="J741" t="inlineStr">
        <is>
          <t>No</t>
        </is>
      </c>
      <c r="K741" t="inlineStr">
        <is>
          <t>No</t>
        </is>
      </c>
      <c r="L741" t="inlineStr">
        <is>
          <t>0</t>
        </is>
      </c>
      <c r="M741" t="inlineStr">
        <is>
          <t>Sumner, James B. (James Batcheller), 1887-1955.</t>
        </is>
      </c>
      <c r="N741" t="inlineStr">
        <is>
          <t>New York : Academic Press, 1953.</t>
        </is>
      </c>
      <c r="O741" t="inlineStr">
        <is>
          <t>1953</t>
        </is>
      </c>
      <c r="P741" t="inlineStr">
        <is>
          <t>3d ed., rev. and enl.</t>
        </is>
      </c>
      <c r="Q741" t="inlineStr">
        <is>
          <t>eng</t>
        </is>
      </c>
      <c r="R741" t="inlineStr">
        <is>
          <t>nyu</t>
        </is>
      </c>
      <c r="T741" t="inlineStr">
        <is>
          <t xml:space="preserve">QP </t>
        </is>
      </c>
      <c r="U741" t="n">
        <v>4</v>
      </c>
      <c r="V741" t="n">
        <v>4</v>
      </c>
      <c r="W741" t="inlineStr">
        <is>
          <t>1995-11-22</t>
        </is>
      </c>
      <c r="X741" t="inlineStr">
        <is>
          <t>1995-11-22</t>
        </is>
      </c>
      <c r="Y741" t="inlineStr">
        <is>
          <t>1994-10-19</t>
        </is>
      </c>
      <c r="Z741" t="inlineStr">
        <is>
          <t>1994-10-19</t>
        </is>
      </c>
      <c r="AA741" t="n">
        <v>272</v>
      </c>
      <c r="AB741" t="n">
        <v>215</v>
      </c>
      <c r="AC741" t="n">
        <v>383</v>
      </c>
      <c r="AD741" t="n">
        <v>2</v>
      </c>
      <c r="AE741" t="n">
        <v>3</v>
      </c>
      <c r="AF741" t="n">
        <v>4</v>
      </c>
      <c r="AG741" t="n">
        <v>12</v>
      </c>
      <c r="AH741" t="n">
        <v>0</v>
      </c>
      <c r="AI741" t="n">
        <v>4</v>
      </c>
      <c r="AJ741" t="n">
        <v>0</v>
      </c>
      <c r="AK741" t="n">
        <v>3</v>
      </c>
      <c r="AL741" t="n">
        <v>3</v>
      </c>
      <c r="AM741" t="n">
        <v>5</v>
      </c>
      <c r="AN741" t="n">
        <v>1</v>
      </c>
      <c r="AO741" t="n">
        <v>2</v>
      </c>
      <c r="AP741" t="n">
        <v>0</v>
      </c>
      <c r="AQ741" t="n">
        <v>0</v>
      </c>
      <c r="AR741" t="inlineStr">
        <is>
          <t>No</t>
        </is>
      </c>
      <c r="AS741" t="inlineStr">
        <is>
          <t>Yes</t>
        </is>
      </c>
      <c r="AT741">
        <f>HYPERLINK("http://catalog.hathitrust.org/Record/001555596","HathiTrust Record")</f>
        <v/>
      </c>
      <c r="AU741">
        <f>HYPERLINK("https://creighton-primo.hosted.exlibrisgroup.com/primo-explore/search?tab=default_tab&amp;search_scope=EVERYTHING&amp;vid=01CRU&amp;lang=en_US&amp;offset=0&amp;query=any,contains,991003557439702656","Catalog Record")</f>
        <v/>
      </c>
      <c r="AV741">
        <f>HYPERLINK("http://www.worldcat.org/oclc/1126603","WorldCat Record")</f>
        <v/>
      </c>
      <c r="AW741" t="inlineStr">
        <is>
          <t>2037909:eng</t>
        </is>
      </c>
      <c r="AX741" t="inlineStr">
        <is>
          <t>1126603</t>
        </is>
      </c>
      <c r="AY741" t="inlineStr">
        <is>
          <t>991003557439702656</t>
        </is>
      </c>
      <c r="AZ741" t="inlineStr">
        <is>
          <t>991003557439702656</t>
        </is>
      </c>
      <c r="BA741" t="inlineStr">
        <is>
          <t>2270385100002656</t>
        </is>
      </c>
      <c r="BB741" t="inlineStr">
        <is>
          <t>BOOK</t>
        </is>
      </c>
      <c r="BE741" t="inlineStr">
        <is>
          <t>32285001962462</t>
        </is>
      </c>
      <c r="BF741" t="inlineStr">
        <is>
          <t>893598699</t>
        </is>
      </c>
    </row>
    <row r="742">
      <c r="B742" t="inlineStr">
        <is>
          <t>CURAL</t>
        </is>
      </c>
      <c r="C742" t="inlineStr">
        <is>
          <t>SHELVES</t>
        </is>
      </c>
      <c r="D742" t="inlineStr">
        <is>
          <t>QP601 .W23 1979</t>
        </is>
      </c>
      <c r="E742" t="inlineStr">
        <is>
          <t>0                      QP 0601000W  23          1979</t>
        </is>
      </c>
      <c r="F742" t="inlineStr">
        <is>
          <t>Enzymatic reaction mechanisms / Christopher Walsh.</t>
        </is>
      </c>
      <c r="H742" t="inlineStr">
        <is>
          <t>No</t>
        </is>
      </c>
      <c r="I742" t="inlineStr">
        <is>
          <t>1</t>
        </is>
      </c>
      <c r="J742" t="inlineStr">
        <is>
          <t>Yes</t>
        </is>
      </c>
      <c r="K742" t="inlineStr">
        <is>
          <t>No</t>
        </is>
      </c>
      <c r="L742" t="inlineStr">
        <is>
          <t>0</t>
        </is>
      </c>
      <c r="M742" t="inlineStr">
        <is>
          <t>Walsh, Christopher.</t>
        </is>
      </c>
      <c r="N742" t="inlineStr">
        <is>
          <t>San Francisco : W. H. Freeman, c1979.</t>
        </is>
      </c>
      <c r="O742" t="inlineStr">
        <is>
          <t>1979</t>
        </is>
      </c>
      <c r="Q742" t="inlineStr">
        <is>
          <t>eng</t>
        </is>
      </c>
      <c r="R742" t="inlineStr">
        <is>
          <t>cau</t>
        </is>
      </c>
      <c r="T742" t="inlineStr">
        <is>
          <t xml:space="preserve">QP </t>
        </is>
      </c>
      <c r="U742" t="n">
        <v>3</v>
      </c>
      <c r="V742" t="n">
        <v>14</v>
      </c>
      <c r="W742" t="inlineStr">
        <is>
          <t>1995-10-21</t>
        </is>
      </c>
      <c r="X742" t="inlineStr">
        <is>
          <t>1995-10-21</t>
        </is>
      </c>
      <c r="Y742" t="inlineStr">
        <is>
          <t>1991-11-21</t>
        </is>
      </c>
      <c r="Z742" t="inlineStr">
        <is>
          <t>1991-11-21</t>
        </is>
      </c>
      <c r="AA742" t="n">
        <v>694</v>
      </c>
      <c r="AB742" t="n">
        <v>518</v>
      </c>
      <c r="AC742" t="n">
        <v>518</v>
      </c>
      <c r="AD742" t="n">
        <v>7</v>
      </c>
      <c r="AE742" t="n">
        <v>7</v>
      </c>
      <c r="AF742" t="n">
        <v>23</v>
      </c>
      <c r="AG742" t="n">
        <v>23</v>
      </c>
      <c r="AH742" t="n">
        <v>4</v>
      </c>
      <c r="AI742" t="n">
        <v>4</v>
      </c>
      <c r="AJ742" t="n">
        <v>7</v>
      </c>
      <c r="AK742" t="n">
        <v>7</v>
      </c>
      <c r="AL742" t="n">
        <v>11</v>
      </c>
      <c r="AM742" t="n">
        <v>11</v>
      </c>
      <c r="AN742" t="n">
        <v>5</v>
      </c>
      <c r="AO742" t="n">
        <v>5</v>
      </c>
      <c r="AP742" t="n">
        <v>0</v>
      </c>
      <c r="AQ742" t="n">
        <v>0</v>
      </c>
      <c r="AR742" t="inlineStr">
        <is>
          <t>No</t>
        </is>
      </c>
      <c r="AS742" t="inlineStr">
        <is>
          <t>No</t>
        </is>
      </c>
      <c r="AU742">
        <f>HYPERLINK("https://creighton-primo.hosted.exlibrisgroup.com/primo-explore/search?tab=default_tab&amp;search_scope=EVERYTHING&amp;vid=01CRU&amp;lang=en_US&amp;offset=0&amp;query=any,contains,991001775159702656","Catalog Record")</f>
        <v/>
      </c>
      <c r="AV742">
        <f>HYPERLINK("http://www.worldcat.org/oclc/4003473","WorldCat Record")</f>
        <v/>
      </c>
      <c r="AW742" t="inlineStr">
        <is>
          <t>446981:eng</t>
        </is>
      </c>
      <c r="AX742" t="inlineStr">
        <is>
          <t>4003473</t>
        </is>
      </c>
      <c r="AY742" t="inlineStr">
        <is>
          <t>991001775159702656</t>
        </is>
      </c>
      <c r="AZ742" t="inlineStr">
        <is>
          <t>991001775159702656</t>
        </is>
      </c>
      <c r="BA742" t="inlineStr">
        <is>
          <t>2267668270002656</t>
        </is>
      </c>
      <c r="BB742" t="inlineStr">
        <is>
          <t>BOOK</t>
        </is>
      </c>
      <c r="BD742" t="inlineStr">
        <is>
          <t>9780716700708</t>
        </is>
      </c>
      <c r="BE742" t="inlineStr">
        <is>
          <t>32285000843226</t>
        </is>
      </c>
      <c r="BF742" t="inlineStr">
        <is>
          <t>893497355</t>
        </is>
      </c>
    </row>
    <row r="743">
      <c r="B743" t="inlineStr">
        <is>
          <t>CURAL</t>
        </is>
      </c>
      <c r="C743" t="inlineStr">
        <is>
          <t>SHELVES</t>
        </is>
      </c>
      <c r="D743" t="inlineStr">
        <is>
          <t>QP601 .W38</t>
        </is>
      </c>
      <c r="E743" t="inlineStr">
        <is>
          <t>0                      QP 0601000W  38</t>
        </is>
      </c>
      <c r="F743" t="inlineStr">
        <is>
          <t>Enzyme and metabolic inhibitors.</t>
        </is>
      </c>
      <c r="G743" t="inlineStr">
        <is>
          <t>V. 2</t>
        </is>
      </c>
      <c r="H743" t="inlineStr">
        <is>
          <t>Yes</t>
        </is>
      </c>
      <c r="I743" t="inlineStr">
        <is>
          <t>1</t>
        </is>
      </c>
      <c r="J743" t="inlineStr">
        <is>
          <t>Yes</t>
        </is>
      </c>
      <c r="K743" t="inlineStr">
        <is>
          <t>No</t>
        </is>
      </c>
      <c r="L743" t="inlineStr">
        <is>
          <t>0</t>
        </is>
      </c>
      <c r="M743" t="inlineStr">
        <is>
          <t>Webb, John Leyden.</t>
        </is>
      </c>
      <c r="N743" t="inlineStr">
        <is>
          <t>New York : Academic Press, 1963-</t>
        </is>
      </c>
      <c r="O743" t="inlineStr">
        <is>
          <t>1963</t>
        </is>
      </c>
      <c r="Q743" t="inlineStr">
        <is>
          <t>eng</t>
        </is>
      </c>
      <c r="R743" t="inlineStr">
        <is>
          <t>nyu</t>
        </is>
      </c>
      <c r="T743" t="inlineStr">
        <is>
          <t xml:space="preserve">QP </t>
        </is>
      </c>
      <c r="U743" t="n">
        <v>0</v>
      </c>
      <c r="V743" t="n">
        <v>6</v>
      </c>
      <c r="X743" t="inlineStr">
        <is>
          <t>2000-03-20</t>
        </is>
      </c>
      <c r="Y743" t="inlineStr">
        <is>
          <t>1994-10-12</t>
        </is>
      </c>
      <c r="Z743" t="inlineStr">
        <is>
          <t>1994-10-12</t>
        </is>
      </c>
      <c r="AA743" t="n">
        <v>515</v>
      </c>
      <c r="AB743" t="n">
        <v>391</v>
      </c>
      <c r="AC743" t="n">
        <v>399</v>
      </c>
      <c r="AD743" t="n">
        <v>3</v>
      </c>
      <c r="AE743" t="n">
        <v>3</v>
      </c>
      <c r="AF743" t="n">
        <v>12</v>
      </c>
      <c r="AG743" t="n">
        <v>12</v>
      </c>
      <c r="AH743" t="n">
        <v>5</v>
      </c>
      <c r="AI743" t="n">
        <v>5</v>
      </c>
      <c r="AJ743" t="n">
        <v>3</v>
      </c>
      <c r="AK743" t="n">
        <v>3</v>
      </c>
      <c r="AL743" t="n">
        <v>8</v>
      </c>
      <c r="AM743" t="n">
        <v>8</v>
      </c>
      <c r="AN743" t="n">
        <v>1</v>
      </c>
      <c r="AO743" t="n">
        <v>1</v>
      </c>
      <c r="AP743" t="n">
        <v>0</v>
      </c>
      <c r="AQ743" t="n">
        <v>0</v>
      </c>
      <c r="AR743" t="inlineStr">
        <is>
          <t>Yes</t>
        </is>
      </c>
      <c r="AS743" t="inlineStr">
        <is>
          <t>Yes</t>
        </is>
      </c>
      <c r="AT743">
        <f>HYPERLINK("http://catalog.hathitrust.org/Record/001555615","HathiTrust Record")</f>
        <v/>
      </c>
      <c r="AU743">
        <f>HYPERLINK("https://creighton-primo.hosted.exlibrisgroup.com/primo-explore/search?tab=default_tab&amp;search_scope=EVERYTHING&amp;vid=01CRU&amp;lang=en_US&amp;offset=0&amp;query=any,contains,991001775029702656","Catalog Record")</f>
        <v/>
      </c>
      <c r="AV743">
        <f>HYPERLINK("http://www.worldcat.org/oclc/561113","WorldCat Record")</f>
        <v/>
      </c>
      <c r="AW743" t="inlineStr">
        <is>
          <t>4820361781:eng</t>
        </is>
      </c>
      <c r="AX743" t="inlineStr">
        <is>
          <t>561113</t>
        </is>
      </c>
      <c r="AY743" t="inlineStr">
        <is>
          <t>991001775029702656</t>
        </is>
      </c>
      <c r="AZ743" t="inlineStr">
        <is>
          <t>991001775029702656</t>
        </is>
      </c>
      <c r="BA743" t="inlineStr">
        <is>
          <t>2255397170002656</t>
        </is>
      </c>
      <c r="BB743" t="inlineStr">
        <is>
          <t>BOOK</t>
        </is>
      </c>
      <c r="BE743" t="inlineStr">
        <is>
          <t>32285001961274</t>
        </is>
      </c>
      <c r="BF743" t="inlineStr">
        <is>
          <t>893590627</t>
        </is>
      </c>
    </row>
    <row r="744">
      <c r="B744" t="inlineStr">
        <is>
          <t>CURAL</t>
        </is>
      </c>
      <c r="C744" t="inlineStr">
        <is>
          <t>SHELVES</t>
        </is>
      </c>
      <c r="D744" t="inlineStr">
        <is>
          <t>QP601 .W38</t>
        </is>
      </c>
      <c r="E744" t="inlineStr">
        <is>
          <t>0                      QP 0601000W  38</t>
        </is>
      </c>
      <c r="F744" t="inlineStr">
        <is>
          <t>Enzyme and metabolic inhibitors.</t>
        </is>
      </c>
      <c r="G744" t="inlineStr">
        <is>
          <t>V. 3</t>
        </is>
      </c>
      <c r="H744" t="inlineStr">
        <is>
          <t>Yes</t>
        </is>
      </c>
      <c r="I744" t="inlineStr">
        <is>
          <t>1</t>
        </is>
      </c>
      <c r="J744" t="inlineStr">
        <is>
          <t>Yes</t>
        </is>
      </c>
      <c r="K744" t="inlineStr">
        <is>
          <t>No</t>
        </is>
      </c>
      <c r="L744" t="inlineStr">
        <is>
          <t>0</t>
        </is>
      </c>
      <c r="M744" t="inlineStr">
        <is>
          <t>Webb, John Leyden.</t>
        </is>
      </c>
      <c r="N744" t="inlineStr">
        <is>
          <t>New York : Academic Press, 1963-</t>
        </is>
      </c>
      <c r="O744" t="inlineStr">
        <is>
          <t>1963</t>
        </is>
      </c>
      <c r="Q744" t="inlineStr">
        <is>
          <t>eng</t>
        </is>
      </c>
      <c r="R744" t="inlineStr">
        <is>
          <t>nyu</t>
        </is>
      </c>
      <c r="T744" t="inlineStr">
        <is>
          <t xml:space="preserve">QP </t>
        </is>
      </c>
      <c r="U744" t="n">
        <v>0</v>
      </c>
      <c r="V744" t="n">
        <v>6</v>
      </c>
      <c r="X744" t="inlineStr">
        <is>
          <t>2000-03-20</t>
        </is>
      </c>
      <c r="Y744" t="inlineStr">
        <is>
          <t>1994-10-12</t>
        </is>
      </c>
      <c r="Z744" t="inlineStr">
        <is>
          <t>1994-10-12</t>
        </is>
      </c>
      <c r="AA744" t="n">
        <v>515</v>
      </c>
      <c r="AB744" t="n">
        <v>391</v>
      </c>
      <c r="AC744" t="n">
        <v>399</v>
      </c>
      <c r="AD744" t="n">
        <v>3</v>
      </c>
      <c r="AE744" t="n">
        <v>3</v>
      </c>
      <c r="AF744" t="n">
        <v>12</v>
      </c>
      <c r="AG744" t="n">
        <v>12</v>
      </c>
      <c r="AH744" t="n">
        <v>5</v>
      </c>
      <c r="AI744" t="n">
        <v>5</v>
      </c>
      <c r="AJ744" t="n">
        <v>3</v>
      </c>
      <c r="AK744" t="n">
        <v>3</v>
      </c>
      <c r="AL744" t="n">
        <v>8</v>
      </c>
      <c r="AM744" t="n">
        <v>8</v>
      </c>
      <c r="AN744" t="n">
        <v>1</v>
      </c>
      <c r="AO744" t="n">
        <v>1</v>
      </c>
      <c r="AP744" t="n">
        <v>0</v>
      </c>
      <c r="AQ744" t="n">
        <v>0</v>
      </c>
      <c r="AR744" t="inlineStr">
        <is>
          <t>Yes</t>
        </is>
      </c>
      <c r="AS744" t="inlineStr">
        <is>
          <t>Yes</t>
        </is>
      </c>
      <c r="AT744">
        <f>HYPERLINK("http://catalog.hathitrust.org/Record/001555615","HathiTrust Record")</f>
        <v/>
      </c>
      <c r="AU744">
        <f>HYPERLINK("https://creighton-primo.hosted.exlibrisgroup.com/primo-explore/search?tab=default_tab&amp;search_scope=EVERYTHING&amp;vid=01CRU&amp;lang=en_US&amp;offset=0&amp;query=any,contains,991001775029702656","Catalog Record")</f>
        <v/>
      </c>
      <c r="AV744">
        <f>HYPERLINK("http://www.worldcat.org/oclc/561113","WorldCat Record")</f>
        <v/>
      </c>
      <c r="AW744" t="inlineStr">
        <is>
          <t>4820361781:eng</t>
        </is>
      </c>
      <c r="AX744" t="inlineStr">
        <is>
          <t>561113</t>
        </is>
      </c>
      <c r="AY744" t="inlineStr">
        <is>
          <t>991001775029702656</t>
        </is>
      </c>
      <c r="AZ744" t="inlineStr">
        <is>
          <t>991001775029702656</t>
        </is>
      </c>
      <c r="BA744" t="inlineStr">
        <is>
          <t>2255397170002656</t>
        </is>
      </c>
      <c r="BB744" t="inlineStr">
        <is>
          <t>BOOK</t>
        </is>
      </c>
      <c r="BE744" t="inlineStr">
        <is>
          <t>32285001961282</t>
        </is>
      </c>
      <c r="BF744" t="inlineStr">
        <is>
          <t>893609129</t>
        </is>
      </c>
    </row>
    <row r="745">
      <c r="B745" t="inlineStr">
        <is>
          <t>CURAL</t>
        </is>
      </c>
      <c r="C745" t="inlineStr">
        <is>
          <t>SHELVES</t>
        </is>
      </c>
      <c r="D745" t="inlineStr">
        <is>
          <t>QP601 .W38</t>
        </is>
      </c>
      <c r="E745" t="inlineStr">
        <is>
          <t>0                      QP 0601000W  38</t>
        </is>
      </c>
      <c r="F745" t="inlineStr">
        <is>
          <t>Enzyme and metabolic inhibitors.</t>
        </is>
      </c>
      <c r="G745" t="inlineStr">
        <is>
          <t>V. 1</t>
        </is>
      </c>
      <c r="H745" t="inlineStr">
        <is>
          <t>Yes</t>
        </is>
      </c>
      <c r="I745" t="inlineStr">
        <is>
          <t>1</t>
        </is>
      </c>
      <c r="J745" t="inlineStr">
        <is>
          <t>Yes</t>
        </is>
      </c>
      <c r="K745" t="inlineStr">
        <is>
          <t>No</t>
        </is>
      </c>
      <c r="L745" t="inlineStr">
        <is>
          <t>0</t>
        </is>
      </c>
      <c r="M745" t="inlineStr">
        <is>
          <t>Webb, John Leyden.</t>
        </is>
      </c>
      <c r="N745" t="inlineStr">
        <is>
          <t>New York : Academic Press, 1963-</t>
        </is>
      </c>
      <c r="O745" t="inlineStr">
        <is>
          <t>1963</t>
        </is>
      </c>
      <c r="Q745" t="inlineStr">
        <is>
          <t>eng</t>
        </is>
      </c>
      <c r="R745" t="inlineStr">
        <is>
          <t>nyu</t>
        </is>
      </c>
      <c r="T745" t="inlineStr">
        <is>
          <t xml:space="preserve">QP </t>
        </is>
      </c>
      <c r="U745" t="n">
        <v>1</v>
      </c>
      <c r="V745" t="n">
        <v>6</v>
      </c>
      <c r="X745" t="inlineStr">
        <is>
          <t>2000-03-20</t>
        </is>
      </c>
      <c r="Y745" t="inlineStr">
        <is>
          <t>1994-10-12</t>
        </is>
      </c>
      <c r="Z745" t="inlineStr">
        <is>
          <t>1994-10-12</t>
        </is>
      </c>
      <c r="AA745" t="n">
        <v>515</v>
      </c>
      <c r="AB745" t="n">
        <v>391</v>
      </c>
      <c r="AC745" t="n">
        <v>399</v>
      </c>
      <c r="AD745" t="n">
        <v>3</v>
      </c>
      <c r="AE745" t="n">
        <v>3</v>
      </c>
      <c r="AF745" t="n">
        <v>12</v>
      </c>
      <c r="AG745" t="n">
        <v>12</v>
      </c>
      <c r="AH745" t="n">
        <v>5</v>
      </c>
      <c r="AI745" t="n">
        <v>5</v>
      </c>
      <c r="AJ745" t="n">
        <v>3</v>
      </c>
      <c r="AK745" t="n">
        <v>3</v>
      </c>
      <c r="AL745" t="n">
        <v>8</v>
      </c>
      <c r="AM745" t="n">
        <v>8</v>
      </c>
      <c r="AN745" t="n">
        <v>1</v>
      </c>
      <c r="AO745" t="n">
        <v>1</v>
      </c>
      <c r="AP745" t="n">
        <v>0</v>
      </c>
      <c r="AQ745" t="n">
        <v>0</v>
      </c>
      <c r="AR745" t="inlineStr">
        <is>
          <t>Yes</t>
        </is>
      </c>
      <c r="AS745" t="inlineStr">
        <is>
          <t>Yes</t>
        </is>
      </c>
      <c r="AT745">
        <f>HYPERLINK("http://catalog.hathitrust.org/Record/001555615","HathiTrust Record")</f>
        <v/>
      </c>
      <c r="AU745">
        <f>HYPERLINK("https://creighton-primo.hosted.exlibrisgroup.com/primo-explore/search?tab=default_tab&amp;search_scope=EVERYTHING&amp;vid=01CRU&amp;lang=en_US&amp;offset=0&amp;query=any,contains,991001775029702656","Catalog Record")</f>
        <v/>
      </c>
      <c r="AV745">
        <f>HYPERLINK("http://www.worldcat.org/oclc/561113","WorldCat Record")</f>
        <v/>
      </c>
      <c r="AW745" t="inlineStr">
        <is>
          <t>4820361781:eng</t>
        </is>
      </c>
      <c r="AX745" t="inlineStr">
        <is>
          <t>561113</t>
        </is>
      </c>
      <c r="AY745" t="inlineStr">
        <is>
          <t>991001775029702656</t>
        </is>
      </c>
      <c r="AZ745" t="inlineStr">
        <is>
          <t>991001775029702656</t>
        </is>
      </c>
      <c r="BA745" t="inlineStr">
        <is>
          <t>2255397170002656</t>
        </is>
      </c>
      <c r="BB745" t="inlineStr">
        <is>
          <t>BOOK</t>
        </is>
      </c>
      <c r="BE745" t="inlineStr">
        <is>
          <t>32285001961266</t>
        </is>
      </c>
      <c r="BF745" t="inlineStr">
        <is>
          <t>893590628</t>
        </is>
      </c>
    </row>
    <row r="746">
      <c r="B746" t="inlineStr">
        <is>
          <t>CURAL</t>
        </is>
      </c>
      <c r="C746" t="inlineStr">
        <is>
          <t>SHELVES</t>
        </is>
      </c>
      <c r="D746" t="inlineStr">
        <is>
          <t>QP601 .Z37</t>
        </is>
      </c>
      <c r="E746" t="inlineStr">
        <is>
          <t>0                      QP 0601000Z  37</t>
        </is>
      </c>
      <c r="F746" t="inlineStr">
        <is>
          <t>The study of enzyme mechanisms / [by] Eugene Zeffren [and] Philip L. Hall.</t>
        </is>
      </c>
      <c r="H746" t="inlineStr">
        <is>
          <t>No</t>
        </is>
      </c>
      <c r="I746" t="inlineStr">
        <is>
          <t>1</t>
        </is>
      </c>
      <c r="J746" t="inlineStr">
        <is>
          <t>No</t>
        </is>
      </c>
      <c r="K746" t="inlineStr">
        <is>
          <t>No</t>
        </is>
      </c>
      <c r="L746" t="inlineStr">
        <is>
          <t>0</t>
        </is>
      </c>
      <c r="M746" t="inlineStr">
        <is>
          <t>Zeffren, Eugene, 1941-</t>
        </is>
      </c>
      <c r="N746" t="inlineStr">
        <is>
          <t>New York : Wiley, [1973]</t>
        </is>
      </c>
      <c r="O746" t="inlineStr">
        <is>
          <t>1973</t>
        </is>
      </c>
      <c r="Q746" t="inlineStr">
        <is>
          <t>eng</t>
        </is>
      </c>
      <c r="R746" t="inlineStr">
        <is>
          <t>nyu</t>
        </is>
      </c>
      <c r="T746" t="inlineStr">
        <is>
          <t xml:space="preserve">QP </t>
        </is>
      </c>
      <c r="U746" t="n">
        <v>4</v>
      </c>
      <c r="V746" t="n">
        <v>4</v>
      </c>
      <c r="W746" t="inlineStr">
        <is>
          <t>1995-11-05</t>
        </is>
      </c>
      <c r="X746" t="inlineStr">
        <is>
          <t>1995-11-05</t>
        </is>
      </c>
      <c r="Y746" t="inlineStr">
        <is>
          <t>1994-10-19</t>
        </is>
      </c>
      <c r="Z746" t="inlineStr">
        <is>
          <t>1994-10-19</t>
        </is>
      </c>
      <c r="AA746" t="n">
        <v>607</v>
      </c>
      <c r="AB746" t="n">
        <v>478</v>
      </c>
      <c r="AC746" t="n">
        <v>486</v>
      </c>
      <c r="AD746" t="n">
        <v>4</v>
      </c>
      <c r="AE746" t="n">
        <v>4</v>
      </c>
      <c r="AF746" t="n">
        <v>15</v>
      </c>
      <c r="AG746" t="n">
        <v>15</v>
      </c>
      <c r="AH746" t="n">
        <v>3</v>
      </c>
      <c r="AI746" t="n">
        <v>3</v>
      </c>
      <c r="AJ746" t="n">
        <v>5</v>
      </c>
      <c r="AK746" t="n">
        <v>5</v>
      </c>
      <c r="AL746" t="n">
        <v>8</v>
      </c>
      <c r="AM746" t="n">
        <v>8</v>
      </c>
      <c r="AN746" t="n">
        <v>3</v>
      </c>
      <c r="AO746" t="n">
        <v>3</v>
      </c>
      <c r="AP746" t="n">
        <v>0</v>
      </c>
      <c r="AQ746" t="n">
        <v>0</v>
      </c>
      <c r="AR746" t="inlineStr">
        <is>
          <t>No</t>
        </is>
      </c>
      <c r="AS746" t="inlineStr">
        <is>
          <t>Yes</t>
        </is>
      </c>
      <c r="AT746">
        <f>HYPERLINK("http://catalog.hathitrust.org/Record/001555624","HathiTrust Record")</f>
        <v/>
      </c>
      <c r="AU746">
        <f>HYPERLINK("https://creighton-primo.hosted.exlibrisgroup.com/primo-explore/search?tab=default_tab&amp;search_scope=EVERYTHING&amp;vid=01CRU&amp;lang=en_US&amp;offset=0&amp;query=any,contains,991002951089702656","Catalog Record")</f>
        <v/>
      </c>
      <c r="AV746">
        <f>HYPERLINK("http://www.worldcat.org/oclc/538894","WorldCat Record")</f>
        <v/>
      </c>
      <c r="AW746" t="inlineStr">
        <is>
          <t>1563289:eng</t>
        </is>
      </c>
      <c r="AX746" t="inlineStr">
        <is>
          <t>538894</t>
        </is>
      </c>
      <c r="AY746" t="inlineStr">
        <is>
          <t>991002951089702656</t>
        </is>
      </c>
      <c r="AZ746" t="inlineStr">
        <is>
          <t>991002951089702656</t>
        </is>
      </c>
      <c r="BA746" t="inlineStr">
        <is>
          <t>2262503410002656</t>
        </is>
      </c>
      <c r="BB746" t="inlineStr">
        <is>
          <t>BOOK</t>
        </is>
      </c>
      <c r="BD746" t="inlineStr">
        <is>
          <t>9780471981503</t>
        </is>
      </c>
      <c r="BE746" t="inlineStr">
        <is>
          <t>32285001962454</t>
        </is>
      </c>
      <c r="BF746" t="inlineStr">
        <is>
          <t>893592003</t>
        </is>
      </c>
    </row>
    <row r="747">
      <c r="B747" t="inlineStr">
        <is>
          <t>CURAL</t>
        </is>
      </c>
      <c r="C747" t="inlineStr">
        <is>
          <t>SHELVES</t>
        </is>
      </c>
      <c r="D747" t="inlineStr">
        <is>
          <t>QP601.3 .S38 1994</t>
        </is>
      </c>
      <c r="E747" t="inlineStr">
        <is>
          <t>0                      QP 0601300S  38          1994</t>
        </is>
      </c>
      <c r="F747" t="inlineStr">
        <is>
          <t>Enzyme kinetics : from diastase to multi-enzyme systems / Arthur R. Schulz.</t>
        </is>
      </c>
      <c r="H747" t="inlineStr">
        <is>
          <t>No</t>
        </is>
      </c>
      <c r="I747" t="inlineStr">
        <is>
          <t>1</t>
        </is>
      </c>
      <c r="J747" t="inlineStr">
        <is>
          <t>Yes</t>
        </is>
      </c>
      <c r="K747" t="inlineStr">
        <is>
          <t>No</t>
        </is>
      </c>
      <c r="L747" t="inlineStr">
        <is>
          <t>0</t>
        </is>
      </c>
      <c r="M747" t="inlineStr">
        <is>
          <t>Schulz, Arthur R.</t>
        </is>
      </c>
      <c r="N747" t="inlineStr">
        <is>
          <t>Cambridge ; New York : Cambridge University Press, 1994.</t>
        </is>
      </c>
      <c r="O747" t="inlineStr">
        <is>
          <t>1994</t>
        </is>
      </c>
      <c r="Q747" t="inlineStr">
        <is>
          <t>eng</t>
        </is>
      </c>
      <c r="R747" t="inlineStr">
        <is>
          <t>enk</t>
        </is>
      </c>
      <c r="T747" t="inlineStr">
        <is>
          <t xml:space="preserve">QP </t>
        </is>
      </c>
      <c r="U747" t="n">
        <v>2</v>
      </c>
      <c r="V747" t="n">
        <v>5</v>
      </c>
      <c r="X747" t="inlineStr">
        <is>
          <t>1995-09-22</t>
        </is>
      </c>
      <c r="Y747" t="inlineStr">
        <is>
          <t>1997-05-21</t>
        </is>
      </c>
      <c r="Z747" t="inlineStr">
        <is>
          <t>1997-05-21</t>
        </is>
      </c>
      <c r="AA747" t="n">
        <v>339</v>
      </c>
      <c r="AB747" t="n">
        <v>245</v>
      </c>
      <c r="AC747" t="n">
        <v>255</v>
      </c>
      <c r="AD747" t="n">
        <v>5</v>
      </c>
      <c r="AE747" t="n">
        <v>5</v>
      </c>
      <c r="AF747" t="n">
        <v>16</v>
      </c>
      <c r="AG747" t="n">
        <v>16</v>
      </c>
      <c r="AH747" t="n">
        <v>6</v>
      </c>
      <c r="AI747" t="n">
        <v>6</v>
      </c>
      <c r="AJ747" t="n">
        <v>4</v>
      </c>
      <c r="AK747" t="n">
        <v>4</v>
      </c>
      <c r="AL747" t="n">
        <v>10</v>
      </c>
      <c r="AM747" t="n">
        <v>10</v>
      </c>
      <c r="AN747" t="n">
        <v>3</v>
      </c>
      <c r="AO747" t="n">
        <v>3</v>
      </c>
      <c r="AP747" t="n">
        <v>0</v>
      </c>
      <c r="AQ747" t="n">
        <v>0</v>
      </c>
      <c r="AR747" t="inlineStr">
        <is>
          <t>No</t>
        </is>
      </c>
      <c r="AS747" t="inlineStr">
        <is>
          <t>No</t>
        </is>
      </c>
      <c r="AU747">
        <f>HYPERLINK("https://creighton-primo.hosted.exlibrisgroup.com/primo-explore/search?tab=default_tab&amp;search_scope=EVERYTHING&amp;vid=01CRU&amp;lang=en_US&amp;offset=0&amp;query=any,contains,991001755729702656","Catalog Record")</f>
        <v/>
      </c>
      <c r="AV747">
        <f>HYPERLINK("http://www.worldcat.org/oclc/30701944","WorldCat Record")</f>
        <v/>
      </c>
      <c r="AW747" t="inlineStr">
        <is>
          <t>280923365:eng</t>
        </is>
      </c>
      <c r="AX747" t="inlineStr">
        <is>
          <t>30701944</t>
        </is>
      </c>
      <c r="AY747" t="inlineStr">
        <is>
          <t>991001755729702656</t>
        </is>
      </c>
      <c r="AZ747" t="inlineStr">
        <is>
          <t>991001755729702656</t>
        </is>
      </c>
      <c r="BA747" t="inlineStr">
        <is>
          <t>2261860920002656</t>
        </is>
      </c>
      <c r="BB747" t="inlineStr">
        <is>
          <t>BOOK</t>
        </is>
      </c>
      <c r="BD747" t="inlineStr">
        <is>
          <t>9780521445009</t>
        </is>
      </c>
      <c r="BE747" t="inlineStr">
        <is>
          <t>32285002610300</t>
        </is>
      </c>
      <c r="BF747" t="inlineStr">
        <is>
          <t>893529202</t>
        </is>
      </c>
    </row>
    <row r="748">
      <c r="B748" t="inlineStr">
        <is>
          <t>CURAL</t>
        </is>
      </c>
      <c r="C748" t="inlineStr">
        <is>
          <t>SHELVES</t>
        </is>
      </c>
      <c r="D748" t="inlineStr">
        <is>
          <t>QP603.S94 S97 1982, v...</t>
        </is>
      </c>
      <c r="E748" t="inlineStr">
        <is>
          <t>0                      QP 0603000S  94                 S  97          1982                  v...</t>
        </is>
      </c>
      <c r="F748" t="inlineStr">
        <is>
          <t>Superoxide dismutase / editor, Larry W. Oberley.</t>
        </is>
      </c>
      <c r="G748" t="inlineStr">
        <is>
          <t>V.2</t>
        </is>
      </c>
      <c r="H748" t="inlineStr">
        <is>
          <t>Yes</t>
        </is>
      </c>
      <c r="I748" t="inlineStr">
        <is>
          <t>1</t>
        </is>
      </c>
      <c r="J748" t="inlineStr">
        <is>
          <t>No</t>
        </is>
      </c>
      <c r="K748" t="inlineStr">
        <is>
          <t>No</t>
        </is>
      </c>
      <c r="L748" t="inlineStr">
        <is>
          <t>0</t>
        </is>
      </c>
      <c r="N748" t="inlineStr">
        <is>
          <t>Boca Raton, Fla. : CRC Press, c1982-</t>
        </is>
      </c>
      <c r="O748" t="inlineStr">
        <is>
          <t>1982</t>
        </is>
      </c>
      <c r="Q748" t="inlineStr">
        <is>
          <t>eng</t>
        </is>
      </c>
      <c r="R748" t="inlineStr">
        <is>
          <t>flu</t>
        </is>
      </c>
      <c r="T748" t="inlineStr">
        <is>
          <t xml:space="preserve">QP </t>
        </is>
      </c>
      <c r="U748" t="n">
        <v>2</v>
      </c>
      <c r="V748" t="n">
        <v>2</v>
      </c>
      <c r="W748" t="inlineStr">
        <is>
          <t>1994-12-03</t>
        </is>
      </c>
      <c r="X748" t="inlineStr">
        <is>
          <t>1994-12-03</t>
        </is>
      </c>
      <c r="Y748" t="inlineStr">
        <is>
          <t>1993-03-04</t>
        </is>
      </c>
      <c r="Z748" t="inlineStr">
        <is>
          <t>1993-03-04</t>
        </is>
      </c>
      <c r="AA748" t="n">
        <v>261</v>
      </c>
      <c r="AB748" t="n">
        <v>199</v>
      </c>
      <c r="AC748" t="n">
        <v>200</v>
      </c>
      <c r="AD748" t="n">
        <v>2</v>
      </c>
      <c r="AE748" t="n">
        <v>2</v>
      </c>
      <c r="AF748" t="n">
        <v>5</v>
      </c>
      <c r="AG748" t="n">
        <v>5</v>
      </c>
      <c r="AH748" t="n">
        <v>0</v>
      </c>
      <c r="AI748" t="n">
        <v>0</v>
      </c>
      <c r="AJ748" t="n">
        <v>2</v>
      </c>
      <c r="AK748" t="n">
        <v>2</v>
      </c>
      <c r="AL748" t="n">
        <v>3</v>
      </c>
      <c r="AM748" t="n">
        <v>3</v>
      </c>
      <c r="AN748" t="n">
        <v>1</v>
      </c>
      <c r="AO748" t="n">
        <v>1</v>
      </c>
      <c r="AP748" t="n">
        <v>0</v>
      </c>
      <c r="AQ748" t="n">
        <v>0</v>
      </c>
      <c r="AR748" t="inlineStr">
        <is>
          <t>No</t>
        </is>
      </c>
      <c r="AS748" t="inlineStr">
        <is>
          <t>Yes</t>
        </is>
      </c>
      <c r="AT748">
        <f>HYPERLINK("http://catalog.hathitrust.org/Record/000470787","HathiTrust Record")</f>
        <v/>
      </c>
      <c r="AU748">
        <f>HYPERLINK("https://creighton-primo.hosted.exlibrisgroup.com/primo-explore/search?tab=default_tab&amp;search_scope=EVERYTHING&amp;vid=01CRU&amp;lang=en_US&amp;offset=0&amp;query=any,contains,991005204879702656","Catalog Record")</f>
        <v/>
      </c>
      <c r="AV748">
        <f>HYPERLINK("http://www.worldcat.org/oclc/8112676","WorldCat Record")</f>
        <v/>
      </c>
      <c r="AW748" t="inlineStr">
        <is>
          <t>8912151049:eng</t>
        </is>
      </c>
      <c r="AX748" t="inlineStr">
        <is>
          <t>8112676</t>
        </is>
      </c>
      <c r="AY748" t="inlineStr">
        <is>
          <t>991005204879702656</t>
        </is>
      </c>
      <c r="AZ748" t="inlineStr">
        <is>
          <t>991005204879702656</t>
        </is>
      </c>
      <c r="BA748" t="inlineStr">
        <is>
          <t>2256431640002656</t>
        </is>
      </c>
      <c r="BB748" t="inlineStr">
        <is>
          <t>BOOK</t>
        </is>
      </c>
      <c r="BD748" t="inlineStr">
        <is>
          <t>9780849362408</t>
        </is>
      </c>
      <c r="BE748" t="inlineStr">
        <is>
          <t>32285001563385</t>
        </is>
      </c>
      <c r="BF748" t="inlineStr">
        <is>
          <t>893320237</t>
        </is>
      </c>
    </row>
    <row r="749">
      <c r="B749" t="inlineStr">
        <is>
          <t>CURAL</t>
        </is>
      </c>
      <c r="C749" t="inlineStr">
        <is>
          <t>SHELVES</t>
        </is>
      </c>
      <c r="D749" t="inlineStr">
        <is>
          <t>QP603.S94 S97 1982, v...</t>
        </is>
      </c>
      <c r="E749" t="inlineStr">
        <is>
          <t>0                      QP 0603000S  94                 S  97          1982                  v...</t>
        </is>
      </c>
      <c r="F749" t="inlineStr">
        <is>
          <t>Superoxide dismutase / editor, Larry W. Oberley.</t>
        </is>
      </c>
      <c r="G749" t="inlineStr">
        <is>
          <t>V.1</t>
        </is>
      </c>
      <c r="H749" t="inlineStr">
        <is>
          <t>Yes</t>
        </is>
      </c>
      <c r="I749" t="inlineStr">
        <is>
          <t>1</t>
        </is>
      </c>
      <c r="J749" t="inlineStr">
        <is>
          <t>No</t>
        </is>
      </c>
      <c r="K749" t="inlineStr">
        <is>
          <t>No</t>
        </is>
      </c>
      <c r="L749" t="inlineStr">
        <is>
          <t>0</t>
        </is>
      </c>
      <c r="N749" t="inlineStr">
        <is>
          <t>Boca Raton, Fla. : CRC Press, c1982-</t>
        </is>
      </c>
      <c r="O749" t="inlineStr">
        <is>
          <t>1982</t>
        </is>
      </c>
      <c r="Q749" t="inlineStr">
        <is>
          <t>eng</t>
        </is>
      </c>
      <c r="R749" t="inlineStr">
        <is>
          <t>flu</t>
        </is>
      </c>
      <c r="T749" t="inlineStr">
        <is>
          <t xml:space="preserve">QP </t>
        </is>
      </c>
      <c r="U749" t="n">
        <v>0</v>
      </c>
      <c r="V749" t="n">
        <v>2</v>
      </c>
      <c r="X749" t="inlineStr">
        <is>
          <t>1994-12-03</t>
        </is>
      </c>
      <c r="Y749" t="inlineStr">
        <is>
          <t>1993-03-04</t>
        </is>
      </c>
      <c r="Z749" t="inlineStr">
        <is>
          <t>1993-03-04</t>
        </is>
      </c>
      <c r="AA749" t="n">
        <v>261</v>
      </c>
      <c r="AB749" t="n">
        <v>199</v>
      </c>
      <c r="AC749" t="n">
        <v>200</v>
      </c>
      <c r="AD749" t="n">
        <v>2</v>
      </c>
      <c r="AE749" t="n">
        <v>2</v>
      </c>
      <c r="AF749" t="n">
        <v>5</v>
      </c>
      <c r="AG749" t="n">
        <v>5</v>
      </c>
      <c r="AH749" t="n">
        <v>0</v>
      </c>
      <c r="AI749" t="n">
        <v>0</v>
      </c>
      <c r="AJ749" t="n">
        <v>2</v>
      </c>
      <c r="AK749" t="n">
        <v>2</v>
      </c>
      <c r="AL749" t="n">
        <v>3</v>
      </c>
      <c r="AM749" t="n">
        <v>3</v>
      </c>
      <c r="AN749" t="n">
        <v>1</v>
      </c>
      <c r="AO749" t="n">
        <v>1</v>
      </c>
      <c r="AP749" t="n">
        <v>0</v>
      </c>
      <c r="AQ749" t="n">
        <v>0</v>
      </c>
      <c r="AR749" t="inlineStr">
        <is>
          <t>No</t>
        </is>
      </c>
      <c r="AS749" t="inlineStr">
        <is>
          <t>Yes</t>
        </is>
      </c>
      <c r="AT749">
        <f>HYPERLINK("http://catalog.hathitrust.org/Record/000470787","HathiTrust Record")</f>
        <v/>
      </c>
      <c r="AU749">
        <f>HYPERLINK("https://creighton-primo.hosted.exlibrisgroup.com/primo-explore/search?tab=default_tab&amp;search_scope=EVERYTHING&amp;vid=01CRU&amp;lang=en_US&amp;offset=0&amp;query=any,contains,991005204879702656","Catalog Record")</f>
        <v/>
      </c>
      <c r="AV749">
        <f>HYPERLINK("http://www.worldcat.org/oclc/8112676","WorldCat Record")</f>
        <v/>
      </c>
      <c r="AW749" t="inlineStr">
        <is>
          <t>8912151049:eng</t>
        </is>
      </c>
      <c r="AX749" t="inlineStr">
        <is>
          <t>8112676</t>
        </is>
      </c>
      <c r="AY749" t="inlineStr">
        <is>
          <t>991005204879702656</t>
        </is>
      </c>
      <c r="AZ749" t="inlineStr">
        <is>
          <t>991005204879702656</t>
        </is>
      </c>
      <c r="BA749" t="inlineStr">
        <is>
          <t>2256431640002656</t>
        </is>
      </c>
      <c r="BB749" t="inlineStr">
        <is>
          <t>BOOK</t>
        </is>
      </c>
      <c r="BD749" t="inlineStr">
        <is>
          <t>9780849362408</t>
        </is>
      </c>
      <c r="BE749" t="inlineStr">
        <is>
          <t>32285001563377</t>
        </is>
      </c>
      <c r="BF749" t="inlineStr">
        <is>
          <t>893338710</t>
        </is>
      </c>
    </row>
    <row r="750">
      <c r="B750" t="inlineStr">
        <is>
          <t>CURAL</t>
        </is>
      </c>
      <c r="C750" t="inlineStr">
        <is>
          <t>SHELVES</t>
        </is>
      </c>
      <c r="D750" t="inlineStr">
        <is>
          <t>QP606.D46 F78 1986</t>
        </is>
      </c>
      <c r="E750" t="inlineStr">
        <is>
          <t>0                      QP 0606000D  46                 F  78          1986</t>
        </is>
      </c>
      <c r="F750" t="inlineStr">
        <is>
          <t>Animal cell DNA polymerases / authors, Michael Fry, Lawrence A. Loeb.</t>
        </is>
      </c>
      <c r="H750" t="inlineStr">
        <is>
          <t>No</t>
        </is>
      </c>
      <c r="I750" t="inlineStr">
        <is>
          <t>1</t>
        </is>
      </c>
      <c r="J750" t="inlineStr">
        <is>
          <t>No</t>
        </is>
      </c>
      <c r="K750" t="inlineStr">
        <is>
          <t>No</t>
        </is>
      </c>
      <c r="L750" t="inlineStr">
        <is>
          <t>0</t>
        </is>
      </c>
      <c r="M750" t="inlineStr">
        <is>
          <t>Fry, Michael, Ph.D.</t>
        </is>
      </c>
      <c r="N750" t="inlineStr">
        <is>
          <t>Boca Raton, Fla. : CRC Press, c1986.</t>
        </is>
      </c>
      <c r="O750" t="inlineStr">
        <is>
          <t>1986</t>
        </is>
      </c>
      <c r="Q750" t="inlineStr">
        <is>
          <t>eng</t>
        </is>
      </c>
      <c r="R750" t="inlineStr">
        <is>
          <t>flu</t>
        </is>
      </c>
      <c r="T750" t="inlineStr">
        <is>
          <t xml:space="preserve">QP </t>
        </is>
      </c>
      <c r="U750" t="n">
        <v>4</v>
      </c>
      <c r="V750" t="n">
        <v>4</v>
      </c>
      <c r="W750" t="inlineStr">
        <is>
          <t>1998-10-11</t>
        </is>
      </c>
      <c r="X750" t="inlineStr">
        <is>
          <t>1998-10-11</t>
        </is>
      </c>
      <c r="Y750" t="inlineStr">
        <is>
          <t>1993-03-17</t>
        </is>
      </c>
      <c r="Z750" t="inlineStr">
        <is>
          <t>1993-03-17</t>
        </is>
      </c>
      <c r="AA750" t="n">
        <v>173</v>
      </c>
      <c r="AB750" t="n">
        <v>131</v>
      </c>
      <c r="AC750" t="n">
        <v>134</v>
      </c>
      <c r="AD750" t="n">
        <v>1</v>
      </c>
      <c r="AE750" t="n">
        <v>1</v>
      </c>
      <c r="AF750" t="n">
        <v>2</v>
      </c>
      <c r="AG750" t="n">
        <v>2</v>
      </c>
      <c r="AH750" t="n">
        <v>0</v>
      </c>
      <c r="AI750" t="n">
        <v>0</v>
      </c>
      <c r="AJ750" t="n">
        <v>1</v>
      </c>
      <c r="AK750" t="n">
        <v>1</v>
      </c>
      <c r="AL750" t="n">
        <v>1</v>
      </c>
      <c r="AM750" t="n">
        <v>1</v>
      </c>
      <c r="AN750" t="n">
        <v>0</v>
      </c>
      <c r="AO750" t="n">
        <v>0</v>
      </c>
      <c r="AP750" t="n">
        <v>0</v>
      </c>
      <c r="AQ750" t="n">
        <v>0</v>
      </c>
      <c r="AR750" t="inlineStr">
        <is>
          <t>No</t>
        </is>
      </c>
      <c r="AS750" t="inlineStr">
        <is>
          <t>Yes</t>
        </is>
      </c>
      <c r="AT750">
        <f>HYPERLINK("http://catalog.hathitrust.org/Record/000477533","HathiTrust Record")</f>
        <v/>
      </c>
      <c r="AU750">
        <f>HYPERLINK("https://creighton-primo.hosted.exlibrisgroup.com/primo-explore/search?tab=default_tab&amp;search_scope=EVERYTHING&amp;vid=01CRU&amp;lang=en_US&amp;offset=0&amp;query=any,contains,991000822379702656","Catalog Record")</f>
        <v/>
      </c>
      <c r="AV750">
        <f>HYPERLINK("http://www.worldcat.org/oclc/13395990","WorldCat Record")</f>
        <v/>
      </c>
      <c r="AW750" t="inlineStr">
        <is>
          <t>7807268:eng</t>
        </is>
      </c>
      <c r="AX750" t="inlineStr">
        <is>
          <t>13395990</t>
        </is>
      </c>
      <c r="AY750" t="inlineStr">
        <is>
          <t>991000822379702656</t>
        </is>
      </c>
      <c r="AZ750" t="inlineStr">
        <is>
          <t>991000822379702656</t>
        </is>
      </c>
      <c r="BA750" t="inlineStr">
        <is>
          <t>2262052230002656</t>
        </is>
      </c>
      <c r="BB750" t="inlineStr">
        <is>
          <t>BOOK</t>
        </is>
      </c>
      <c r="BD750" t="inlineStr">
        <is>
          <t>9780849365072</t>
        </is>
      </c>
      <c r="BE750" t="inlineStr">
        <is>
          <t>32285001573954</t>
        </is>
      </c>
      <c r="BF750" t="inlineStr">
        <is>
          <t>893413710</t>
        </is>
      </c>
    </row>
    <row r="751">
      <c r="B751" t="inlineStr">
        <is>
          <t>CURAL</t>
        </is>
      </c>
      <c r="C751" t="inlineStr">
        <is>
          <t>SHELVES</t>
        </is>
      </c>
      <c r="D751" t="inlineStr">
        <is>
          <t>QP606.D46 N49 1994</t>
        </is>
      </c>
      <c r="E751" t="inlineStr">
        <is>
          <t>0                      QP 0606000D  46                 N  49          1994</t>
        </is>
      </c>
      <c r="F751" t="inlineStr">
        <is>
          <t>PCR / C.R. Newton and A. Graham.</t>
        </is>
      </c>
      <c r="H751" t="inlineStr">
        <is>
          <t>No</t>
        </is>
      </c>
      <c r="I751" t="inlineStr">
        <is>
          <t>1</t>
        </is>
      </c>
      <c r="J751" t="inlineStr">
        <is>
          <t>No</t>
        </is>
      </c>
      <c r="K751" t="inlineStr">
        <is>
          <t>Yes</t>
        </is>
      </c>
      <c r="L751" t="inlineStr">
        <is>
          <t>0</t>
        </is>
      </c>
      <c r="M751" t="inlineStr">
        <is>
          <t>Newton, C. R. (Clive R.)</t>
        </is>
      </c>
      <c r="N751" t="inlineStr">
        <is>
          <t>Oxford : Bios Scientific Publishers in association with the Biochemical Society, 1994.</t>
        </is>
      </c>
      <c r="O751" t="inlineStr">
        <is>
          <t>1994</t>
        </is>
      </c>
      <c r="Q751" t="inlineStr">
        <is>
          <t>eng</t>
        </is>
      </c>
      <c r="R751" t="inlineStr">
        <is>
          <t>enk</t>
        </is>
      </c>
      <c r="S751" t="inlineStr">
        <is>
          <t>The introduction to biotechniques series</t>
        </is>
      </c>
      <c r="T751" t="inlineStr">
        <is>
          <t xml:space="preserve">QP </t>
        </is>
      </c>
      <c r="U751" t="n">
        <v>23</v>
      </c>
      <c r="V751" t="n">
        <v>23</v>
      </c>
      <c r="W751" t="inlineStr">
        <is>
          <t>2007-04-23</t>
        </is>
      </c>
      <c r="X751" t="inlineStr">
        <is>
          <t>2007-04-23</t>
        </is>
      </c>
      <c r="Y751" t="inlineStr">
        <is>
          <t>1996-07-08</t>
        </is>
      </c>
      <c r="Z751" t="inlineStr">
        <is>
          <t>1996-07-08</t>
        </is>
      </c>
      <c r="AA751" t="n">
        <v>218</v>
      </c>
      <c r="AB751" t="n">
        <v>115</v>
      </c>
      <c r="AC751" t="n">
        <v>390</v>
      </c>
      <c r="AD751" t="n">
        <v>3</v>
      </c>
      <c r="AE751" t="n">
        <v>4</v>
      </c>
      <c r="AF751" t="n">
        <v>5</v>
      </c>
      <c r="AG751" t="n">
        <v>19</v>
      </c>
      <c r="AH751" t="n">
        <v>1</v>
      </c>
      <c r="AI751" t="n">
        <v>6</v>
      </c>
      <c r="AJ751" t="n">
        <v>1</v>
      </c>
      <c r="AK751" t="n">
        <v>4</v>
      </c>
      <c r="AL751" t="n">
        <v>2</v>
      </c>
      <c r="AM751" t="n">
        <v>10</v>
      </c>
      <c r="AN751" t="n">
        <v>2</v>
      </c>
      <c r="AO751" t="n">
        <v>3</v>
      </c>
      <c r="AP751" t="n">
        <v>0</v>
      </c>
      <c r="AQ751" t="n">
        <v>0</v>
      </c>
      <c r="AR751" t="inlineStr">
        <is>
          <t>No</t>
        </is>
      </c>
      <c r="AS751" t="inlineStr">
        <is>
          <t>Yes</t>
        </is>
      </c>
      <c r="AT751">
        <f>HYPERLINK("http://catalog.hathitrust.org/Record/002806837","HathiTrust Record")</f>
        <v/>
      </c>
      <c r="AU751">
        <f>HYPERLINK("https://creighton-primo.hosted.exlibrisgroup.com/primo-explore/search?tab=default_tab&amp;search_scope=EVERYTHING&amp;vid=01CRU&amp;lang=en_US&amp;offset=0&amp;query=any,contains,991002313559702656","Catalog Record")</f>
        <v/>
      </c>
      <c r="AV751">
        <f>HYPERLINK("http://www.worldcat.org/oclc/30030710","WorldCat Record")</f>
        <v/>
      </c>
      <c r="AW751" t="inlineStr">
        <is>
          <t>4929093741:eng</t>
        </is>
      </c>
      <c r="AX751" t="inlineStr">
        <is>
          <t>30030710</t>
        </is>
      </c>
      <c r="AY751" t="inlineStr">
        <is>
          <t>991002313559702656</t>
        </is>
      </c>
      <c r="AZ751" t="inlineStr">
        <is>
          <t>991002313559702656</t>
        </is>
      </c>
      <c r="BA751" t="inlineStr">
        <is>
          <t>2269295390002656</t>
        </is>
      </c>
      <c r="BB751" t="inlineStr">
        <is>
          <t>BOOK</t>
        </is>
      </c>
      <c r="BD751" t="inlineStr">
        <is>
          <t>9781872748825</t>
        </is>
      </c>
      <c r="BE751" t="inlineStr">
        <is>
          <t>32285002207230</t>
        </is>
      </c>
      <c r="BF751" t="inlineStr">
        <is>
          <t>893352251</t>
        </is>
      </c>
    </row>
    <row r="752">
      <c r="B752" t="inlineStr">
        <is>
          <t>CURAL</t>
        </is>
      </c>
      <c r="C752" t="inlineStr">
        <is>
          <t>SHELVES</t>
        </is>
      </c>
      <c r="D752" t="inlineStr">
        <is>
          <t>QP606.D46 P359 1995</t>
        </is>
      </c>
      <c r="E752" t="inlineStr">
        <is>
          <t>0                      QP 0606000D  46                 P  359         1995</t>
        </is>
      </c>
      <c r="F752" t="inlineStr">
        <is>
          <t>PCR primer : a laboratory manual / edited by Carl W. Dieffenbach, Gabriela S. Dveksler.</t>
        </is>
      </c>
      <c r="H752" t="inlineStr">
        <is>
          <t>No</t>
        </is>
      </c>
      <c r="I752" t="inlineStr">
        <is>
          <t>1</t>
        </is>
      </c>
      <c r="J752" t="inlineStr">
        <is>
          <t>No</t>
        </is>
      </c>
      <c r="K752" t="inlineStr">
        <is>
          <t>No</t>
        </is>
      </c>
      <c r="L752" t="inlineStr">
        <is>
          <t>0</t>
        </is>
      </c>
      <c r="N752" t="inlineStr">
        <is>
          <t>Plainview, N.Y. : Cold Spring Harbor Laboratory Press, 1995.</t>
        </is>
      </c>
      <c r="O752" t="inlineStr">
        <is>
          <t>1995</t>
        </is>
      </c>
      <c r="Q752" t="inlineStr">
        <is>
          <t>eng</t>
        </is>
      </c>
      <c r="R752" t="inlineStr">
        <is>
          <t>nyu</t>
        </is>
      </c>
      <c r="T752" t="inlineStr">
        <is>
          <t xml:space="preserve">QP </t>
        </is>
      </c>
      <c r="U752" t="n">
        <v>16</v>
      </c>
      <c r="V752" t="n">
        <v>16</v>
      </c>
      <c r="W752" t="inlineStr">
        <is>
          <t>2001-09-26</t>
        </is>
      </c>
      <c r="X752" t="inlineStr">
        <is>
          <t>2001-09-26</t>
        </is>
      </c>
      <c r="Y752" t="inlineStr">
        <is>
          <t>1996-02-21</t>
        </is>
      </c>
      <c r="Z752" t="inlineStr">
        <is>
          <t>1996-02-21</t>
        </is>
      </c>
      <c r="AA752" t="n">
        <v>320</v>
      </c>
      <c r="AB752" t="n">
        <v>208</v>
      </c>
      <c r="AC752" t="n">
        <v>317</v>
      </c>
      <c r="AD752" t="n">
        <v>2</v>
      </c>
      <c r="AE752" t="n">
        <v>3</v>
      </c>
      <c r="AF752" t="n">
        <v>8</v>
      </c>
      <c r="AG752" t="n">
        <v>10</v>
      </c>
      <c r="AH752" t="n">
        <v>2</v>
      </c>
      <c r="AI752" t="n">
        <v>2</v>
      </c>
      <c r="AJ752" t="n">
        <v>2</v>
      </c>
      <c r="AK752" t="n">
        <v>2</v>
      </c>
      <c r="AL752" t="n">
        <v>5</v>
      </c>
      <c r="AM752" t="n">
        <v>6</v>
      </c>
      <c r="AN752" t="n">
        <v>1</v>
      </c>
      <c r="AO752" t="n">
        <v>2</v>
      </c>
      <c r="AP752" t="n">
        <v>0</v>
      </c>
      <c r="AQ752" t="n">
        <v>0</v>
      </c>
      <c r="AR752" t="inlineStr">
        <is>
          <t>No</t>
        </is>
      </c>
      <c r="AS752" t="inlineStr">
        <is>
          <t>Yes</t>
        </is>
      </c>
      <c r="AT752">
        <f>HYPERLINK("http://catalog.hathitrust.org/Record/003026159","HathiTrust Record")</f>
        <v/>
      </c>
      <c r="AU752">
        <f>HYPERLINK("https://creighton-primo.hosted.exlibrisgroup.com/primo-explore/search?tab=default_tab&amp;search_scope=EVERYTHING&amp;vid=01CRU&amp;lang=en_US&amp;offset=0&amp;query=any,contains,991002519079702656","Catalog Record")</f>
        <v/>
      </c>
      <c r="AV752">
        <f>HYPERLINK("http://www.worldcat.org/oclc/32778364","WorldCat Record")</f>
        <v/>
      </c>
      <c r="AW752" t="inlineStr">
        <is>
          <t>504379106:eng</t>
        </is>
      </c>
      <c r="AX752" t="inlineStr">
        <is>
          <t>32778364</t>
        </is>
      </c>
      <c r="AY752" t="inlineStr">
        <is>
          <t>991002519079702656</t>
        </is>
      </c>
      <c r="AZ752" t="inlineStr">
        <is>
          <t>991002519079702656</t>
        </is>
      </c>
      <c r="BA752" t="inlineStr">
        <is>
          <t>2260180360002656</t>
        </is>
      </c>
      <c r="BB752" t="inlineStr">
        <is>
          <t>BOOK</t>
        </is>
      </c>
      <c r="BD752" t="inlineStr">
        <is>
          <t>9780879694470</t>
        </is>
      </c>
      <c r="BE752" t="inlineStr">
        <is>
          <t>32285002137023</t>
        </is>
      </c>
      <c r="BF752" t="inlineStr">
        <is>
          <t>893697897</t>
        </is>
      </c>
    </row>
    <row r="753">
      <c r="B753" t="inlineStr">
        <is>
          <t>CURAL</t>
        </is>
      </c>
      <c r="C753" t="inlineStr">
        <is>
          <t>SHELVES</t>
        </is>
      </c>
      <c r="D753" t="inlineStr">
        <is>
          <t>QP606.D46 P652 1994</t>
        </is>
      </c>
      <c r="E753" t="inlineStr">
        <is>
          <t>0                      QP 0606000D  46                 P  652         1994</t>
        </is>
      </c>
      <c r="F753" t="inlineStr">
        <is>
          <t>The Polymerase chain reaction / Kary B. Mullis, François Ferré, Richard A. Gibbs, editors ; foreword by James D. Watson.</t>
        </is>
      </c>
      <c r="H753" t="inlineStr">
        <is>
          <t>No</t>
        </is>
      </c>
      <c r="I753" t="inlineStr">
        <is>
          <t>1</t>
        </is>
      </c>
      <c r="J753" t="inlineStr">
        <is>
          <t>Yes</t>
        </is>
      </c>
      <c r="K753" t="inlineStr">
        <is>
          <t>No</t>
        </is>
      </c>
      <c r="L753" t="inlineStr">
        <is>
          <t>0</t>
        </is>
      </c>
      <c r="N753" t="inlineStr">
        <is>
          <t>Boston : Birkhäuser, c1994.</t>
        </is>
      </c>
      <c r="O753" t="inlineStr">
        <is>
          <t>1994</t>
        </is>
      </c>
      <c r="Q753" t="inlineStr">
        <is>
          <t>eng</t>
        </is>
      </c>
      <c r="R753" t="inlineStr">
        <is>
          <t>mau</t>
        </is>
      </c>
      <c r="T753" t="inlineStr">
        <is>
          <t xml:space="preserve">QP </t>
        </is>
      </c>
      <c r="U753" t="n">
        <v>37</v>
      </c>
      <c r="V753" t="n">
        <v>74</v>
      </c>
      <c r="W753" t="inlineStr">
        <is>
          <t>2007-11-11</t>
        </is>
      </c>
      <c r="X753" t="inlineStr">
        <is>
          <t>2009-01-13</t>
        </is>
      </c>
      <c r="Y753" t="inlineStr">
        <is>
          <t>1994-12-16</t>
        </is>
      </c>
      <c r="Z753" t="inlineStr">
        <is>
          <t>1995-02-13</t>
        </is>
      </c>
      <c r="AA753" t="n">
        <v>488</v>
      </c>
      <c r="AB753" t="n">
        <v>332</v>
      </c>
      <c r="AC753" t="n">
        <v>442</v>
      </c>
      <c r="AD753" t="n">
        <v>5</v>
      </c>
      <c r="AE753" t="n">
        <v>5</v>
      </c>
      <c r="AF753" t="n">
        <v>14</v>
      </c>
      <c r="AG753" t="n">
        <v>16</v>
      </c>
      <c r="AH753" t="n">
        <v>5</v>
      </c>
      <c r="AI753" t="n">
        <v>6</v>
      </c>
      <c r="AJ753" t="n">
        <v>3</v>
      </c>
      <c r="AK753" t="n">
        <v>4</v>
      </c>
      <c r="AL753" t="n">
        <v>8</v>
      </c>
      <c r="AM753" t="n">
        <v>8</v>
      </c>
      <c r="AN753" t="n">
        <v>3</v>
      </c>
      <c r="AO753" t="n">
        <v>3</v>
      </c>
      <c r="AP753" t="n">
        <v>0</v>
      </c>
      <c r="AQ753" t="n">
        <v>0</v>
      </c>
      <c r="AR753" t="inlineStr">
        <is>
          <t>No</t>
        </is>
      </c>
      <c r="AS753" t="inlineStr">
        <is>
          <t>Yes</t>
        </is>
      </c>
      <c r="AT753">
        <f>HYPERLINK("http://catalog.hathitrust.org/Record/002818347","HathiTrust Record")</f>
        <v/>
      </c>
      <c r="AU753">
        <f>HYPERLINK("https://creighton-primo.hosted.exlibrisgroup.com/primo-explore/search?tab=default_tab&amp;search_scope=EVERYTHING&amp;vid=01CRU&amp;lang=en_US&amp;offset=0&amp;query=any,contains,991001798269702656","Catalog Record")</f>
        <v/>
      </c>
      <c r="AV753">
        <f>HYPERLINK("http://www.worldcat.org/oclc/29929377","WorldCat Record")</f>
        <v/>
      </c>
      <c r="AW753" t="inlineStr">
        <is>
          <t>402791863:eng</t>
        </is>
      </c>
      <c r="AX753" t="inlineStr">
        <is>
          <t>29929377</t>
        </is>
      </c>
      <c r="AY753" t="inlineStr">
        <is>
          <t>991001798269702656</t>
        </is>
      </c>
      <c r="AZ753" t="inlineStr">
        <is>
          <t>991001798269702656</t>
        </is>
      </c>
      <c r="BA753" t="inlineStr">
        <is>
          <t>2267446050002656</t>
        </is>
      </c>
      <c r="BB753" t="inlineStr">
        <is>
          <t>BOOK</t>
        </is>
      </c>
      <c r="BD753" t="inlineStr">
        <is>
          <t>9780817636074</t>
        </is>
      </c>
      <c r="BE753" t="inlineStr">
        <is>
          <t>32285001884781</t>
        </is>
      </c>
      <c r="BF753" t="inlineStr">
        <is>
          <t>893621636</t>
        </is>
      </c>
    </row>
    <row r="754">
      <c r="B754" t="inlineStr">
        <is>
          <t>CURAL</t>
        </is>
      </c>
      <c r="C754" t="inlineStr">
        <is>
          <t>SHELVES</t>
        </is>
      </c>
      <c r="D754" t="inlineStr">
        <is>
          <t>QP606.R53 R18</t>
        </is>
      </c>
      <c r="E754" t="inlineStr">
        <is>
          <t>0                      QP 0606000R  53                 R  18</t>
        </is>
      </c>
      <c r="F754" t="inlineStr">
        <is>
          <t>RNA polymerase / edited by R. Losick, M. Chamberlin.</t>
        </is>
      </c>
      <c r="H754" t="inlineStr">
        <is>
          <t>No</t>
        </is>
      </c>
      <c r="I754" t="inlineStr">
        <is>
          <t>1</t>
        </is>
      </c>
      <c r="J754" t="inlineStr">
        <is>
          <t>No</t>
        </is>
      </c>
      <c r="K754" t="inlineStr">
        <is>
          <t>No</t>
        </is>
      </c>
      <c r="L754" t="inlineStr">
        <is>
          <t>0</t>
        </is>
      </c>
      <c r="N754" t="inlineStr">
        <is>
          <t>[Cold Spring Harbor, N.Y.] : Cold Spring Harbor Laboratory, 1976.</t>
        </is>
      </c>
      <c r="O754" t="inlineStr">
        <is>
          <t>1976</t>
        </is>
      </c>
      <c r="Q754" t="inlineStr">
        <is>
          <t>eng</t>
        </is>
      </c>
      <c r="R754" t="inlineStr">
        <is>
          <t>nyu</t>
        </is>
      </c>
      <c r="S754" t="inlineStr">
        <is>
          <t>Cold Spring Harbor monograph series</t>
        </is>
      </c>
      <c r="T754" t="inlineStr">
        <is>
          <t xml:space="preserve">QP </t>
        </is>
      </c>
      <c r="U754" t="n">
        <v>2</v>
      </c>
      <c r="V754" t="n">
        <v>2</v>
      </c>
      <c r="W754" t="inlineStr">
        <is>
          <t>1996-11-24</t>
        </is>
      </c>
      <c r="X754" t="inlineStr">
        <is>
          <t>1996-11-24</t>
        </is>
      </c>
      <c r="Y754" t="inlineStr">
        <is>
          <t>1993-03-04</t>
        </is>
      </c>
      <c r="Z754" t="inlineStr">
        <is>
          <t>1993-03-04</t>
        </is>
      </c>
      <c r="AA754" t="n">
        <v>367</v>
      </c>
      <c r="AB754" t="n">
        <v>260</v>
      </c>
      <c r="AC754" t="n">
        <v>272</v>
      </c>
      <c r="AD754" t="n">
        <v>3</v>
      </c>
      <c r="AE754" t="n">
        <v>3</v>
      </c>
      <c r="AF754" t="n">
        <v>5</v>
      </c>
      <c r="AG754" t="n">
        <v>5</v>
      </c>
      <c r="AH754" t="n">
        <v>0</v>
      </c>
      <c r="AI754" t="n">
        <v>0</v>
      </c>
      <c r="AJ754" t="n">
        <v>2</v>
      </c>
      <c r="AK754" t="n">
        <v>2</v>
      </c>
      <c r="AL754" t="n">
        <v>3</v>
      </c>
      <c r="AM754" t="n">
        <v>3</v>
      </c>
      <c r="AN754" t="n">
        <v>2</v>
      </c>
      <c r="AO754" t="n">
        <v>2</v>
      </c>
      <c r="AP754" t="n">
        <v>0</v>
      </c>
      <c r="AQ754" t="n">
        <v>0</v>
      </c>
      <c r="AR754" t="inlineStr">
        <is>
          <t>No</t>
        </is>
      </c>
      <c r="AS754" t="inlineStr">
        <is>
          <t>Yes</t>
        </is>
      </c>
      <c r="AT754">
        <f>HYPERLINK("http://catalog.hathitrust.org/Record/000085971","HathiTrust Record")</f>
        <v/>
      </c>
      <c r="AU754">
        <f>HYPERLINK("https://creighton-primo.hosted.exlibrisgroup.com/primo-explore/search?tab=default_tab&amp;search_scope=EVERYTHING&amp;vid=01CRU&amp;lang=en_US&amp;offset=0&amp;query=any,contains,991004168299702656","Catalog Record")</f>
        <v/>
      </c>
      <c r="AV754">
        <f>HYPERLINK("http://www.worldcat.org/oclc/2572123","WorldCat Record")</f>
        <v/>
      </c>
      <c r="AW754" t="inlineStr">
        <is>
          <t>5396039:eng</t>
        </is>
      </c>
      <c r="AX754" t="inlineStr">
        <is>
          <t>2572123</t>
        </is>
      </c>
      <c r="AY754" t="inlineStr">
        <is>
          <t>991004168299702656</t>
        </is>
      </c>
      <c r="AZ754" t="inlineStr">
        <is>
          <t>991004168299702656</t>
        </is>
      </c>
      <c r="BA754" t="inlineStr">
        <is>
          <t>2260782250002656</t>
        </is>
      </c>
      <c r="BB754" t="inlineStr">
        <is>
          <t>BOOK</t>
        </is>
      </c>
      <c r="BD754" t="inlineStr">
        <is>
          <t>9780879691158</t>
        </is>
      </c>
      <c r="BE754" t="inlineStr">
        <is>
          <t>32285001563419</t>
        </is>
      </c>
      <c r="BF754" t="inlineStr">
        <is>
          <t>893794553</t>
        </is>
      </c>
    </row>
    <row r="755">
      <c r="B755" t="inlineStr">
        <is>
          <t>CURAL</t>
        </is>
      </c>
      <c r="C755" t="inlineStr">
        <is>
          <t>SHELVES</t>
        </is>
      </c>
      <c r="D755" t="inlineStr">
        <is>
          <t>QP609.P7 P76</t>
        </is>
      </c>
      <c r="E755" t="inlineStr">
        <is>
          <t>0                      QP 0609000P  7                  P  76</t>
        </is>
      </c>
      <c r="F755" t="inlineStr">
        <is>
          <t>Proteases and biological control / edited by E. Reich, D. B. Rifkin, E. Shaw.</t>
        </is>
      </c>
      <c r="H755" t="inlineStr">
        <is>
          <t>No</t>
        </is>
      </c>
      <c r="I755" t="inlineStr">
        <is>
          <t>1</t>
        </is>
      </c>
      <c r="J755" t="inlineStr">
        <is>
          <t>No</t>
        </is>
      </c>
      <c r="K755" t="inlineStr">
        <is>
          <t>No</t>
        </is>
      </c>
      <c r="L755" t="inlineStr">
        <is>
          <t>0</t>
        </is>
      </c>
      <c r="N755" t="inlineStr">
        <is>
          <t>[Cold Spring Harbor, N.Y.] : Cold Spring Harbor Laboratory, 1975.</t>
        </is>
      </c>
      <c r="O755" t="inlineStr">
        <is>
          <t>1975</t>
        </is>
      </c>
      <c r="Q755" t="inlineStr">
        <is>
          <t>eng</t>
        </is>
      </c>
      <c r="R755" t="inlineStr">
        <is>
          <t>nyu</t>
        </is>
      </c>
      <c r="S755" t="inlineStr">
        <is>
          <t>Cold Spring Harbor conferences on cell proliferation ; v. 2</t>
        </is>
      </c>
      <c r="T755" t="inlineStr">
        <is>
          <t xml:space="preserve">QP </t>
        </is>
      </c>
      <c r="U755" t="n">
        <v>8</v>
      </c>
      <c r="V755" t="n">
        <v>8</v>
      </c>
      <c r="W755" t="inlineStr">
        <is>
          <t>1996-09-20</t>
        </is>
      </c>
      <c r="X755" t="inlineStr">
        <is>
          <t>1996-09-20</t>
        </is>
      </c>
      <c r="Y755" t="inlineStr">
        <is>
          <t>1993-03-04</t>
        </is>
      </c>
      <c r="Z755" t="inlineStr">
        <is>
          <t>1993-03-04</t>
        </is>
      </c>
      <c r="AA755" t="n">
        <v>380</v>
      </c>
      <c r="AB755" t="n">
        <v>279</v>
      </c>
      <c r="AC755" t="n">
        <v>281</v>
      </c>
      <c r="AD755" t="n">
        <v>3</v>
      </c>
      <c r="AE755" t="n">
        <v>3</v>
      </c>
      <c r="AF755" t="n">
        <v>8</v>
      </c>
      <c r="AG755" t="n">
        <v>8</v>
      </c>
      <c r="AH755" t="n">
        <v>1</v>
      </c>
      <c r="AI755" t="n">
        <v>1</v>
      </c>
      <c r="AJ755" t="n">
        <v>3</v>
      </c>
      <c r="AK755" t="n">
        <v>3</v>
      </c>
      <c r="AL755" t="n">
        <v>4</v>
      </c>
      <c r="AM755" t="n">
        <v>4</v>
      </c>
      <c r="AN755" t="n">
        <v>2</v>
      </c>
      <c r="AO755" t="n">
        <v>2</v>
      </c>
      <c r="AP755" t="n">
        <v>0</v>
      </c>
      <c r="AQ755" t="n">
        <v>0</v>
      </c>
      <c r="AR755" t="inlineStr">
        <is>
          <t>No</t>
        </is>
      </c>
      <c r="AS755" t="inlineStr">
        <is>
          <t>Yes</t>
        </is>
      </c>
      <c r="AT755">
        <f>HYPERLINK("http://catalog.hathitrust.org/Record/000702589","HathiTrust Record")</f>
        <v/>
      </c>
      <c r="AU755">
        <f>HYPERLINK("https://creighton-primo.hosted.exlibrisgroup.com/primo-explore/search?tab=default_tab&amp;search_scope=EVERYTHING&amp;vid=01CRU&amp;lang=en_US&amp;offset=0&amp;query=any,contains,991005264409702656","Catalog Record")</f>
        <v/>
      </c>
      <c r="AV755">
        <f>HYPERLINK("http://www.worldcat.org/oclc/1878387","WorldCat Record")</f>
        <v/>
      </c>
      <c r="AW755" t="inlineStr">
        <is>
          <t>365389281:eng</t>
        </is>
      </c>
      <c r="AX755" t="inlineStr">
        <is>
          <t>1878387</t>
        </is>
      </c>
      <c r="AY755" t="inlineStr">
        <is>
          <t>991005264409702656</t>
        </is>
      </c>
      <c r="AZ755" t="inlineStr">
        <is>
          <t>991005264409702656</t>
        </is>
      </c>
      <c r="BA755" t="inlineStr">
        <is>
          <t>2260276850002656</t>
        </is>
      </c>
      <c r="BB755" t="inlineStr">
        <is>
          <t>BOOK</t>
        </is>
      </c>
      <c r="BD755" t="inlineStr">
        <is>
          <t>9780879691141</t>
        </is>
      </c>
      <c r="BE755" t="inlineStr">
        <is>
          <t>32285001563435</t>
        </is>
      </c>
      <c r="BF755" t="inlineStr">
        <is>
          <t>893713761</t>
        </is>
      </c>
    </row>
    <row r="756">
      <c r="B756" t="inlineStr">
        <is>
          <t>CURAL</t>
        </is>
      </c>
      <c r="C756" t="inlineStr">
        <is>
          <t>SHELVES</t>
        </is>
      </c>
      <c r="D756" t="inlineStr">
        <is>
          <t>QP620 .A53 1994</t>
        </is>
      </c>
      <c r="E756" t="inlineStr">
        <is>
          <t>0                      QP 0620000A  53          1994</t>
        </is>
      </c>
      <c r="F756" t="inlineStr">
        <is>
          <t>Ancient DNA : recovery and analysis of genetic material from paleontological, archaeological, museum, medical, and forensic specimens / Bernd Herrmann, Susanne Hummel, editors.</t>
        </is>
      </c>
      <c r="H756" t="inlineStr">
        <is>
          <t>No</t>
        </is>
      </c>
      <c r="I756" t="inlineStr">
        <is>
          <t>1</t>
        </is>
      </c>
      <c r="J756" t="inlineStr">
        <is>
          <t>No</t>
        </is>
      </c>
      <c r="K756" t="inlineStr">
        <is>
          <t>No</t>
        </is>
      </c>
      <c r="L756" t="inlineStr">
        <is>
          <t>0</t>
        </is>
      </c>
      <c r="N756" t="inlineStr">
        <is>
          <t>New York : Springer-Verlag, c1994.</t>
        </is>
      </c>
      <c r="O756" t="inlineStr">
        <is>
          <t>1994</t>
        </is>
      </c>
      <c r="Q756" t="inlineStr">
        <is>
          <t>eng</t>
        </is>
      </c>
      <c r="R756" t="inlineStr">
        <is>
          <t>nyu</t>
        </is>
      </c>
      <c r="T756" t="inlineStr">
        <is>
          <t xml:space="preserve">QP </t>
        </is>
      </c>
      <c r="U756" t="n">
        <v>11</v>
      </c>
      <c r="V756" t="n">
        <v>11</v>
      </c>
      <c r="W756" t="inlineStr">
        <is>
          <t>1996-10-30</t>
        </is>
      </c>
      <c r="X756" t="inlineStr">
        <is>
          <t>1996-10-30</t>
        </is>
      </c>
      <c r="Y756" t="inlineStr">
        <is>
          <t>1994-04-25</t>
        </is>
      </c>
      <c r="Z756" t="inlineStr">
        <is>
          <t>1994-04-25</t>
        </is>
      </c>
      <c r="AA756" t="n">
        <v>600</v>
      </c>
      <c r="AB756" t="n">
        <v>459</v>
      </c>
      <c r="AC756" t="n">
        <v>490</v>
      </c>
      <c r="AD756" t="n">
        <v>3</v>
      </c>
      <c r="AE756" t="n">
        <v>3</v>
      </c>
      <c r="AF756" t="n">
        <v>18</v>
      </c>
      <c r="AG756" t="n">
        <v>21</v>
      </c>
      <c r="AH756" t="n">
        <v>8</v>
      </c>
      <c r="AI756" t="n">
        <v>10</v>
      </c>
      <c r="AJ756" t="n">
        <v>5</v>
      </c>
      <c r="AK756" t="n">
        <v>6</v>
      </c>
      <c r="AL756" t="n">
        <v>6</v>
      </c>
      <c r="AM756" t="n">
        <v>8</v>
      </c>
      <c r="AN756" t="n">
        <v>2</v>
      </c>
      <c r="AO756" t="n">
        <v>2</v>
      </c>
      <c r="AP756" t="n">
        <v>0</v>
      </c>
      <c r="AQ756" t="n">
        <v>0</v>
      </c>
      <c r="AR756" t="inlineStr">
        <is>
          <t>No</t>
        </is>
      </c>
      <c r="AS756" t="inlineStr">
        <is>
          <t>Yes</t>
        </is>
      </c>
      <c r="AT756">
        <f>HYPERLINK("http://catalog.hathitrust.org/Record/002734007","HathiTrust Record")</f>
        <v/>
      </c>
      <c r="AU756">
        <f>HYPERLINK("https://creighton-primo.hosted.exlibrisgroup.com/primo-explore/search?tab=default_tab&amp;search_scope=EVERYTHING&amp;vid=01CRU&amp;lang=en_US&amp;offset=0&amp;query=any,contains,991002077729702656","Catalog Record")</f>
        <v/>
      </c>
      <c r="AV756">
        <f>HYPERLINK("http://www.worldcat.org/oclc/26634636","WorldCat Record")</f>
        <v/>
      </c>
      <c r="AW756" t="inlineStr">
        <is>
          <t>807011402:eng</t>
        </is>
      </c>
      <c r="AX756" t="inlineStr">
        <is>
          <t>26634636</t>
        </is>
      </c>
      <c r="AY756" t="inlineStr">
        <is>
          <t>991002077729702656</t>
        </is>
      </c>
      <c r="AZ756" t="inlineStr">
        <is>
          <t>991002077729702656</t>
        </is>
      </c>
      <c r="BA756" t="inlineStr">
        <is>
          <t>2264226780002656</t>
        </is>
      </c>
      <c r="BB756" t="inlineStr">
        <is>
          <t>BOOK</t>
        </is>
      </c>
      <c r="BD756" t="inlineStr">
        <is>
          <t>9780387979298</t>
        </is>
      </c>
      <c r="BE756" t="inlineStr">
        <is>
          <t>32285001877348</t>
        </is>
      </c>
      <c r="BF756" t="inlineStr">
        <is>
          <t>893798150</t>
        </is>
      </c>
    </row>
    <row r="757">
      <c r="B757" t="inlineStr">
        <is>
          <t>CURAL</t>
        </is>
      </c>
      <c r="C757" t="inlineStr">
        <is>
          <t>SHELVES</t>
        </is>
      </c>
      <c r="D757" t="inlineStr">
        <is>
          <t>QP620 .B56 1986</t>
        </is>
      </c>
      <c r="E757" t="inlineStr">
        <is>
          <t>0                      QP 0620000B  56          1986</t>
        </is>
      </c>
      <c r="F757" t="inlineStr">
        <is>
          <t>The biochemistry of the nucleic acids / Roger L.P. Adams, John T. Knowler, David P. Leader.</t>
        </is>
      </c>
      <c r="H757" t="inlineStr">
        <is>
          <t>No</t>
        </is>
      </c>
      <c r="I757" t="inlineStr">
        <is>
          <t>1</t>
        </is>
      </c>
      <c r="J757" t="inlineStr">
        <is>
          <t>No</t>
        </is>
      </c>
      <c r="K757" t="inlineStr">
        <is>
          <t>Yes</t>
        </is>
      </c>
      <c r="L757" t="inlineStr">
        <is>
          <t>0</t>
        </is>
      </c>
      <c r="M757" t="inlineStr">
        <is>
          <t>Adams, R. L. P. (Roger Lionel Poulter)</t>
        </is>
      </c>
      <c r="N757" t="inlineStr">
        <is>
          <t>London ; New York : Chapman and Hall, 1986.</t>
        </is>
      </c>
      <c r="O757" t="inlineStr">
        <is>
          <t>1986</t>
        </is>
      </c>
      <c r="P757" t="inlineStr">
        <is>
          <t>10th ed.</t>
        </is>
      </c>
      <c r="Q757" t="inlineStr">
        <is>
          <t>eng</t>
        </is>
      </c>
      <c r="R757" t="inlineStr">
        <is>
          <t>enk</t>
        </is>
      </c>
      <c r="T757" t="inlineStr">
        <is>
          <t xml:space="preserve">QP </t>
        </is>
      </c>
      <c r="U757" t="n">
        <v>5</v>
      </c>
      <c r="V757" t="n">
        <v>5</v>
      </c>
      <c r="W757" t="inlineStr">
        <is>
          <t>2009-09-25</t>
        </is>
      </c>
      <c r="X757" t="inlineStr">
        <is>
          <t>2009-09-25</t>
        </is>
      </c>
      <c r="Y757" t="inlineStr">
        <is>
          <t>1992-11-07</t>
        </is>
      </c>
      <c r="Z757" t="inlineStr">
        <is>
          <t>1992-11-07</t>
        </is>
      </c>
      <c r="AA757" t="n">
        <v>472</v>
      </c>
      <c r="AB757" t="n">
        <v>329</v>
      </c>
      <c r="AC757" t="n">
        <v>605</v>
      </c>
      <c r="AD757" t="n">
        <v>3</v>
      </c>
      <c r="AE757" t="n">
        <v>5</v>
      </c>
      <c r="AF757" t="n">
        <v>14</v>
      </c>
      <c r="AG757" t="n">
        <v>27</v>
      </c>
      <c r="AH757" t="n">
        <v>3</v>
      </c>
      <c r="AI757" t="n">
        <v>9</v>
      </c>
      <c r="AJ757" t="n">
        <v>5</v>
      </c>
      <c r="AK757" t="n">
        <v>9</v>
      </c>
      <c r="AL757" t="n">
        <v>9</v>
      </c>
      <c r="AM757" t="n">
        <v>16</v>
      </c>
      <c r="AN757" t="n">
        <v>2</v>
      </c>
      <c r="AO757" t="n">
        <v>3</v>
      </c>
      <c r="AP757" t="n">
        <v>0</v>
      </c>
      <c r="AQ757" t="n">
        <v>0</v>
      </c>
      <c r="AR757" t="inlineStr">
        <is>
          <t>No</t>
        </is>
      </c>
      <c r="AS757" t="inlineStr">
        <is>
          <t>Yes</t>
        </is>
      </c>
      <c r="AT757">
        <f>HYPERLINK("http://catalog.hathitrust.org/Record/000815459","HathiTrust Record")</f>
        <v/>
      </c>
      <c r="AU757">
        <f>HYPERLINK("https://creighton-primo.hosted.exlibrisgroup.com/primo-explore/search?tab=default_tab&amp;search_scope=EVERYTHING&amp;vid=01CRU&amp;lang=en_US&amp;offset=0&amp;query=any,contains,991000846499702656","Catalog Record")</f>
        <v/>
      </c>
      <c r="AV757">
        <f>HYPERLINK("http://www.worldcat.org/oclc/13560893","WorldCat Record")</f>
        <v/>
      </c>
      <c r="AW757" t="inlineStr">
        <is>
          <t>5090478080:eng</t>
        </is>
      </c>
      <c r="AX757" t="inlineStr">
        <is>
          <t>13560893</t>
        </is>
      </c>
      <c r="AY757" t="inlineStr">
        <is>
          <t>991000846499702656</t>
        </is>
      </c>
      <c r="AZ757" t="inlineStr">
        <is>
          <t>991000846499702656</t>
        </is>
      </c>
      <c r="BA757" t="inlineStr">
        <is>
          <t>2263512910002656</t>
        </is>
      </c>
      <c r="BB757" t="inlineStr">
        <is>
          <t>BOOK</t>
        </is>
      </c>
      <c r="BD757" t="inlineStr">
        <is>
          <t>9780412272806</t>
        </is>
      </c>
      <c r="BE757" t="inlineStr">
        <is>
          <t>32285001383156</t>
        </is>
      </c>
      <c r="BF757" t="inlineStr">
        <is>
          <t>893315293</t>
        </is>
      </c>
    </row>
    <row r="758">
      <c r="B758" t="inlineStr">
        <is>
          <t>CURAL</t>
        </is>
      </c>
      <c r="C758" t="inlineStr">
        <is>
          <t>SHELVES</t>
        </is>
      </c>
      <c r="D758" t="inlineStr">
        <is>
          <t>QP620 .B58 1996</t>
        </is>
      </c>
      <c r="E758" t="inlineStr">
        <is>
          <t>0                      QP 0620000B  58          1996</t>
        </is>
      </c>
      <c r="F758" t="inlineStr">
        <is>
          <t>Bioorganic chemistry : nucleic acids / edited by Sidney M. Hecht.</t>
        </is>
      </c>
      <c r="H758" t="inlineStr">
        <is>
          <t>No</t>
        </is>
      </c>
      <c r="I758" t="inlineStr">
        <is>
          <t>1</t>
        </is>
      </c>
      <c r="J758" t="inlineStr">
        <is>
          <t>No</t>
        </is>
      </c>
      <c r="K758" t="inlineStr">
        <is>
          <t>No</t>
        </is>
      </c>
      <c r="L758" t="inlineStr">
        <is>
          <t>0</t>
        </is>
      </c>
      <c r="N758" t="inlineStr">
        <is>
          <t>New York : Oxford University Press, 1996.</t>
        </is>
      </c>
      <c r="O758" t="inlineStr">
        <is>
          <t>1996</t>
        </is>
      </c>
      <c r="Q758" t="inlineStr">
        <is>
          <t>eng</t>
        </is>
      </c>
      <c r="R758" t="inlineStr">
        <is>
          <t>nyu</t>
        </is>
      </c>
      <c r="S758" t="inlineStr">
        <is>
          <t>Topics in bioorganic and biological chemistry</t>
        </is>
      </c>
      <c r="T758" t="inlineStr">
        <is>
          <t xml:space="preserve">QP </t>
        </is>
      </c>
      <c r="U758" t="n">
        <v>2</v>
      </c>
      <c r="V758" t="n">
        <v>2</v>
      </c>
      <c r="W758" t="inlineStr">
        <is>
          <t>2005-01-25</t>
        </is>
      </c>
      <c r="X758" t="inlineStr">
        <is>
          <t>2005-01-25</t>
        </is>
      </c>
      <c r="Y758" t="inlineStr">
        <is>
          <t>1996-04-11</t>
        </is>
      </c>
      <c r="Z758" t="inlineStr">
        <is>
          <t>1996-04-11</t>
        </is>
      </c>
      <c r="AA758" t="n">
        <v>417</v>
      </c>
      <c r="AB758" t="n">
        <v>308</v>
      </c>
      <c r="AC758" t="n">
        <v>308</v>
      </c>
      <c r="AD758" t="n">
        <v>2</v>
      </c>
      <c r="AE758" t="n">
        <v>2</v>
      </c>
      <c r="AF758" t="n">
        <v>14</v>
      </c>
      <c r="AG758" t="n">
        <v>14</v>
      </c>
      <c r="AH758" t="n">
        <v>3</v>
      </c>
      <c r="AI758" t="n">
        <v>3</v>
      </c>
      <c r="AJ758" t="n">
        <v>4</v>
      </c>
      <c r="AK758" t="n">
        <v>4</v>
      </c>
      <c r="AL758" t="n">
        <v>10</v>
      </c>
      <c r="AM758" t="n">
        <v>10</v>
      </c>
      <c r="AN758" t="n">
        <v>1</v>
      </c>
      <c r="AO758" t="n">
        <v>1</v>
      </c>
      <c r="AP758" t="n">
        <v>0</v>
      </c>
      <c r="AQ758" t="n">
        <v>0</v>
      </c>
      <c r="AR758" t="inlineStr">
        <is>
          <t>No</t>
        </is>
      </c>
      <c r="AS758" t="inlineStr">
        <is>
          <t>No</t>
        </is>
      </c>
      <c r="AU758">
        <f>HYPERLINK("https://creighton-primo.hosted.exlibrisgroup.com/primo-explore/search?tab=default_tab&amp;search_scope=EVERYTHING&amp;vid=01CRU&amp;lang=en_US&amp;offset=0&amp;query=any,contains,991002517739702656","Catalog Record")</f>
        <v/>
      </c>
      <c r="AV758">
        <f>HYPERLINK("http://www.worldcat.org/oclc/32745668","WorldCat Record")</f>
        <v/>
      </c>
      <c r="AW758" t="inlineStr">
        <is>
          <t>37317459:eng</t>
        </is>
      </c>
      <c r="AX758" t="inlineStr">
        <is>
          <t>32745668</t>
        </is>
      </c>
      <c r="AY758" t="inlineStr">
        <is>
          <t>991002517739702656</t>
        </is>
      </c>
      <c r="AZ758" t="inlineStr">
        <is>
          <t>991002517739702656</t>
        </is>
      </c>
      <c r="BA758" t="inlineStr">
        <is>
          <t>2256344380002656</t>
        </is>
      </c>
      <c r="BB758" t="inlineStr">
        <is>
          <t>BOOK</t>
        </is>
      </c>
      <c r="BD758" t="inlineStr">
        <is>
          <t>9780195084672</t>
        </is>
      </c>
      <c r="BE758" t="inlineStr">
        <is>
          <t>32285002151545</t>
        </is>
      </c>
      <c r="BF758" t="inlineStr">
        <is>
          <t>893616218</t>
        </is>
      </c>
    </row>
    <row r="759">
      <c r="B759" t="inlineStr">
        <is>
          <t>CURAL</t>
        </is>
      </c>
      <c r="C759" t="inlineStr">
        <is>
          <t>SHELVES</t>
        </is>
      </c>
      <c r="D759" t="inlineStr">
        <is>
          <t>QP620 .C67 1989a</t>
        </is>
      </c>
      <c r="E759" t="inlineStr">
        <is>
          <t>0                      QP 0620000C  67          1989a</t>
        </is>
      </c>
      <c r="F759" t="inlineStr">
        <is>
          <t>Structure &amp; methods : proceedings of the Sixth Conversation in the Discipline Biomolecular Stereodynamics held at the State University of New York at Albany, June 6-10, 1989 / edited by R.H. Sarma &amp; M.H. Sarma.</t>
        </is>
      </c>
      <c r="G759" t="inlineStr">
        <is>
          <t>V.3</t>
        </is>
      </c>
      <c r="H759" t="inlineStr">
        <is>
          <t>Yes</t>
        </is>
      </c>
      <c r="I759" t="inlineStr">
        <is>
          <t>1</t>
        </is>
      </c>
      <c r="J759" t="inlineStr">
        <is>
          <t>No</t>
        </is>
      </c>
      <c r="K759" t="inlineStr">
        <is>
          <t>No</t>
        </is>
      </c>
      <c r="L759" t="inlineStr">
        <is>
          <t>0</t>
        </is>
      </c>
      <c r="M759" t="inlineStr">
        <is>
          <t>Conversation in Biomolecular Stereodynamics (6th : 1989 : State University of New York at Albany)</t>
        </is>
      </c>
      <c r="N759" t="inlineStr">
        <is>
          <t>Schenectady, NY : Adenine Press, c1990.</t>
        </is>
      </c>
      <c r="O759" t="inlineStr">
        <is>
          <t>1990</t>
        </is>
      </c>
      <c r="Q759" t="inlineStr">
        <is>
          <t>eng</t>
        </is>
      </c>
      <c r="R759" t="inlineStr">
        <is>
          <t>nyu</t>
        </is>
      </c>
      <c r="T759" t="inlineStr">
        <is>
          <t xml:space="preserve">QP </t>
        </is>
      </c>
      <c r="U759" t="n">
        <v>2</v>
      </c>
      <c r="V759" t="n">
        <v>2</v>
      </c>
      <c r="W759" t="inlineStr">
        <is>
          <t>1995-01-05</t>
        </is>
      </c>
      <c r="X759" t="inlineStr">
        <is>
          <t>1995-01-05</t>
        </is>
      </c>
      <c r="Y759" t="inlineStr">
        <is>
          <t>1991-06-11</t>
        </is>
      </c>
      <c r="Z759" t="inlineStr">
        <is>
          <t>1991-06-11</t>
        </is>
      </c>
      <c r="AA759" t="n">
        <v>92</v>
      </c>
      <c r="AB759" t="n">
        <v>76</v>
      </c>
      <c r="AC759" t="n">
        <v>78</v>
      </c>
      <c r="AD759" t="n">
        <v>1</v>
      </c>
      <c r="AE759" t="n">
        <v>1</v>
      </c>
      <c r="AF759" t="n">
        <v>3</v>
      </c>
      <c r="AG759" t="n">
        <v>3</v>
      </c>
      <c r="AH759" t="n">
        <v>0</v>
      </c>
      <c r="AI759" t="n">
        <v>0</v>
      </c>
      <c r="AJ759" t="n">
        <v>2</v>
      </c>
      <c r="AK759" t="n">
        <v>2</v>
      </c>
      <c r="AL759" t="n">
        <v>1</v>
      </c>
      <c r="AM759" t="n">
        <v>1</v>
      </c>
      <c r="AN759" t="n">
        <v>0</v>
      </c>
      <c r="AO759" t="n">
        <v>0</v>
      </c>
      <c r="AP759" t="n">
        <v>0</v>
      </c>
      <c r="AQ759" t="n">
        <v>0</v>
      </c>
      <c r="AR759" t="inlineStr">
        <is>
          <t>No</t>
        </is>
      </c>
      <c r="AS759" t="inlineStr">
        <is>
          <t>Yes</t>
        </is>
      </c>
      <c r="AT759">
        <f>HYPERLINK("http://catalog.hathitrust.org/Record/002205748","HathiTrust Record")</f>
        <v/>
      </c>
      <c r="AU759">
        <f>HYPERLINK("https://creighton-primo.hosted.exlibrisgroup.com/primo-explore/search?tab=default_tab&amp;search_scope=EVERYTHING&amp;vid=01CRU&amp;lang=en_US&amp;offset=0&amp;query=any,contains,991001683629702656","Catalog Record")</f>
        <v/>
      </c>
      <c r="AV759">
        <f>HYPERLINK("http://www.worldcat.org/oclc/21376156","WorldCat Record")</f>
        <v/>
      </c>
      <c r="AW759" t="inlineStr">
        <is>
          <t>3769217912:eng</t>
        </is>
      </c>
      <c r="AX759" t="inlineStr">
        <is>
          <t>21376156</t>
        </is>
      </c>
      <c r="AY759" t="inlineStr">
        <is>
          <t>991001683629702656</t>
        </is>
      </c>
      <c r="AZ759" t="inlineStr">
        <is>
          <t>991001683629702656</t>
        </is>
      </c>
      <c r="BA759" t="inlineStr">
        <is>
          <t>2266369550002656</t>
        </is>
      </c>
      <c r="BB759" t="inlineStr">
        <is>
          <t>BOOK</t>
        </is>
      </c>
      <c r="BD759" t="inlineStr">
        <is>
          <t>9780940030312</t>
        </is>
      </c>
      <c r="BE759" t="inlineStr">
        <is>
          <t>32285000594738</t>
        </is>
      </c>
      <c r="BF759" t="inlineStr">
        <is>
          <t>893602804</t>
        </is>
      </c>
    </row>
    <row r="760">
      <c r="B760" t="inlineStr">
        <is>
          <t>CURAL</t>
        </is>
      </c>
      <c r="C760" t="inlineStr">
        <is>
          <t>SHELVES</t>
        </is>
      </c>
      <c r="D760" t="inlineStr">
        <is>
          <t>QP620 .D37 1994</t>
        </is>
      </c>
      <c r="E760" t="inlineStr">
        <is>
          <t>0                      QP 0620000D  37          1994</t>
        </is>
      </c>
      <c r="F760" t="inlineStr">
        <is>
          <t>Nucleic acid blotting : the basics / David C. Darling and Paul M. Brickell.</t>
        </is>
      </c>
      <c r="H760" t="inlineStr">
        <is>
          <t>No</t>
        </is>
      </c>
      <c r="I760" t="inlineStr">
        <is>
          <t>1</t>
        </is>
      </c>
      <c r="J760" t="inlineStr">
        <is>
          <t>No</t>
        </is>
      </c>
      <c r="K760" t="inlineStr">
        <is>
          <t>No</t>
        </is>
      </c>
      <c r="L760" t="inlineStr">
        <is>
          <t>0</t>
        </is>
      </c>
      <c r="M760" t="inlineStr">
        <is>
          <t>Darling, David C.</t>
        </is>
      </c>
      <c r="N760" t="inlineStr">
        <is>
          <t>Oxford ; New York : Oxford University Press, 1994.</t>
        </is>
      </c>
      <c r="O760" t="inlineStr">
        <is>
          <t>1994</t>
        </is>
      </c>
      <c r="P760" t="inlineStr">
        <is>
          <t>1st ed.</t>
        </is>
      </c>
      <c r="Q760" t="inlineStr">
        <is>
          <t>eng</t>
        </is>
      </c>
      <c r="R760" t="inlineStr">
        <is>
          <t>enk</t>
        </is>
      </c>
      <c r="T760" t="inlineStr">
        <is>
          <t xml:space="preserve">QP </t>
        </is>
      </c>
      <c r="U760" t="n">
        <v>12</v>
      </c>
      <c r="V760" t="n">
        <v>12</v>
      </c>
      <c r="W760" t="inlineStr">
        <is>
          <t>2001-11-13</t>
        </is>
      </c>
      <c r="X760" t="inlineStr">
        <is>
          <t>2001-11-13</t>
        </is>
      </c>
      <c r="Y760" t="inlineStr">
        <is>
          <t>1996-11-27</t>
        </is>
      </c>
      <c r="Z760" t="inlineStr">
        <is>
          <t>1996-11-27</t>
        </is>
      </c>
      <c r="AA760" t="n">
        <v>196</v>
      </c>
      <c r="AB760" t="n">
        <v>111</v>
      </c>
      <c r="AC760" t="n">
        <v>131</v>
      </c>
      <c r="AD760" t="n">
        <v>1</v>
      </c>
      <c r="AE760" t="n">
        <v>2</v>
      </c>
      <c r="AF760" t="n">
        <v>2</v>
      </c>
      <c r="AG760" t="n">
        <v>3</v>
      </c>
      <c r="AH760" t="n">
        <v>0</v>
      </c>
      <c r="AI760" t="n">
        <v>0</v>
      </c>
      <c r="AJ760" t="n">
        <v>2</v>
      </c>
      <c r="AK760" t="n">
        <v>2</v>
      </c>
      <c r="AL760" t="n">
        <v>1</v>
      </c>
      <c r="AM760" t="n">
        <v>1</v>
      </c>
      <c r="AN760" t="n">
        <v>0</v>
      </c>
      <c r="AO760" t="n">
        <v>1</v>
      </c>
      <c r="AP760" t="n">
        <v>0</v>
      </c>
      <c r="AQ760" t="n">
        <v>0</v>
      </c>
      <c r="AR760" t="inlineStr">
        <is>
          <t>No</t>
        </is>
      </c>
      <c r="AS760" t="inlineStr">
        <is>
          <t>No</t>
        </is>
      </c>
      <c r="AU760">
        <f>HYPERLINK("https://creighton-primo.hosted.exlibrisgroup.com/primo-explore/search?tab=default_tab&amp;search_scope=EVERYTHING&amp;vid=01CRU&amp;lang=en_US&amp;offset=0&amp;query=any,contains,991002346539702656","Catalog Record")</f>
        <v/>
      </c>
      <c r="AV760">
        <f>HYPERLINK("http://www.worldcat.org/oclc/30546271","WorldCat Record")</f>
        <v/>
      </c>
      <c r="AW760" t="inlineStr">
        <is>
          <t>808563638:eng</t>
        </is>
      </c>
      <c r="AX760" t="inlineStr">
        <is>
          <t>30546271</t>
        </is>
      </c>
      <c r="AY760" t="inlineStr">
        <is>
          <t>991002346539702656</t>
        </is>
      </c>
      <c r="AZ760" t="inlineStr">
        <is>
          <t>991002346539702656</t>
        </is>
      </c>
      <c r="BA760" t="inlineStr">
        <is>
          <t>2262069360002656</t>
        </is>
      </c>
      <c r="BB760" t="inlineStr">
        <is>
          <t>BOOK</t>
        </is>
      </c>
      <c r="BD760" t="inlineStr">
        <is>
          <t>9780199634460</t>
        </is>
      </c>
      <c r="BE760" t="inlineStr">
        <is>
          <t>32285002386596</t>
        </is>
      </c>
      <c r="BF760" t="inlineStr">
        <is>
          <t>893804509</t>
        </is>
      </c>
    </row>
    <row r="761">
      <c r="B761" t="inlineStr">
        <is>
          <t>CURAL</t>
        </is>
      </c>
      <c r="C761" t="inlineStr">
        <is>
          <t>SHELVES</t>
        </is>
      </c>
      <c r="D761" t="inlineStr">
        <is>
          <t>QP620 .G45 1990</t>
        </is>
      </c>
      <c r="E761" t="inlineStr">
        <is>
          <t>0                      QP 0620000G  45          1990</t>
        </is>
      </c>
      <c r="F761" t="inlineStr">
        <is>
          <t>Gel electrophoresis of nucleic acids : a practical approach / edited by D. Rickwood and B.D. Hames.</t>
        </is>
      </c>
      <c r="H761" t="inlineStr">
        <is>
          <t>No</t>
        </is>
      </c>
      <c r="I761" t="inlineStr">
        <is>
          <t>1</t>
        </is>
      </c>
      <c r="J761" t="inlineStr">
        <is>
          <t>No</t>
        </is>
      </c>
      <c r="K761" t="inlineStr">
        <is>
          <t>No</t>
        </is>
      </c>
      <c r="L761" t="inlineStr">
        <is>
          <t>0</t>
        </is>
      </c>
      <c r="N761" t="inlineStr">
        <is>
          <t>Oxford ; New York : IRL Press at Oxford University Press, c1990.</t>
        </is>
      </c>
      <c r="O761" t="inlineStr">
        <is>
          <t>1990</t>
        </is>
      </c>
      <c r="P761" t="inlineStr">
        <is>
          <t>2nd ed.</t>
        </is>
      </c>
      <c r="Q761" t="inlineStr">
        <is>
          <t>eng</t>
        </is>
      </c>
      <c r="R761" t="inlineStr">
        <is>
          <t>enk</t>
        </is>
      </c>
      <c r="S761" t="inlineStr">
        <is>
          <t>Practical approach series</t>
        </is>
      </c>
      <c r="T761" t="inlineStr">
        <is>
          <t xml:space="preserve">QP </t>
        </is>
      </c>
      <c r="U761" t="n">
        <v>1</v>
      </c>
      <c r="V761" t="n">
        <v>1</v>
      </c>
      <c r="W761" t="inlineStr">
        <is>
          <t>1992-01-24</t>
        </is>
      </c>
      <c r="X761" t="inlineStr">
        <is>
          <t>1992-01-24</t>
        </is>
      </c>
      <c r="Y761" t="inlineStr">
        <is>
          <t>1991-05-31</t>
        </is>
      </c>
      <c r="Z761" t="inlineStr">
        <is>
          <t>1991-05-31</t>
        </is>
      </c>
      <c r="AA761" t="n">
        <v>368</v>
      </c>
      <c r="AB761" t="n">
        <v>243</v>
      </c>
      <c r="AC761" t="n">
        <v>484</v>
      </c>
      <c r="AD761" t="n">
        <v>2</v>
      </c>
      <c r="AE761" t="n">
        <v>4</v>
      </c>
      <c r="AF761" t="n">
        <v>9</v>
      </c>
      <c r="AG761" t="n">
        <v>21</v>
      </c>
      <c r="AH761" t="n">
        <v>2</v>
      </c>
      <c r="AI761" t="n">
        <v>7</v>
      </c>
      <c r="AJ761" t="n">
        <v>4</v>
      </c>
      <c r="AK761" t="n">
        <v>5</v>
      </c>
      <c r="AL761" t="n">
        <v>5</v>
      </c>
      <c r="AM761" t="n">
        <v>11</v>
      </c>
      <c r="AN761" t="n">
        <v>1</v>
      </c>
      <c r="AO761" t="n">
        <v>3</v>
      </c>
      <c r="AP761" t="n">
        <v>0</v>
      </c>
      <c r="AQ761" t="n">
        <v>0</v>
      </c>
      <c r="AR761" t="inlineStr">
        <is>
          <t>No</t>
        </is>
      </c>
      <c r="AS761" t="inlineStr">
        <is>
          <t>Yes</t>
        </is>
      </c>
      <c r="AT761">
        <f>HYPERLINK("http://catalog.hathitrust.org/Record/002219691","HathiTrust Record")</f>
        <v/>
      </c>
      <c r="AU761">
        <f>HYPERLINK("https://creighton-primo.hosted.exlibrisgroup.com/primo-explore/search?tab=default_tab&amp;search_scope=EVERYTHING&amp;vid=01CRU&amp;lang=en_US&amp;offset=0&amp;query=any,contains,991001671859702656","Catalog Record")</f>
        <v/>
      </c>
      <c r="AV761">
        <f>HYPERLINK("http://www.worldcat.org/oclc/21295280","WorldCat Record")</f>
        <v/>
      </c>
      <c r="AW761" t="inlineStr">
        <is>
          <t>3768616255:eng</t>
        </is>
      </c>
      <c r="AX761" t="inlineStr">
        <is>
          <t>21295280</t>
        </is>
      </c>
      <c r="AY761" t="inlineStr">
        <is>
          <t>991001671859702656</t>
        </is>
      </c>
      <c r="AZ761" t="inlineStr">
        <is>
          <t>991001671859702656</t>
        </is>
      </c>
      <c r="BA761" t="inlineStr">
        <is>
          <t>2267840980002656</t>
        </is>
      </c>
      <c r="BB761" t="inlineStr">
        <is>
          <t>BOOK</t>
        </is>
      </c>
      <c r="BD761" t="inlineStr">
        <is>
          <t>9780199630820</t>
        </is>
      </c>
      <c r="BE761" t="inlineStr">
        <is>
          <t>32285000591015</t>
        </is>
      </c>
      <c r="BF761" t="inlineStr">
        <is>
          <t>893596620</t>
        </is>
      </c>
    </row>
    <row r="762">
      <c r="B762" t="inlineStr">
        <is>
          <t>CURAL</t>
        </is>
      </c>
      <c r="C762" t="inlineStr">
        <is>
          <t>SHELVES</t>
        </is>
      </c>
      <c r="D762" t="inlineStr">
        <is>
          <t>QP620 .M37 1996</t>
        </is>
      </c>
      <c r="E762" t="inlineStr">
        <is>
          <t>0                      QP 0620000M  37          1996</t>
        </is>
      </c>
      <c r="F762" t="inlineStr">
        <is>
          <t>Gel electrophoresis : nucleic acids / Robin Martin.</t>
        </is>
      </c>
      <c r="H762" t="inlineStr">
        <is>
          <t>No</t>
        </is>
      </c>
      <c r="I762" t="inlineStr">
        <is>
          <t>1</t>
        </is>
      </c>
      <c r="J762" t="inlineStr">
        <is>
          <t>No</t>
        </is>
      </c>
      <c r="K762" t="inlineStr">
        <is>
          <t>No</t>
        </is>
      </c>
      <c r="L762" t="inlineStr">
        <is>
          <t>0</t>
        </is>
      </c>
      <c r="M762" t="inlineStr">
        <is>
          <t>Martin, Robin.</t>
        </is>
      </c>
      <c r="N762" t="inlineStr">
        <is>
          <t>Oxford : BIOS Scientific, 1996.</t>
        </is>
      </c>
      <c r="O762" t="inlineStr">
        <is>
          <t>1996</t>
        </is>
      </c>
      <c r="Q762" t="inlineStr">
        <is>
          <t>eng</t>
        </is>
      </c>
      <c r="R762" t="inlineStr">
        <is>
          <t>enk</t>
        </is>
      </c>
      <c r="T762" t="inlineStr">
        <is>
          <t xml:space="preserve">QP </t>
        </is>
      </c>
      <c r="U762" t="n">
        <v>2</v>
      </c>
      <c r="V762" t="n">
        <v>2</v>
      </c>
      <c r="W762" t="inlineStr">
        <is>
          <t>1998-11-05</t>
        </is>
      </c>
      <c r="X762" t="inlineStr">
        <is>
          <t>1998-11-05</t>
        </is>
      </c>
      <c r="Y762" t="inlineStr">
        <is>
          <t>1996-08-19</t>
        </is>
      </c>
      <c r="Z762" t="inlineStr">
        <is>
          <t>1996-08-19</t>
        </is>
      </c>
      <c r="AA762" t="n">
        <v>279</v>
      </c>
      <c r="AB762" t="n">
        <v>186</v>
      </c>
      <c r="AC762" t="n">
        <v>204</v>
      </c>
      <c r="AD762" t="n">
        <v>3</v>
      </c>
      <c r="AE762" t="n">
        <v>3</v>
      </c>
      <c r="AF762" t="n">
        <v>9</v>
      </c>
      <c r="AG762" t="n">
        <v>9</v>
      </c>
      <c r="AH762" t="n">
        <v>1</v>
      </c>
      <c r="AI762" t="n">
        <v>1</v>
      </c>
      <c r="AJ762" t="n">
        <v>4</v>
      </c>
      <c r="AK762" t="n">
        <v>4</v>
      </c>
      <c r="AL762" t="n">
        <v>6</v>
      </c>
      <c r="AM762" t="n">
        <v>6</v>
      </c>
      <c r="AN762" t="n">
        <v>2</v>
      </c>
      <c r="AO762" t="n">
        <v>2</v>
      </c>
      <c r="AP762" t="n">
        <v>0</v>
      </c>
      <c r="AQ762" t="n">
        <v>0</v>
      </c>
      <c r="AR762" t="inlineStr">
        <is>
          <t>No</t>
        </is>
      </c>
      <c r="AS762" t="inlineStr">
        <is>
          <t>Yes</t>
        </is>
      </c>
      <c r="AT762">
        <f>HYPERLINK("http://catalog.hathitrust.org/Record/101970503","HathiTrust Record")</f>
        <v/>
      </c>
      <c r="AU762">
        <f>HYPERLINK("https://creighton-primo.hosted.exlibrisgroup.com/primo-explore/search?tab=default_tab&amp;search_scope=EVERYTHING&amp;vid=01CRU&amp;lang=en_US&amp;offset=0&amp;query=any,contains,991002651619702656","Catalog Record")</f>
        <v/>
      </c>
      <c r="AV762">
        <f>HYPERLINK("http://www.worldcat.org/oclc/34675961","WorldCat Record")</f>
        <v/>
      </c>
      <c r="AW762" t="inlineStr">
        <is>
          <t>144047600:eng</t>
        </is>
      </c>
      <c r="AX762" t="inlineStr">
        <is>
          <t>34675961</t>
        </is>
      </c>
      <c r="AY762" t="inlineStr">
        <is>
          <t>991002651619702656</t>
        </is>
      </c>
      <c r="AZ762" t="inlineStr">
        <is>
          <t>991002651619702656</t>
        </is>
      </c>
      <c r="BA762" t="inlineStr">
        <is>
          <t>2267754750002656</t>
        </is>
      </c>
      <c r="BB762" t="inlineStr">
        <is>
          <t>BOOK</t>
        </is>
      </c>
      <c r="BD762" t="inlineStr">
        <is>
          <t>9781872748283</t>
        </is>
      </c>
      <c r="BE762" t="inlineStr">
        <is>
          <t>32285002290616</t>
        </is>
      </c>
      <c r="BF762" t="inlineStr">
        <is>
          <t>893434116</t>
        </is>
      </c>
    </row>
    <row r="763">
      <c r="B763" t="inlineStr">
        <is>
          <t>CURAL</t>
        </is>
      </c>
      <c r="C763" t="inlineStr">
        <is>
          <t>SHELVES</t>
        </is>
      </c>
      <c r="D763" t="inlineStr">
        <is>
          <t>QP620 .N66 1995</t>
        </is>
      </c>
      <c r="E763" t="inlineStr">
        <is>
          <t>0                      QP 0620000N  66          1995</t>
        </is>
      </c>
      <c r="F763" t="inlineStr">
        <is>
          <t>Non-isotopic methods in molecular biology : a practical approach / edited by E.R. Levy and C.S. Herrington.</t>
        </is>
      </c>
      <c r="H763" t="inlineStr">
        <is>
          <t>No</t>
        </is>
      </c>
      <c r="I763" t="inlineStr">
        <is>
          <t>1</t>
        </is>
      </c>
      <c r="J763" t="inlineStr">
        <is>
          <t>No</t>
        </is>
      </c>
      <c r="K763" t="inlineStr">
        <is>
          <t>No</t>
        </is>
      </c>
      <c r="L763" t="inlineStr">
        <is>
          <t>0</t>
        </is>
      </c>
      <c r="N763" t="inlineStr">
        <is>
          <t>Oxford ; New York : IRL Press at Oxford University Press, c1995.</t>
        </is>
      </c>
      <c r="O763" t="inlineStr">
        <is>
          <t>1995</t>
        </is>
      </c>
      <c r="Q763" t="inlineStr">
        <is>
          <t>eng</t>
        </is>
      </c>
      <c r="R763" t="inlineStr">
        <is>
          <t>enk</t>
        </is>
      </c>
      <c r="S763" t="inlineStr">
        <is>
          <t>The practical approach series ; 153</t>
        </is>
      </c>
      <c r="T763" t="inlineStr">
        <is>
          <t xml:space="preserve">QP </t>
        </is>
      </c>
      <c r="U763" t="n">
        <v>2</v>
      </c>
      <c r="V763" t="n">
        <v>2</v>
      </c>
      <c r="W763" t="inlineStr">
        <is>
          <t>1999-01-17</t>
        </is>
      </c>
      <c r="X763" t="inlineStr">
        <is>
          <t>1999-01-17</t>
        </is>
      </c>
      <c r="Y763" t="inlineStr">
        <is>
          <t>1996-12-12</t>
        </is>
      </c>
      <c r="Z763" t="inlineStr">
        <is>
          <t>1996-12-12</t>
        </is>
      </c>
      <c r="AA763" t="n">
        <v>207</v>
      </c>
      <c r="AB763" t="n">
        <v>143</v>
      </c>
      <c r="AC763" t="n">
        <v>149</v>
      </c>
      <c r="AD763" t="n">
        <v>1</v>
      </c>
      <c r="AE763" t="n">
        <v>1</v>
      </c>
      <c r="AF763" t="n">
        <v>3</v>
      </c>
      <c r="AG763" t="n">
        <v>3</v>
      </c>
      <c r="AH763" t="n">
        <v>1</v>
      </c>
      <c r="AI763" t="n">
        <v>1</v>
      </c>
      <c r="AJ763" t="n">
        <v>1</v>
      </c>
      <c r="AK763" t="n">
        <v>1</v>
      </c>
      <c r="AL763" t="n">
        <v>2</v>
      </c>
      <c r="AM763" t="n">
        <v>2</v>
      </c>
      <c r="AN763" t="n">
        <v>0</v>
      </c>
      <c r="AO763" t="n">
        <v>0</v>
      </c>
      <c r="AP763" t="n">
        <v>0</v>
      </c>
      <c r="AQ763" t="n">
        <v>0</v>
      </c>
      <c r="AR763" t="inlineStr">
        <is>
          <t>No</t>
        </is>
      </c>
      <c r="AS763" t="inlineStr">
        <is>
          <t>No</t>
        </is>
      </c>
      <c r="AU763">
        <f>HYPERLINK("https://creighton-primo.hosted.exlibrisgroup.com/primo-explore/search?tab=default_tab&amp;search_scope=EVERYTHING&amp;vid=01CRU&amp;lang=en_US&amp;offset=0&amp;query=any,contains,991002412759702656","Catalog Record")</f>
        <v/>
      </c>
      <c r="AV763">
        <f>HYPERLINK("http://www.worldcat.org/oclc/31409531","WorldCat Record")</f>
        <v/>
      </c>
      <c r="AW763" t="inlineStr">
        <is>
          <t>807979600:eng</t>
        </is>
      </c>
      <c r="AX763" t="inlineStr">
        <is>
          <t>31409531</t>
        </is>
      </c>
      <c r="AY763" t="inlineStr">
        <is>
          <t>991002412759702656</t>
        </is>
      </c>
      <c r="AZ763" t="inlineStr">
        <is>
          <t>991002412759702656</t>
        </is>
      </c>
      <c r="BA763" t="inlineStr">
        <is>
          <t>2270389430002656</t>
        </is>
      </c>
      <c r="BB763" t="inlineStr">
        <is>
          <t>BOOK</t>
        </is>
      </c>
      <c r="BD763" t="inlineStr">
        <is>
          <t>9780199634552</t>
        </is>
      </c>
      <c r="BE763" t="inlineStr">
        <is>
          <t>32285002393170</t>
        </is>
      </c>
      <c r="BF763" t="inlineStr">
        <is>
          <t>893873491</t>
        </is>
      </c>
    </row>
    <row r="764">
      <c r="B764" t="inlineStr">
        <is>
          <t>CURAL</t>
        </is>
      </c>
      <c r="C764" t="inlineStr">
        <is>
          <t>SHELVES</t>
        </is>
      </c>
      <c r="D764" t="inlineStr">
        <is>
          <t>QP620.W38 M45 2003</t>
        </is>
      </c>
      <c r="E764" t="inlineStr">
        <is>
          <t>0                      QP 0620000W  38                 M  45          2003</t>
        </is>
      </c>
      <c r="F764" t="inlineStr">
        <is>
          <t>Watson and DNA : making a scientific revolution / Victor K. McElheny.</t>
        </is>
      </c>
      <c r="H764" t="inlineStr">
        <is>
          <t>No</t>
        </is>
      </c>
      <c r="I764" t="inlineStr">
        <is>
          <t>1</t>
        </is>
      </c>
      <c r="J764" t="inlineStr">
        <is>
          <t>No</t>
        </is>
      </c>
      <c r="K764" t="inlineStr">
        <is>
          <t>No</t>
        </is>
      </c>
      <c r="L764" t="inlineStr">
        <is>
          <t>0</t>
        </is>
      </c>
      <c r="M764" t="inlineStr">
        <is>
          <t>McElheny, Victor K.</t>
        </is>
      </c>
      <c r="N764" t="inlineStr">
        <is>
          <t>Cambridge, MA. : Perseus Publishing ; c2003.</t>
        </is>
      </c>
      <c r="O764" t="inlineStr">
        <is>
          <t>2003</t>
        </is>
      </c>
      <c r="Q764" t="inlineStr">
        <is>
          <t>eng</t>
        </is>
      </c>
      <c r="R764" t="inlineStr">
        <is>
          <t>mau</t>
        </is>
      </c>
      <c r="T764" t="inlineStr">
        <is>
          <t xml:space="preserve">QP </t>
        </is>
      </c>
      <c r="U764" t="n">
        <v>2</v>
      </c>
      <c r="V764" t="n">
        <v>2</v>
      </c>
      <c r="W764" t="inlineStr">
        <is>
          <t>2003-08-22</t>
        </is>
      </c>
      <c r="X764" t="inlineStr">
        <is>
          <t>2003-08-22</t>
        </is>
      </c>
      <c r="Y764" t="inlineStr">
        <is>
          <t>2003-02-19</t>
        </is>
      </c>
      <c r="Z764" t="inlineStr">
        <is>
          <t>2003-02-19</t>
        </is>
      </c>
      <c r="AA764" t="n">
        <v>980</v>
      </c>
      <c r="AB764" t="n">
        <v>892</v>
      </c>
      <c r="AC764" t="n">
        <v>1007</v>
      </c>
      <c r="AD764" t="n">
        <v>9</v>
      </c>
      <c r="AE764" t="n">
        <v>10</v>
      </c>
      <c r="AF764" t="n">
        <v>36</v>
      </c>
      <c r="AG764" t="n">
        <v>39</v>
      </c>
      <c r="AH764" t="n">
        <v>12</v>
      </c>
      <c r="AI764" t="n">
        <v>14</v>
      </c>
      <c r="AJ764" t="n">
        <v>8</v>
      </c>
      <c r="AK764" t="n">
        <v>8</v>
      </c>
      <c r="AL764" t="n">
        <v>15</v>
      </c>
      <c r="AM764" t="n">
        <v>16</v>
      </c>
      <c r="AN764" t="n">
        <v>8</v>
      </c>
      <c r="AO764" t="n">
        <v>8</v>
      </c>
      <c r="AP764" t="n">
        <v>0</v>
      </c>
      <c r="AQ764" t="n">
        <v>0</v>
      </c>
      <c r="AR764" t="inlineStr">
        <is>
          <t>No</t>
        </is>
      </c>
      <c r="AS764" t="inlineStr">
        <is>
          <t>Yes</t>
        </is>
      </c>
      <c r="AT764">
        <f>HYPERLINK("http://catalog.hathitrust.org/Record/004306027","HathiTrust Record")</f>
        <v/>
      </c>
      <c r="AU764">
        <f>HYPERLINK("https://creighton-primo.hosted.exlibrisgroup.com/primo-explore/search?tab=default_tab&amp;search_scope=EVERYTHING&amp;vid=01CRU&amp;lang=en_US&amp;offset=0&amp;query=any,contains,991001719639702656","Catalog Record")</f>
        <v/>
      </c>
      <c r="AV764">
        <f>HYPERLINK("http://www.worldcat.org/oclc/51440191","WorldCat Record")</f>
        <v/>
      </c>
      <c r="AW764" t="inlineStr">
        <is>
          <t>796430397:eng</t>
        </is>
      </c>
      <c r="AX764" t="inlineStr">
        <is>
          <t>51440191</t>
        </is>
      </c>
      <c r="AY764" t="inlineStr">
        <is>
          <t>991001719639702656</t>
        </is>
      </c>
      <c r="AZ764" t="inlineStr">
        <is>
          <t>991001719639702656</t>
        </is>
      </c>
      <c r="BA764" t="inlineStr">
        <is>
          <t>2255659290002656</t>
        </is>
      </c>
      <c r="BB764" t="inlineStr">
        <is>
          <t>BOOK</t>
        </is>
      </c>
      <c r="BD764" t="inlineStr">
        <is>
          <t>9780738203416</t>
        </is>
      </c>
      <c r="BE764" t="inlineStr">
        <is>
          <t>32285004699277</t>
        </is>
      </c>
      <c r="BF764" t="inlineStr">
        <is>
          <t>893696977</t>
        </is>
      </c>
    </row>
    <row r="765">
      <c r="B765" t="inlineStr">
        <is>
          <t>CURAL</t>
        </is>
      </c>
      <c r="C765" t="inlineStr">
        <is>
          <t>SHELVES</t>
        </is>
      </c>
      <c r="D765" t="inlineStr">
        <is>
          <t>QP623 .J66 1994</t>
        </is>
      </c>
      <c r="E765" t="inlineStr">
        <is>
          <t>0                      QP 0623000J  66          1994</t>
        </is>
      </c>
      <c r="F765" t="inlineStr">
        <is>
          <t>RNA isolation and analysis / P. Jones, J. Qiu, D. Rickwood.</t>
        </is>
      </c>
      <c r="H765" t="inlineStr">
        <is>
          <t>No</t>
        </is>
      </c>
      <c r="I765" t="inlineStr">
        <is>
          <t>1</t>
        </is>
      </c>
      <c r="J765" t="inlineStr">
        <is>
          <t>No</t>
        </is>
      </c>
      <c r="K765" t="inlineStr">
        <is>
          <t>No</t>
        </is>
      </c>
      <c r="L765" t="inlineStr">
        <is>
          <t>0</t>
        </is>
      </c>
      <c r="M765" t="inlineStr">
        <is>
          <t>Jones, P. (Paul)</t>
        </is>
      </c>
      <c r="N765" t="inlineStr">
        <is>
          <t>Oxford [England] : Bios Scientific Publishers ; Herndon, VA : Books International Inc. [distributor], 1994.</t>
        </is>
      </c>
      <c r="O765" t="inlineStr">
        <is>
          <t>1994</t>
        </is>
      </c>
      <c r="Q765" t="inlineStr">
        <is>
          <t>eng</t>
        </is>
      </c>
      <c r="R765" t="inlineStr">
        <is>
          <t>enk</t>
        </is>
      </c>
      <c r="T765" t="inlineStr">
        <is>
          <t xml:space="preserve">QP </t>
        </is>
      </c>
      <c r="U765" t="n">
        <v>5</v>
      </c>
      <c r="V765" t="n">
        <v>5</v>
      </c>
      <c r="W765" t="inlineStr">
        <is>
          <t>2001-11-13</t>
        </is>
      </c>
      <c r="X765" t="inlineStr">
        <is>
          <t>2001-11-13</t>
        </is>
      </c>
      <c r="Y765" t="inlineStr">
        <is>
          <t>1996-06-20</t>
        </is>
      </c>
      <c r="Z765" t="inlineStr">
        <is>
          <t>1996-06-20</t>
        </is>
      </c>
      <c r="AA765" t="n">
        <v>195</v>
      </c>
      <c r="AB765" t="n">
        <v>102</v>
      </c>
      <c r="AC765" t="n">
        <v>102</v>
      </c>
      <c r="AD765" t="n">
        <v>1</v>
      </c>
      <c r="AE765" t="n">
        <v>1</v>
      </c>
      <c r="AF765" t="n">
        <v>3</v>
      </c>
      <c r="AG765" t="n">
        <v>3</v>
      </c>
      <c r="AH765" t="n">
        <v>1</v>
      </c>
      <c r="AI765" t="n">
        <v>1</v>
      </c>
      <c r="AJ765" t="n">
        <v>0</v>
      </c>
      <c r="AK765" t="n">
        <v>0</v>
      </c>
      <c r="AL765" t="n">
        <v>2</v>
      </c>
      <c r="AM765" t="n">
        <v>2</v>
      </c>
      <c r="AN765" t="n">
        <v>0</v>
      </c>
      <c r="AO765" t="n">
        <v>0</v>
      </c>
      <c r="AP765" t="n">
        <v>0</v>
      </c>
      <c r="AQ765" t="n">
        <v>0</v>
      </c>
      <c r="AR765" t="inlineStr">
        <is>
          <t>No</t>
        </is>
      </c>
      <c r="AS765" t="inlineStr">
        <is>
          <t>No</t>
        </is>
      </c>
      <c r="AU765">
        <f>HYPERLINK("https://creighton-primo.hosted.exlibrisgroup.com/primo-explore/search?tab=default_tab&amp;search_scope=EVERYTHING&amp;vid=01CRU&amp;lang=en_US&amp;offset=0&amp;query=any,contains,991002421499702656","Catalog Record")</f>
        <v/>
      </c>
      <c r="AV765">
        <f>HYPERLINK("http://www.worldcat.org/oclc/31528519","WorldCat Record")</f>
        <v/>
      </c>
      <c r="AW765" t="inlineStr">
        <is>
          <t>33518670:eng</t>
        </is>
      </c>
      <c r="AX765" t="inlineStr">
        <is>
          <t>31528519</t>
        </is>
      </c>
      <c r="AY765" t="inlineStr">
        <is>
          <t>991002421499702656</t>
        </is>
      </c>
      <c r="AZ765" t="inlineStr">
        <is>
          <t>991002421499702656</t>
        </is>
      </c>
      <c r="BA765" t="inlineStr">
        <is>
          <t>2269150170002656</t>
        </is>
      </c>
      <c r="BB765" t="inlineStr">
        <is>
          <t>BOOK</t>
        </is>
      </c>
      <c r="BD765" t="inlineStr">
        <is>
          <t>9781872748375</t>
        </is>
      </c>
      <c r="BE765" t="inlineStr">
        <is>
          <t>32285002170883</t>
        </is>
      </c>
      <c r="BF765" t="inlineStr">
        <is>
          <t>893329058</t>
        </is>
      </c>
    </row>
    <row r="766">
      <c r="B766" t="inlineStr">
        <is>
          <t>CURAL</t>
        </is>
      </c>
      <c r="C766" t="inlineStr">
        <is>
          <t>SHELVES</t>
        </is>
      </c>
      <c r="D766" t="inlineStr">
        <is>
          <t>QP623 .P76 1984</t>
        </is>
      </c>
      <c r="E766" t="inlineStr">
        <is>
          <t>0                      QP 0623000P  76          1984</t>
        </is>
      </c>
      <c r="F766" t="inlineStr">
        <is>
          <t>Processing of RNA / editor, David Apirion.</t>
        </is>
      </c>
      <c r="H766" t="inlineStr">
        <is>
          <t>No</t>
        </is>
      </c>
      <c r="I766" t="inlineStr">
        <is>
          <t>1</t>
        </is>
      </c>
      <c r="J766" t="inlineStr">
        <is>
          <t>No</t>
        </is>
      </c>
      <c r="K766" t="inlineStr">
        <is>
          <t>No</t>
        </is>
      </c>
      <c r="L766" t="inlineStr">
        <is>
          <t>0</t>
        </is>
      </c>
      <c r="N766" t="inlineStr">
        <is>
          <t>Boca Raton, Fla. : CRC Press, c1984.</t>
        </is>
      </c>
      <c r="O766" t="inlineStr">
        <is>
          <t>1984</t>
        </is>
      </c>
      <c r="Q766" t="inlineStr">
        <is>
          <t>eng</t>
        </is>
      </c>
      <c r="R766" t="inlineStr">
        <is>
          <t>flu</t>
        </is>
      </c>
      <c r="T766" t="inlineStr">
        <is>
          <t xml:space="preserve">QP </t>
        </is>
      </c>
      <c r="U766" t="n">
        <v>3</v>
      </c>
      <c r="V766" t="n">
        <v>3</v>
      </c>
      <c r="W766" t="inlineStr">
        <is>
          <t>2006-09-06</t>
        </is>
      </c>
      <c r="X766" t="inlineStr">
        <is>
          <t>2006-09-06</t>
        </is>
      </c>
      <c r="Y766" t="inlineStr">
        <is>
          <t>1993-03-04</t>
        </is>
      </c>
      <c r="Z766" t="inlineStr">
        <is>
          <t>1993-03-04</t>
        </is>
      </c>
      <c r="AA766" t="n">
        <v>243</v>
      </c>
      <c r="AB766" t="n">
        <v>174</v>
      </c>
      <c r="AC766" t="n">
        <v>194</v>
      </c>
      <c r="AD766" t="n">
        <v>2</v>
      </c>
      <c r="AE766" t="n">
        <v>2</v>
      </c>
      <c r="AF766" t="n">
        <v>8</v>
      </c>
      <c r="AG766" t="n">
        <v>8</v>
      </c>
      <c r="AH766" t="n">
        <v>1</v>
      </c>
      <c r="AI766" t="n">
        <v>1</v>
      </c>
      <c r="AJ766" t="n">
        <v>2</v>
      </c>
      <c r="AK766" t="n">
        <v>2</v>
      </c>
      <c r="AL766" t="n">
        <v>5</v>
      </c>
      <c r="AM766" t="n">
        <v>5</v>
      </c>
      <c r="AN766" t="n">
        <v>1</v>
      </c>
      <c r="AO766" t="n">
        <v>1</v>
      </c>
      <c r="AP766" t="n">
        <v>0</v>
      </c>
      <c r="AQ766" t="n">
        <v>0</v>
      </c>
      <c r="AR766" t="inlineStr">
        <is>
          <t>No</t>
        </is>
      </c>
      <c r="AS766" t="inlineStr">
        <is>
          <t>Yes</t>
        </is>
      </c>
      <c r="AT766">
        <f>HYPERLINK("http://catalog.hathitrust.org/Record/000348826","HathiTrust Record")</f>
        <v/>
      </c>
      <c r="AU766">
        <f>HYPERLINK("https://creighton-primo.hosted.exlibrisgroup.com/primo-explore/search?tab=default_tab&amp;search_scope=EVERYTHING&amp;vid=01CRU&amp;lang=en_US&amp;offset=0&amp;query=any,contains,991000127199702656","Catalog Record")</f>
        <v/>
      </c>
      <c r="AV766">
        <f>HYPERLINK("http://www.worldcat.org/oclc/9084264","WorldCat Record")</f>
        <v/>
      </c>
      <c r="AW766" t="inlineStr">
        <is>
          <t>43586258:eng</t>
        </is>
      </c>
      <c r="AX766" t="inlineStr">
        <is>
          <t>9084264</t>
        </is>
      </c>
      <c r="AY766" t="inlineStr">
        <is>
          <t>991000127199702656</t>
        </is>
      </c>
      <c r="AZ766" t="inlineStr">
        <is>
          <t>991000127199702656</t>
        </is>
      </c>
      <c r="BA766" t="inlineStr">
        <is>
          <t>2255190440002656</t>
        </is>
      </c>
      <c r="BB766" t="inlineStr">
        <is>
          <t>BOOK</t>
        </is>
      </c>
      <c r="BE766" t="inlineStr">
        <is>
          <t>32285001563476</t>
        </is>
      </c>
      <c r="BF766" t="inlineStr">
        <is>
          <t>893601484</t>
        </is>
      </c>
    </row>
    <row r="767">
      <c r="B767" t="inlineStr">
        <is>
          <t>CURAL</t>
        </is>
      </c>
      <c r="C767" t="inlineStr">
        <is>
          <t>SHELVES</t>
        </is>
      </c>
      <c r="D767" t="inlineStr">
        <is>
          <t>QP623 .R5725 2008</t>
        </is>
      </c>
      <c r="E767" t="inlineStr">
        <is>
          <t>0                      QP 0623000R  5725        2008</t>
        </is>
      </c>
      <c r="F767" t="inlineStr">
        <is>
          <t>RNA and the regulation of gene expression : a hidden layer of complexity / edited by Kevin V. Morris.</t>
        </is>
      </c>
      <c r="H767" t="inlineStr">
        <is>
          <t>No</t>
        </is>
      </c>
      <c r="I767" t="inlineStr">
        <is>
          <t>1</t>
        </is>
      </c>
      <c r="J767" t="inlineStr">
        <is>
          <t>No</t>
        </is>
      </c>
      <c r="K767" t="inlineStr">
        <is>
          <t>No</t>
        </is>
      </c>
      <c r="L767" t="inlineStr">
        <is>
          <t>0</t>
        </is>
      </c>
      <c r="N767" t="inlineStr">
        <is>
          <t>Norfolk : Caister Academic Press, c2008.</t>
        </is>
      </c>
      <c r="O767" t="inlineStr">
        <is>
          <t>2008</t>
        </is>
      </c>
      <c r="Q767" t="inlineStr">
        <is>
          <t>eng</t>
        </is>
      </c>
      <c r="R767" t="inlineStr">
        <is>
          <t>enk</t>
        </is>
      </c>
      <c r="T767" t="inlineStr">
        <is>
          <t xml:space="preserve">QP </t>
        </is>
      </c>
      <c r="U767" t="n">
        <v>1</v>
      </c>
      <c r="V767" t="n">
        <v>1</v>
      </c>
      <c r="W767" t="inlineStr">
        <is>
          <t>2008-10-13</t>
        </is>
      </c>
      <c r="X767" t="inlineStr">
        <is>
          <t>2008-10-13</t>
        </is>
      </c>
      <c r="Y767" t="inlineStr">
        <is>
          <t>2008-10-13</t>
        </is>
      </c>
      <c r="Z767" t="inlineStr">
        <is>
          <t>2008-10-13</t>
        </is>
      </c>
      <c r="AA767" t="n">
        <v>127</v>
      </c>
      <c r="AB767" t="n">
        <v>59</v>
      </c>
      <c r="AC767" t="n">
        <v>68</v>
      </c>
      <c r="AD767" t="n">
        <v>1</v>
      </c>
      <c r="AE767" t="n">
        <v>1</v>
      </c>
      <c r="AF767" t="n">
        <v>1</v>
      </c>
      <c r="AG767" t="n">
        <v>1</v>
      </c>
      <c r="AH767" t="n">
        <v>0</v>
      </c>
      <c r="AI767" t="n">
        <v>0</v>
      </c>
      <c r="AJ767" t="n">
        <v>0</v>
      </c>
      <c r="AK767" t="n">
        <v>0</v>
      </c>
      <c r="AL767" t="n">
        <v>1</v>
      </c>
      <c r="AM767" t="n">
        <v>1</v>
      </c>
      <c r="AN767" t="n">
        <v>0</v>
      </c>
      <c r="AO767" t="n">
        <v>0</v>
      </c>
      <c r="AP767" t="n">
        <v>0</v>
      </c>
      <c r="AQ767" t="n">
        <v>0</v>
      </c>
      <c r="AR767" t="inlineStr">
        <is>
          <t>No</t>
        </is>
      </c>
      <c r="AS767" t="inlineStr">
        <is>
          <t>No</t>
        </is>
      </c>
      <c r="AU767">
        <f>HYPERLINK("https://creighton-primo.hosted.exlibrisgroup.com/primo-explore/search?tab=default_tab&amp;search_scope=EVERYTHING&amp;vid=01CRU&amp;lang=en_US&amp;offset=0&amp;query=any,contains,991005262789702656","Catalog Record")</f>
        <v/>
      </c>
      <c r="AV767">
        <f>HYPERLINK("http://www.worldcat.org/oclc/170922279","WorldCat Record")</f>
        <v/>
      </c>
      <c r="AW767" t="inlineStr">
        <is>
          <t>113661593:eng</t>
        </is>
      </c>
      <c r="AX767" t="inlineStr">
        <is>
          <t>170922279</t>
        </is>
      </c>
      <c r="AY767" t="inlineStr">
        <is>
          <t>991005262789702656</t>
        </is>
      </c>
      <c r="AZ767" t="inlineStr">
        <is>
          <t>991005262789702656</t>
        </is>
      </c>
      <c r="BA767" t="inlineStr">
        <is>
          <t>2260545900002656</t>
        </is>
      </c>
      <c r="BB767" t="inlineStr">
        <is>
          <t>BOOK</t>
        </is>
      </c>
      <c r="BD767" t="inlineStr">
        <is>
          <t>9781904455257</t>
        </is>
      </c>
      <c r="BE767" t="inlineStr">
        <is>
          <t>32285005463368</t>
        </is>
      </c>
      <c r="BF767" t="inlineStr">
        <is>
          <t>893594742</t>
        </is>
      </c>
    </row>
    <row r="768">
      <c r="B768" t="inlineStr">
        <is>
          <t>CURAL</t>
        </is>
      </c>
      <c r="C768" t="inlineStr">
        <is>
          <t>SHELVES</t>
        </is>
      </c>
      <c r="D768" t="inlineStr">
        <is>
          <t>QP623 .R6 1993</t>
        </is>
      </c>
      <c r="E768" t="inlineStr">
        <is>
          <t>0                      QP 0623000R  6           1993</t>
        </is>
      </c>
      <c r="F768" t="inlineStr">
        <is>
          <t>The RNA world : the nature of modern RNA suggests a prebiotic RNA world / edited by Raymond F. Gesteland, John F. Atkins.</t>
        </is>
      </c>
      <c r="H768" t="inlineStr">
        <is>
          <t>No</t>
        </is>
      </c>
      <c r="I768" t="inlineStr">
        <is>
          <t>1</t>
        </is>
      </c>
      <c r="J768" t="inlineStr">
        <is>
          <t>Yes</t>
        </is>
      </c>
      <c r="K768" t="inlineStr">
        <is>
          <t>No</t>
        </is>
      </c>
      <c r="L768" t="inlineStr">
        <is>
          <t>0</t>
        </is>
      </c>
      <c r="N768" t="inlineStr">
        <is>
          <t>Cold Spring Harbor, NY : Cold Spring Harbor Laboratory Press, 1993.</t>
        </is>
      </c>
      <c r="O768" t="inlineStr">
        <is>
          <t>1993</t>
        </is>
      </c>
      <c r="Q768" t="inlineStr">
        <is>
          <t>eng</t>
        </is>
      </c>
      <c r="R768" t="inlineStr">
        <is>
          <t>nyu</t>
        </is>
      </c>
      <c r="S768" t="inlineStr">
        <is>
          <t>Cold Spring Harbor monograph series ; 24</t>
        </is>
      </c>
      <c r="T768" t="inlineStr">
        <is>
          <t xml:space="preserve">QP </t>
        </is>
      </c>
      <c r="U768" t="n">
        <v>18</v>
      </c>
      <c r="V768" t="n">
        <v>28</v>
      </c>
      <c r="W768" t="inlineStr">
        <is>
          <t>2006-12-01</t>
        </is>
      </c>
      <c r="X768" t="inlineStr">
        <is>
          <t>2006-12-01</t>
        </is>
      </c>
      <c r="Y768" t="inlineStr">
        <is>
          <t>1995-03-19</t>
        </is>
      </c>
      <c r="Z768" t="inlineStr">
        <is>
          <t>1995-03-19</t>
        </is>
      </c>
      <c r="AA768" t="n">
        <v>358</v>
      </c>
      <c r="AB768" t="n">
        <v>250</v>
      </c>
      <c r="AC768" t="n">
        <v>508</v>
      </c>
      <c r="AD768" t="n">
        <v>2</v>
      </c>
      <c r="AE768" t="n">
        <v>3</v>
      </c>
      <c r="AF768" t="n">
        <v>10</v>
      </c>
      <c r="AG768" t="n">
        <v>21</v>
      </c>
      <c r="AH768" t="n">
        <v>3</v>
      </c>
      <c r="AI768" t="n">
        <v>7</v>
      </c>
      <c r="AJ768" t="n">
        <v>3</v>
      </c>
      <c r="AK768" t="n">
        <v>6</v>
      </c>
      <c r="AL768" t="n">
        <v>9</v>
      </c>
      <c r="AM768" t="n">
        <v>13</v>
      </c>
      <c r="AN768" t="n">
        <v>0</v>
      </c>
      <c r="AO768" t="n">
        <v>1</v>
      </c>
      <c r="AP768" t="n">
        <v>0</v>
      </c>
      <c r="AQ768" t="n">
        <v>0</v>
      </c>
      <c r="AR768" t="inlineStr">
        <is>
          <t>No</t>
        </is>
      </c>
      <c r="AS768" t="inlineStr">
        <is>
          <t>Yes</t>
        </is>
      </c>
      <c r="AT768">
        <f>HYPERLINK("http://catalog.hathitrust.org/Record/002714504","HathiTrust Record")</f>
        <v/>
      </c>
      <c r="AU768">
        <f>HYPERLINK("https://creighton-primo.hosted.exlibrisgroup.com/primo-explore/search?tab=default_tab&amp;search_scope=EVERYTHING&amp;vid=01CRU&amp;lang=en_US&amp;offset=0&amp;query=any,contains,991001798359702656","Catalog Record")</f>
        <v/>
      </c>
      <c r="AV768">
        <f>HYPERLINK("http://www.worldcat.org/oclc/27430582","WorldCat Record")</f>
        <v/>
      </c>
      <c r="AW768" t="inlineStr">
        <is>
          <t>806987614:eng</t>
        </is>
      </c>
      <c r="AX768" t="inlineStr">
        <is>
          <t>27430582</t>
        </is>
      </c>
      <c r="AY768" t="inlineStr">
        <is>
          <t>991001798359702656</t>
        </is>
      </c>
      <c r="AZ768" t="inlineStr">
        <is>
          <t>991001798359702656</t>
        </is>
      </c>
      <c r="BA768" t="inlineStr">
        <is>
          <t>2266112070002656</t>
        </is>
      </c>
      <c r="BB768" t="inlineStr">
        <is>
          <t>BOOK</t>
        </is>
      </c>
      <c r="BD768" t="inlineStr">
        <is>
          <t>9780879693800</t>
        </is>
      </c>
      <c r="BE768" t="inlineStr">
        <is>
          <t>32285002002649</t>
        </is>
      </c>
      <c r="BF768" t="inlineStr">
        <is>
          <t>893322265</t>
        </is>
      </c>
    </row>
    <row r="769">
      <c r="B769" t="inlineStr">
        <is>
          <t>CURAL</t>
        </is>
      </c>
      <c r="C769" t="inlineStr">
        <is>
          <t>SHELVES</t>
        </is>
      </c>
      <c r="D769" t="inlineStr">
        <is>
          <t>QP623.5.M47 C66 1993</t>
        </is>
      </c>
      <c r="E769" t="inlineStr">
        <is>
          <t>0                      QP 0623500M  47                 C  66          1993</t>
        </is>
      </c>
      <c r="F769" t="inlineStr">
        <is>
          <t>Control of messenger RNA stability / edited by Joel G. Belasco, George Brawerman.</t>
        </is>
      </c>
      <c r="H769" t="inlineStr">
        <is>
          <t>No</t>
        </is>
      </c>
      <c r="I769" t="inlineStr">
        <is>
          <t>1</t>
        </is>
      </c>
      <c r="J769" t="inlineStr">
        <is>
          <t>Yes</t>
        </is>
      </c>
      <c r="K769" t="inlineStr">
        <is>
          <t>No</t>
        </is>
      </c>
      <c r="L769" t="inlineStr">
        <is>
          <t>0</t>
        </is>
      </c>
      <c r="N769" t="inlineStr">
        <is>
          <t>San Diego : Academic Press, c1993.</t>
        </is>
      </c>
      <c r="O769" t="inlineStr">
        <is>
          <t>1993</t>
        </is>
      </c>
      <c r="Q769" t="inlineStr">
        <is>
          <t>eng</t>
        </is>
      </c>
      <c r="R769" t="inlineStr">
        <is>
          <t>cau</t>
        </is>
      </c>
      <c r="T769" t="inlineStr">
        <is>
          <t xml:space="preserve">QP </t>
        </is>
      </c>
      <c r="U769" t="n">
        <v>8</v>
      </c>
      <c r="V769" t="n">
        <v>25</v>
      </c>
      <c r="W769" t="inlineStr">
        <is>
          <t>2006-09-06</t>
        </is>
      </c>
      <c r="X769" t="inlineStr">
        <is>
          <t>2006-09-06</t>
        </is>
      </c>
      <c r="Y769" t="inlineStr">
        <is>
          <t>1994-04-13</t>
        </is>
      </c>
      <c r="Z769" t="inlineStr">
        <is>
          <t>1994-04-13</t>
        </is>
      </c>
      <c r="AA769" t="n">
        <v>264</v>
      </c>
      <c r="AB769" t="n">
        <v>177</v>
      </c>
      <c r="AC769" t="n">
        <v>224</v>
      </c>
      <c r="AD769" t="n">
        <v>2</v>
      </c>
      <c r="AE769" t="n">
        <v>3</v>
      </c>
      <c r="AF769" t="n">
        <v>5</v>
      </c>
      <c r="AG769" t="n">
        <v>9</v>
      </c>
      <c r="AH769" t="n">
        <v>0</v>
      </c>
      <c r="AI769" t="n">
        <v>2</v>
      </c>
      <c r="AJ769" t="n">
        <v>2</v>
      </c>
      <c r="AK769" t="n">
        <v>4</v>
      </c>
      <c r="AL769" t="n">
        <v>4</v>
      </c>
      <c r="AM769" t="n">
        <v>4</v>
      </c>
      <c r="AN769" t="n">
        <v>0</v>
      </c>
      <c r="AO769" t="n">
        <v>1</v>
      </c>
      <c r="AP769" t="n">
        <v>0</v>
      </c>
      <c r="AQ769" t="n">
        <v>0</v>
      </c>
      <c r="AR769" t="inlineStr">
        <is>
          <t>No</t>
        </is>
      </c>
      <c r="AS769" t="inlineStr">
        <is>
          <t>Yes</t>
        </is>
      </c>
      <c r="AT769">
        <f>HYPERLINK("http://catalog.hathitrust.org/Record/002652478","HathiTrust Record")</f>
        <v/>
      </c>
      <c r="AU769">
        <f>HYPERLINK("https://creighton-primo.hosted.exlibrisgroup.com/primo-explore/search?tab=default_tab&amp;search_scope=EVERYTHING&amp;vid=01CRU&amp;lang=en_US&amp;offset=0&amp;query=any,contains,991001804379702656","Catalog Record")</f>
        <v/>
      </c>
      <c r="AV769">
        <f>HYPERLINK("http://www.worldcat.org/oclc/27145577","WorldCat Record")</f>
        <v/>
      </c>
      <c r="AW769" t="inlineStr">
        <is>
          <t>365447261:eng</t>
        </is>
      </c>
      <c r="AX769" t="inlineStr">
        <is>
          <t>27145577</t>
        </is>
      </c>
      <c r="AY769" t="inlineStr">
        <is>
          <t>991001804379702656</t>
        </is>
      </c>
      <c r="AZ769" t="inlineStr">
        <is>
          <t>991001804379702656</t>
        </is>
      </c>
      <c r="BA769" t="inlineStr">
        <is>
          <t>2255414250002656</t>
        </is>
      </c>
      <c r="BB769" t="inlineStr">
        <is>
          <t>BOOK</t>
        </is>
      </c>
      <c r="BD769" t="inlineStr">
        <is>
          <t>9780120847822</t>
        </is>
      </c>
      <c r="BE769" t="inlineStr">
        <is>
          <t>32285001859924</t>
        </is>
      </c>
      <c r="BF769" t="inlineStr">
        <is>
          <t>893503718</t>
        </is>
      </c>
    </row>
    <row r="770">
      <c r="B770" t="inlineStr">
        <is>
          <t>CURAL</t>
        </is>
      </c>
      <c r="C770" t="inlineStr">
        <is>
          <t>SHELVES</t>
        </is>
      </c>
      <c r="D770" t="inlineStr">
        <is>
          <t>QP623.5.M47 L36 1995</t>
        </is>
      </c>
      <c r="E770" t="inlineStr">
        <is>
          <t>0                      QP 0623500M  47                 L  36          1995</t>
        </is>
      </c>
      <c r="F770" t="inlineStr">
        <is>
          <t>Pre-mRNA processing / Angus I. Lamond.</t>
        </is>
      </c>
      <c r="H770" t="inlineStr">
        <is>
          <t>No</t>
        </is>
      </c>
      <c r="I770" t="inlineStr">
        <is>
          <t>1</t>
        </is>
      </c>
      <c r="J770" t="inlineStr">
        <is>
          <t>No</t>
        </is>
      </c>
      <c r="K770" t="inlineStr">
        <is>
          <t>No</t>
        </is>
      </c>
      <c r="L770" t="inlineStr">
        <is>
          <t>0</t>
        </is>
      </c>
      <c r="M770" t="inlineStr">
        <is>
          <t>Lamond, Angus I.</t>
        </is>
      </c>
      <c r="N770" t="inlineStr">
        <is>
          <t>Austin : R.G. Landes Co., 1995.</t>
        </is>
      </c>
      <c r="O770" t="inlineStr">
        <is>
          <t>1995</t>
        </is>
      </c>
      <c r="Q770" t="inlineStr">
        <is>
          <t>eng</t>
        </is>
      </c>
      <c r="R770" t="inlineStr">
        <is>
          <t>txu</t>
        </is>
      </c>
      <c r="S770" t="inlineStr">
        <is>
          <t>Molecular biology intelligence unit</t>
        </is>
      </c>
      <c r="T770" t="inlineStr">
        <is>
          <t xml:space="preserve">QP </t>
        </is>
      </c>
      <c r="U770" t="n">
        <v>4</v>
      </c>
      <c r="V770" t="n">
        <v>4</v>
      </c>
      <c r="W770" t="inlineStr">
        <is>
          <t>1998-05-07</t>
        </is>
      </c>
      <c r="X770" t="inlineStr">
        <is>
          <t>1998-05-07</t>
        </is>
      </c>
      <c r="Y770" t="inlineStr">
        <is>
          <t>1995-06-07</t>
        </is>
      </c>
      <c r="Z770" t="inlineStr">
        <is>
          <t>1995-06-07</t>
        </is>
      </c>
      <c r="AA770" t="n">
        <v>111</v>
      </c>
      <c r="AB770" t="n">
        <v>72</v>
      </c>
      <c r="AC770" t="n">
        <v>98</v>
      </c>
      <c r="AD770" t="n">
        <v>1</v>
      </c>
      <c r="AE770" t="n">
        <v>1</v>
      </c>
      <c r="AF770" t="n">
        <v>3</v>
      </c>
      <c r="AG770" t="n">
        <v>4</v>
      </c>
      <c r="AH770" t="n">
        <v>2</v>
      </c>
      <c r="AI770" t="n">
        <v>3</v>
      </c>
      <c r="AJ770" t="n">
        <v>1</v>
      </c>
      <c r="AK770" t="n">
        <v>1</v>
      </c>
      <c r="AL770" t="n">
        <v>3</v>
      </c>
      <c r="AM770" t="n">
        <v>4</v>
      </c>
      <c r="AN770" t="n">
        <v>0</v>
      </c>
      <c r="AO770" t="n">
        <v>0</v>
      </c>
      <c r="AP770" t="n">
        <v>0</v>
      </c>
      <c r="AQ770" t="n">
        <v>0</v>
      </c>
      <c r="AR770" t="inlineStr">
        <is>
          <t>No</t>
        </is>
      </c>
      <c r="AS770" t="inlineStr">
        <is>
          <t>No</t>
        </is>
      </c>
      <c r="AU770">
        <f>HYPERLINK("https://creighton-primo.hosted.exlibrisgroup.com/primo-explore/search?tab=default_tab&amp;search_scope=EVERYTHING&amp;vid=01CRU&amp;lang=en_US&amp;offset=0&amp;query=any,contains,991002452319702656","Catalog Record")</f>
        <v/>
      </c>
      <c r="AV770">
        <f>HYPERLINK("http://www.worldcat.org/oclc/31971331","WorldCat Record")</f>
        <v/>
      </c>
      <c r="AW770" t="inlineStr">
        <is>
          <t>34050587:eng</t>
        </is>
      </c>
      <c r="AX770" t="inlineStr">
        <is>
          <t>31971331</t>
        </is>
      </c>
      <c r="AY770" t="inlineStr">
        <is>
          <t>991002452319702656</t>
        </is>
      </c>
      <c r="AZ770" t="inlineStr">
        <is>
          <t>991002452319702656</t>
        </is>
      </c>
      <c r="BA770" t="inlineStr">
        <is>
          <t>2267685650002656</t>
        </is>
      </c>
      <c r="BB770" t="inlineStr">
        <is>
          <t>BOOK</t>
        </is>
      </c>
      <c r="BD770" t="inlineStr">
        <is>
          <t>9781570592263</t>
        </is>
      </c>
      <c r="BE770" t="inlineStr">
        <is>
          <t>32285002050770</t>
        </is>
      </c>
      <c r="BF770" t="inlineStr">
        <is>
          <t>893873533</t>
        </is>
      </c>
    </row>
    <row r="771">
      <c r="B771" t="inlineStr">
        <is>
          <t>CURAL</t>
        </is>
      </c>
      <c r="C771" t="inlineStr">
        <is>
          <t>SHELVES</t>
        </is>
      </c>
      <c r="D771" t="inlineStr">
        <is>
          <t>QP623.8.P75 R63 2008</t>
        </is>
      </c>
      <c r="E771" t="inlineStr">
        <is>
          <t>0                      QP 0623800P  75                 R  63          2008</t>
        </is>
      </c>
      <c r="F771" t="inlineStr">
        <is>
          <t>RNA-protein interaction protocols.</t>
        </is>
      </c>
      <c r="H771" t="inlineStr">
        <is>
          <t>No</t>
        </is>
      </c>
      <c r="I771" t="inlineStr">
        <is>
          <t>1</t>
        </is>
      </c>
      <c r="J771" t="inlineStr">
        <is>
          <t>No</t>
        </is>
      </c>
      <c r="K771" t="inlineStr">
        <is>
          <t>No</t>
        </is>
      </c>
      <c r="L771" t="inlineStr">
        <is>
          <t>0</t>
        </is>
      </c>
      <c r="N771" t="inlineStr">
        <is>
          <t>Totowa, N.J. : Humana ; London : Springer [distributor], 2008.</t>
        </is>
      </c>
      <c r="O771" t="inlineStr">
        <is>
          <t>2008</t>
        </is>
      </c>
      <c r="P771" t="inlineStr">
        <is>
          <t>2nd ed. / edited by Ren-Jang Lin.</t>
        </is>
      </c>
      <c r="Q771" t="inlineStr">
        <is>
          <t>eng</t>
        </is>
      </c>
      <c r="R771" t="inlineStr">
        <is>
          <t>nju</t>
        </is>
      </c>
      <c r="S771" t="inlineStr">
        <is>
          <t>Methods in molecular biology ; v. 488</t>
        </is>
      </c>
      <c r="T771" t="inlineStr">
        <is>
          <t xml:space="preserve">QP </t>
        </is>
      </c>
      <c r="U771" t="n">
        <v>1</v>
      </c>
      <c r="V771" t="n">
        <v>1</v>
      </c>
      <c r="W771" t="inlineStr">
        <is>
          <t>2009-10-26</t>
        </is>
      </c>
      <c r="X771" t="inlineStr">
        <is>
          <t>2009-10-26</t>
        </is>
      </c>
      <c r="Y771" t="inlineStr">
        <is>
          <t>2009-10-26</t>
        </is>
      </c>
      <c r="Z771" t="inlineStr">
        <is>
          <t>2009-10-26</t>
        </is>
      </c>
      <c r="AA771" t="n">
        <v>140</v>
      </c>
      <c r="AB771" t="n">
        <v>100</v>
      </c>
      <c r="AC771" t="n">
        <v>159</v>
      </c>
      <c r="AD771" t="n">
        <v>2</v>
      </c>
      <c r="AE771" t="n">
        <v>3</v>
      </c>
      <c r="AF771" t="n">
        <v>3</v>
      </c>
      <c r="AG771" t="n">
        <v>5</v>
      </c>
      <c r="AH771" t="n">
        <v>0</v>
      </c>
      <c r="AI771" t="n">
        <v>1</v>
      </c>
      <c r="AJ771" t="n">
        <v>1</v>
      </c>
      <c r="AK771" t="n">
        <v>1</v>
      </c>
      <c r="AL771" t="n">
        <v>2</v>
      </c>
      <c r="AM771" t="n">
        <v>2</v>
      </c>
      <c r="AN771" t="n">
        <v>1</v>
      </c>
      <c r="AO771" t="n">
        <v>2</v>
      </c>
      <c r="AP771" t="n">
        <v>0</v>
      </c>
      <c r="AQ771" t="n">
        <v>0</v>
      </c>
      <c r="AR771" t="inlineStr">
        <is>
          <t>No</t>
        </is>
      </c>
      <c r="AS771" t="inlineStr">
        <is>
          <t>No</t>
        </is>
      </c>
      <c r="AU771">
        <f>HYPERLINK("https://creighton-primo.hosted.exlibrisgroup.com/primo-explore/search?tab=default_tab&amp;search_scope=EVERYTHING&amp;vid=01CRU&amp;lang=en_US&amp;offset=0&amp;query=any,contains,991005338759702656","Catalog Record")</f>
        <v/>
      </c>
      <c r="AV771">
        <f>HYPERLINK("http://www.worldcat.org/oclc/166378576","WorldCat Record")</f>
        <v/>
      </c>
      <c r="AW771" t="inlineStr">
        <is>
          <t>112902559:eng</t>
        </is>
      </c>
      <c r="AX771" t="inlineStr">
        <is>
          <t>166378576</t>
        </is>
      </c>
      <c r="AY771" t="inlineStr">
        <is>
          <t>991005338759702656</t>
        </is>
      </c>
      <c r="AZ771" t="inlineStr">
        <is>
          <t>991005338759702656</t>
        </is>
      </c>
      <c r="BA771" t="inlineStr">
        <is>
          <t>2258574930002656</t>
        </is>
      </c>
      <c r="BB771" t="inlineStr">
        <is>
          <t>BOOK</t>
        </is>
      </c>
      <c r="BD771" t="inlineStr">
        <is>
          <t>9781588294197</t>
        </is>
      </c>
      <c r="BE771" t="inlineStr">
        <is>
          <t>32285005548564</t>
        </is>
      </c>
      <c r="BF771" t="inlineStr">
        <is>
          <t>893701400</t>
        </is>
      </c>
    </row>
    <row r="772">
      <c r="B772" t="inlineStr">
        <is>
          <t>CURAL</t>
        </is>
      </c>
      <c r="C772" t="inlineStr">
        <is>
          <t>SHELVES</t>
        </is>
      </c>
      <c r="D772" t="inlineStr">
        <is>
          <t>QP624 .A327 1991</t>
        </is>
      </c>
      <c r="E772" t="inlineStr">
        <is>
          <t>0                      QP 0624000A  327         1991</t>
        </is>
      </c>
      <c r="F772" t="inlineStr">
        <is>
          <t>DNA replication / Roger L.P. Adams.</t>
        </is>
      </c>
      <c r="H772" t="inlineStr">
        <is>
          <t>No</t>
        </is>
      </c>
      <c r="I772" t="inlineStr">
        <is>
          <t>1</t>
        </is>
      </c>
      <c r="J772" t="inlineStr">
        <is>
          <t>No</t>
        </is>
      </c>
      <c r="K772" t="inlineStr">
        <is>
          <t>No</t>
        </is>
      </c>
      <c r="L772" t="inlineStr">
        <is>
          <t>0</t>
        </is>
      </c>
      <c r="M772" t="inlineStr">
        <is>
          <t>Adams, R. L. P. (Roger Lionel Poulter)</t>
        </is>
      </c>
      <c r="N772" t="inlineStr">
        <is>
          <t>Oxford ; New York : IRL Press at Oxford University Press, c1991.</t>
        </is>
      </c>
      <c r="O772" t="inlineStr">
        <is>
          <t>1991</t>
        </is>
      </c>
      <c r="Q772" t="inlineStr">
        <is>
          <t>eng</t>
        </is>
      </c>
      <c r="R772" t="inlineStr">
        <is>
          <t>enk</t>
        </is>
      </c>
      <c r="S772" t="inlineStr">
        <is>
          <t>In focus</t>
        </is>
      </c>
      <c r="T772" t="inlineStr">
        <is>
          <t xml:space="preserve">QP </t>
        </is>
      </c>
      <c r="U772" t="n">
        <v>12</v>
      </c>
      <c r="V772" t="n">
        <v>12</v>
      </c>
      <c r="W772" t="inlineStr">
        <is>
          <t>1996-11-21</t>
        </is>
      </c>
      <c r="X772" t="inlineStr">
        <is>
          <t>1996-11-21</t>
        </is>
      </c>
      <c r="Y772" t="inlineStr">
        <is>
          <t>1991-09-17</t>
        </is>
      </c>
      <c r="Z772" t="inlineStr">
        <is>
          <t>1991-09-17</t>
        </is>
      </c>
      <c r="AA772" t="n">
        <v>523</v>
      </c>
      <c r="AB772" t="n">
        <v>421</v>
      </c>
      <c r="AC772" t="n">
        <v>428</v>
      </c>
      <c r="AD772" t="n">
        <v>2</v>
      </c>
      <c r="AE772" t="n">
        <v>2</v>
      </c>
      <c r="AF772" t="n">
        <v>17</v>
      </c>
      <c r="AG772" t="n">
        <v>17</v>
      </c>
      <c r="AH772" t="n">
        <v>10</v>
      </c>
      <c r="AI772" t="n">
        <v>10</v>
      </c>
      <c r="AJ772" t="n">
        <v>3</v>
      </c>
      <c r="AK772" t="n">
        <v>3</v>
      </c>
      <c r="AL772" t="n">
        <v>10</v>
      </c>
      <c r="AM772" t="n">
        <v>10</v>
      </c>
      <c r="AN772" t="n">
        <v>1</v>
      </c>
      <c r="AO772" t="n">
        <v>1</v>
      </c>
      <c r="AP772" t="n">
        <v>0</v>
      </c>
      <c r="AQ772" t="n">
        <v>0</v>
      </c>
      <c r="AR772" t="inlineStr">
        <is>
          <t>No</t>
        </is>
      </c>
      <c r="AS772" t="inlineStr">
        <is>
          <t>Yes</t>
        </is>
      </c>
      <c r="AT772">
        <f>HYPERLINK("http://catalog.hathitrust.org/Record/002453474","HathiTrust Record")</f>
        <v/>
      </c>
      <c r="AU772">
        <f>HYPERLINK("https://creighton-primo.hosted.exlibrisgroup.com/primo-explore/search?tab=default_tab&amp;search_scope=EVERYTHING&amp;vid=01CRU&amp;lang=en_US&amp;offset=0&amp;query=any,contains,991001812359702656","Catalog Record")</f>
        <v/>
      </c>
      <c r="AV772">
        <f>HYPERLINK("http://www.worldcat.org/oclc/22765033","WorldCat Record")</f>
        <v/>
      </c>
      <c r="AW772" t="inlineStr">
        <is>
          <t>24192184:eng</t>
        </is>
      </c>
      <c r="AX772" t="inlineStr">
        <is>
          <t>22765033</t>
        </is>
      </c>
      <c r="AY772" t="inlineStr">
        <is>
          <t>991001812359702656</t>
        </is>
      </c>
      <c r="AZ772" t="inlineStr">
        <is>
          <t>991001812359702656</t>
        </is>
      </c>
      <c r="BA772" t="inlineStr">
        <is>
          <t>2260302610002656</t>
        </is>
      </c>
      <c r="BB772" t="inlineStr">
        <is>
          <t>BOOK</t>
        </is>
      </c>
      <c r="BD772" t="inlineStr">
        <is>
          <t>9780199632169</t>
        </is>
      </c>
      <c r="BE772" t="inlineStr">
        <is>
          <t>32285000703768</t>
        </is>
      </c>
      <c r="BF772" t="inlineStr">
        <is>
          <t>893340723</t>
        </is>
      </c>
    </row>
    <row r="773">
      <c r="B773" t="inlineStr">
        <is>
          <t>CURAL</t>
        </is>
      </c>
      <c r="C773" t="inlineStr">
        <is>
          <t>SHELVES</t>
        </is>
      </c>
      <c r="D773" t="inlineStr">
        <is>
          <t>QP624 .C36 1999</t>
        </is>
      </c>
      <c r="E773" t="inlineStr">
        <is>
          <t>0                      QP 0624000C  36          1999</t>
        </is>
      </c>
      <c r="F773" t="inlineStr">
        <is>
          <t>Genomics : the science and technology behind the Human Genome Project / Charles R. Cantor, Cassandra L. Smith.</t>
        </is>
      </c>
      <c r="H773" t="inlineStr">
        <is>
          <t>No</t>
        </is>
      </c>
      <c r="I773" t="inlineStr">
        <is>
          <t>1</t>
        </is>
      </c>
      <c r="J773" t="inlineStr">
        <is>
          <t>No</t>
        </is>
      </c>
      <c r="K773" t="inlineStr">
        <is>
          <t>No</t>
        </is>
      </c>
      <c r="L773" t="inlineStr">
        <is>
          <t>0</t>
        </is>
      </c>
      <c r="M773" t="inlineStr">
        <is>
          <t>Cantor, Charles R., 1942-</t>
        </is>
      </c>
      <c r="N773" t="inlineStr">
        <is>
          <t>New York : Wiley, c1999.</t>
        </is>
      </c>
      <c r="O773" t="inlineStr">
        <is>
          <t>1999</t>
        </is>
      </c>
      <c r="Q773" t="inlineStr">
        <is>
          <t>eng</t>
        </is>
      </c>
      <c r="R773" t="inlineStr">
        <is>
          <t>nyu</t>
        </is>
      </c>
      <c r="T773" t="inlineStr">
        <is>
          <t xml:space="preserve">QP </t>
        </is>
      </c>
      <c r="U773" t="n">
        <v>73</v>
      </c>
      <c r="V773" t="n">
        <v>73</v>
      </c>
      <c r="W773" t="inlineStr">
        <is>
          <t>2010-12-31</t>
        </is>
      </c>
      <c r="X773" t="inlineStr">
        <is>
          <t>2010-12-31</t>
        </is>
      </c>
      <c r="Y773" t="inlineStr">
        <is>
          <t>2000-07-26</t>
        </is>
      </c>
      <c r="Z773" t="inlineStr">
        <is>
          <t>2000-07-26</t>
        </is>
      </c>
      <c r="AA773" t="n">
        <v>546</v>
      </c>
      <c r="AB773" t="n">
        <v>410</v>
      </c>
      <c r="AC773" t="n">
        <v>490</v>
      </c>
      <c r="AD773" t="n">
        <v>3</v>
      </c>
      <c r="AE773" t="n">
        <v>3</v>
      </c>
      <c r="AF773" t="n">
        <v>21</v>
      </c>
      <c r="AG773" t="n">
        <v>21</v>
      </c>
      <c r="AH773" t="n">
        <v>6</v>
      </c>
      <c r="AI773" t="n">
        <v>6</v>
      </c>
      <c r="AJ773" t="n">
        <v>7</v>
      </c>
      <c r="AK773" t="n">
        <v>7</v>
      </c>
      <c r="AL773" t="n">
        <v>11</v>
      </c>
      <c r="AM773" t="n">
        <v>11</v>
      </c>
      <c r="AN773" t="n">
        <v>2</v>
      </c>
      <c r="AO773" t="n">
        <v>2</v>
      </c>
      <c r="AP773" t="n">
        <v>0</v>
      </c>
      <c r="AQ773" t="n">
        <v>0</v>
      </c>
      <c r="AR773" t="inlineStr">
        <is>
          <t>No</t>
        </is>
      </c>
      <c r="AS773" t="inlineStr">
        <is>
          <t>Yes</t>
        </is>
      </c>
      <c r="AT773">
        <f>HYPERLINK("http://catalog.hathitrust.org/Record/004024841","HathiTrust Record")</f>
        <v/>
      </c>
      <c r="AU773">
        <f>HYPERLINK("https://creighton-primo.hosted.exlibrisgroup.com/primo-explore/search?tab=default_tab&amp;search_scope=EVERYTHING&amp;vid=01CRU&amp;lang=en_US&amp;offset=0&amp;query=any,contains,991003219579702656","Catalog Record")</f>
        <v/>
      </c>
      <c r="AV773">
        <f>HYPERLINK("http://www.worldcat.org/oclc/39700016","WorldCat Record")</f>
        <v/>
      </c>
      <c r="AW773" t="inlineStr">
        <is>
          <t>800546696:eng</t>
        </is>
      </c>
      <c r="AX773" t="inlineStr">
        <is>
          <t>39700016</t>
        </is>
      </c>
      <c r="AY773" t="inlineStr">
        <is>
          <t>991003219579702656</t>
        </is>
      </c>
      <c r="AZ773" t="inlineStr">
        <is>
          <t>991003219579702656</t>
        </is>
      </c>
      <c r="BA773" t="inlineStr">
        <is>
          <t>2256384920002656</t>
        </is>
      </c>
      <c r="BB773" t="inlineStr">
        <is>
          <t>BOOK</t>
        </is>
      </c>
      <c r="BD773" t="inlineStr">
        <is>
          <t>9780471599081</t>
        </is>
      </c>
      <c r="BE773" t="inlineStr">
        <is>
          <t>32285003742367</t>
        </is>
      </c>
      <c r="BF773" t="inlineStr">
        <is>
          <t>893705026</t>
        </is>
      </c>
    </row>
    <row r="774">
      <c r="B774" t="inlineStr">
        <is>
          <t>CURAL</t>
        </is>
      </c>
      <c r="C774" t="inlineStr">
        <is>
          <t>SHELVES</t>
        </is>
      </c>
      <c r="D774" t="inlineStr">
        <is>
          <t>QP624 .D15 1984</t>
        </is>
      </c>
      <c r="E774" t="inlineStr">
        <is>
          <t>0                      QP 0624000D  15          1984</t>
        </is>
      </c>
      <c r="F774" t="inlineStr">
        <is>
          <t>DNA methylation, biochemistry, and biological significance / edited by Aharon Razin, Howard Cedar, and Arthur D. Riggs ; with contributions by K.F. Conklin ... [et al.].</t>
        </is>
      </c>
      <c r="H774" t="inlineStr">
        <is>
          <t>No</t>
        </is>
      </c>
      <c r="I774" t="inlineStr">
        <is>
          <t>1</t>
        </is>
      </c>
      <c r="J774" t="inlineStr">
        <is>
          <t>No</t>
        </is>
      </c>
      <c r="K774" t="inlineStr">
        <is>
          <t>No</t>
        </is>
      </c>
      <c r="L774" t="inlineStr">
        <is>
          <t>0</t>
        </is>
      </c>
      <c r="N774" t="inlineStr">
        <is>
          <t>New York : Springer-Verlag, c1984.</t>
        </is>
      </c>
      <c r="O774" t="inlineStr">
        <is>
          <t>1984</t>
        </is>
      </c>
      <c r="Q774" t="inlineStr">
        <is>
          <t>eng</t>
        </is>
      </c>
      <c r="R774" t="inlineStr">
        <is>
          <t>nyu</t>
        </is>
      </c>
      <c r="S774" t="inlineStr">
        <is>
          <t>Springer series in molecular biology</t>
        </is>
      </c>
      <c r="T774" t="inlineStr">
        <is>
          <t xml:space="preserve">QP </t>
        </is>
      </c>
      <c r="U774" t="n">
        <v>3</v>
      </c>
      <c r="V774" t="n">
        <v>3</v>
      </c>
      <c r="W774" t="inlineStr">
        <is>
          <t>2008-10-21</t>
        </is>
      </c>
      <c r="X774" t="inlineStr">
        <is>
          <t>2008-10-21</t>
        </is>
      </c>
      <c r="Y774" t="inlineStr">
        <is>
          <t>1992-03-23</t>
        </is>
      </c>
      <c r="Z774" t="inlineStr">
        <is>
          <t>1992-03-23</t>
        </is>
      </c>
      <c r="AA774" t="n">
        <v>274</v>
      </c>
      <c r="AB774" t="n">
        <v>213</v>
      </c>
      <c r="AC774" t="n">
        <v>242</v>
      </c>
      <c r="AD774" t="n">
        <v>2</v>
      </c>
      <c r="AE774" t="n">
        <v>2</v>
      </c>
      <c r="AF774" t="n">
        <v>9</v>
      </c>
      <c r="AG774" t="n">
        <v>10</v>
      </c>
      <c r="AH774" t="n">
        <v>1</v>
      </c>
      <c r="AI774" t="n">
        <v>2</v>
      </c>
      <c r="AJ774" t="n">
        <v>4</v>
      </c>
      <c r="AK774" t="n">
        <v>4</v>
      </c>
      <c r="AL774" t="n">
        <v>6</v>
      </c>
      <c r="AM774" t="n">
        <v>7</v>
      </c>
      <c r="AN774" t="n">
        <v>1</v>
      </c>
      <c r="AO774" t="n">
        <v>1</v>
      </c>
      <c r="AP774" t="n">
        <v>0</v>
      </c>
      <c r="AQ774" t="n">
        <v>0</v>
      </c>
      <c r="AR774" t="inlineStr">
        <is>
          <t>No</t>
        </is>
      </c>
      <c r="AS774" t="inlineStr">
        <is>
          <t>Yes</t>
        </is>
      </c>
      <c r="AT774">
        <f>HYPERLINK("http://catalog.hathitrust.org/Record/000362982","HathiTrust Record")</f>
        <v/>
      </c>
      <c r="AU774">
        <f>HYPERLINK("https://creighton-primo.hosted.exlibrisgroup.com/primo-explore/search?tab=default_tab&amp;search_scope=EVERYTHING&amp;vid=01CRU&amp;lang=en_US&amp;offset=0&amp;query=any,contains,991000418239702656","Catalog Record")</f>
        <v/>
      </c>
      <c r="AV774">
        <f>HYPERLINK("http://www.worldcat.org/oclc/10726728","WorldCat Record")</f>
        <v/>
      </c>
      <c r="AW774" t="inlineStr">
        <is>
          <t>3508969:eng</t>
        </is>
      </c>
      <c r="AX774" t="inlineStr">
        <is>
          <t>10726728</t>
        </is>
      </c>
      <c r="AY774" t="inlineStr">
        <is>
          <t>991000418239702656</t>
        </is>
      </c>
      <c r="AZ774" t="inlineStr">
        <is>
          <t>991000418239702656</t>
        </is>
      </c>
      <c r="BA774" t="inlineStr">
        <is>
          <t>2264253140002656</t>
        </is>
      </c>
      <c r="BB774" t="inlineStr">
        <is>
          <t>BOOK</t>
        </is>
      </c>
      <c r="BD774" t="inlineStr">
        <is>
          <t>9780387960388</t>
        </is>
      </c>
      <c r="BE774" t="inlineStr">
        <is>
          <t>32285001026730</t>
        </is>
      </c>
      <c r="BF774" t="inlineStr">
        <is>
          <t>893419434</t>
        </is>
      </c>
    </row>
    <row r="775">
      <c r="B775" t="inlineStr">
        <is>
          <t>CURAL</t>
        </is>
      </c>
      <c r="C775" t="inlineStr">
        <is>
          <t>SHELVES</t>
        </is>
      </c>
      <c r="D775" t="inlineStr">
        <is>
          <t>QP624 .D175 1990</t>
        </is>
      </c>
      <c r="E775" t="inlineStr">
        <is>
          <t>0                      QP 0624000D  175         1990</t>
        </is>
      </c>
      <c r="F775" t="inlineStr">
        <is>
          <t>DNA topology and its biological effects / edited by Nicholas R. Cozzarelli, James C. Wang.</t>
        </is>
      </c>
      <c r="H775" t="inlineStr">
        <is>
          <t>No</t>
        </is>
      </c>
      <c r="I775" t="inlineStr">
        <is>
          <t>1</t>
        </is>
      </c>
      <c r="J775" t="inlineStr">
        <is>
          <t>No</t>
        </is>
      </c>
      <c r="K775" t="inlineStr">
        <is>
          <t>No</t>
        </is>
      </c>
      <c r="L775" t="inlineStr">
        <is>
          <t>0</t>
        </is>
      </c>
      <c r="N775" t="inlineStr">
        <is>
          <t>[Cold Spring Harbor, NY] : Cold Spring Harbor Laboratory Press, 1990.</t>
        </is>
      </c>
      <c r="O775" t="inlineStr">
        <is>
          <t>1990</t>
        </is>
      </c>
      <c r="Q775" t="inlineStr">
        <is>
          <t>eng</t>
        </is>
      </c>
      <c r="R775" t="inlineStr">
        <is>
          <t>nyu</t>
        </is>
      </c>
      <c r="S775" t="inlineStr">
        <is>
          <t>Cold Spring Harbor monograph series ; 19</t>
        </is>
      </c>
      <c r="T775" t="inlineStr">
        <is>
          <t xml:space="preserve">QP </t>
        </is>
      </c>
      <c r="U775" t="n">
        <v>8</v>
      </c>
      <c r="V775" t="n">
        <v>8</v>
      </c>
      <c r="W775" t="inlineStr">
        <is>
          <t>2008-10-26</t>
        </is>
      </c>
      <c r="X775" t="inlineStr">
        <is>
          <t>2008-10-26</t>
        </is>
      </c>
      <c r="Y775" t="inlineStr">
        <is>
          <t>1991-06-11</t>
        </is>
      </c>
      <c r="Z775" t="inlineStr">
        <is>
          <t>1991-06-11</t>
        </is>
      </c>
      <c r="AA775" t="n">
        <v>342</v>
      </c>
      <c r="AB775" t="n">
        <v>267</v>
      </c>
      <c r="AC775" t="n">
        <v>273</v>
      </c>
      <c r="AD775" t="n">
        <v>3</v>
      </c>
      <c r="AE775" t="n">
        <v>3</v>
      </c>
      <c r="AF775" t="n">
        <v>12</v>
      </c>
      <c r="AG775" t="n">
        <v>12</v>
      </c>
      <c r="AH775" t="n">
        <v>3</v>
      </c>
      <c r="AI775" t="n">
        <v>3</v>
      </c>
      <c r="AJ775" t="n">
        <v>3</v>
      </c>
      <c r="AK775" t="n">
        <v>3</v>
      </c>
      <c r="AL775" t="n">
        <v>6</v>
      </c>
      <c r="AM775" t="n">
        <v>6</v>
      </c>
      <c r="AN775" t="n">
        <v>2</v>
      </c>
      <c r="AO775" t="n">
        <v>2</v>
      </c>
      <c r="AP775" t="n">
        <v>0</v>
      </c>
      <c r="AQ775" t="n">
        <v>0</v>
      </c>
      <c r="AR775" t="inlineStr">
        <is>
          <t>No</t>
        </is>
      </c>
      <c r="AS775" t="inlineStr">
        <is>
          <t>Yes</t>
        </is>
      </c>
      <c r="AT775">
        <f>HYPERLINK("http://catalog.hathitrust.org/Record/002230696","HathiTrust Record")</f>
        <v/>
      </c>
      <c r="AU775">
        <f>HYPERLINK("https://creighton-primo.hosted.exlibrisgroup.com/primo-explore/search?tab=default_tab&amp;search_scope=EVERYTHING&amp;vid=01CRU&amp;lang=en_US&amp;offset=0&amp;query=any,contains,991001660089702656","Catalog Record")</f>
        <v/>
      </c>
      <c r="AV775">
        <f>HYPERLINK("http://www.worldcat.org/oclc/21161296","WorldCat Record")</f>
        <v/>
      </c>
      <c r="AW775" t="inlineStr">
        <is>
          <t>365160410:eng</t>
        </is>
      </c>
      <c r="AX775" t="inlineStr">
        <is>
          <t>21161296</t>
        </is>
      </c>
      <c r="AY775" t="inlineStr">
        <is>
          <t>991001660089702656</t>
        </is>
      </c>
      <c r="AZ775" t="inlineStr">
        <is>
          <t>991001660089702656</t>
        </is>
      </c>
      <c r="BA775" t="inlineStr">
        <is>
          <t>2261991690002656</t>
        </is>
      </c>
      <c r="BB775" t="inlineStr">
        <is>
          <t>BOOK</t>
        </is>
      </c>
      <c r="BD775" t="inlineStr">
        <is>
          <t>9780879693480</t>
        </is>
      </c>
      <c r="BE775" t="inlineStr">
        <is>
          <t>32285000594597</t>
        </is>
      </c>
      <c r="BF775" t="inlineStr">
        <is>
          <t>893250371</t>
        </is>
      </c>
    </row>
    <row r="776">
      <c r="B776" t="inlineStr">
        <is>
          <t>CURAL</t>
        </is>
      </c>
      <c r="C776" t="inlineStr">
        <is>
          <t>SHELVES</t>
        </is>
      </c>
      <c r="D776" t="inlineStr">
        <is>
          <t>QP624 .D19 1986</t>
        </is>
      </c>
      <c r="E776" t="inlineStr">
        <is>
          <t>0                      QP 0624000D  19          1986</t>
        </is>
      </c>
      <c r="F776" t="inlineStr">
        <is>
          <t>DNA systematics / editor, S.K. Dutta.</t>
        </is>
      </c>
      <c r="G776" t="inlineStr">
        <is>
          <t>V.3</t>
        </is>
      </c>
      <c r="H776" t="inlineStr">
        <is>
          <t>Yes</t>
        </is>
      </c>
      <c r="I776" t="inlineStr">
        <is>
          <t>1</t>
        </is>
      </c>
      <c r="J776" t="inlineStr">
        <is>
          <t>No</t>
        </is>
      </c>
      <c r="K776" t="inlineStr">
        <is>
          <t>No</t>
        </is>
      </c>
      <c r="L776" t="inlineStr">
        <is>
          <t>0</t>
        </is>
      </c>
      <c r="N776" t="inlineStr">
        <is>
          <t>Boca Raton, Fla. : CRC Press, c1986-1990.</t>
        </is>
      </c>
      <c r="O776" t="inlineStr">
        <is>
          <t>1986</t>
        </is>
      </c>
      <c r="Q776" t="inlineStr">
        <is>
          <t>eng</t>
        </is>
      </c>
      <c r="R776" t="inlineStr">
        <is>
          <t>flu</t>
        </is>
      </c>
      <c r="T776" t="inlineStr">
        <is>
          <t xml:space="preserve">QP </t>
        </is>
      </c>
      <c r="U776" t="n">
        <v>6</v>
      </c>
      <c r="V776" t="n">
        <v>6</v>
      </c>
      <c r="W776" t="inlineStr">
        <is>
          <t>1996-10-02</t>
        </is>
      </c>
      <c r="X776" t="inlineStr">
        <is>
          <t>1996-10-02</t>
        </is>
      </c>
      <c r="Y776" t="inlineStr">
        <is>
          <t>1993-03-04</t>
        </is>
      </c>
      <c r="Z776" t="inlineStr">
        <is>
          <t>1993-03-04</t>
        </is>
      </c>
      <c r="AA776" t="n">
        <v>303</v>
      </c>
      <c r="AB776" t="n">
        <v>233</v>
      </c>
      <c r="AC776" t="n">
        <v>257</v>
      </c>
      <c r="AD776" t="n">
        <v>3</v>
      </c>
      <c r="AE776" t="n">
        <v>3</v>
      </c>
      <c r="AF776" t="n">
        <v>6</v>
      </c>
      <c r="AG776" t="n">
        <v>6</v>
      </c>
      <c r="AH776" t="n">
        <v>1</v>
      </c>
      <c r="AI776" t="n">
        <v>1</v>
      </c>
      <c r="AJ776" t="n">
        <v>1</v>
      </c>
      <c r="AK776" t="n">
        <v>1</v>
      </c>
      <c r="AL776" t="n">
        <v>3</v>
      </c>
      <c r="AM776" t="n">
        <v>3</v>
      </c>
      <c r="AN776" t="n">
        <v>2</v>
      </c>
      <c r="AO776" t="n">
        <v>2</v>
      </c>
      <c r="AP776" t="n">
        <v>0</v>
      </c>
      <c r="AQ776" t="n">
        <v>0</v>
      </c>
      <c r="AR776" t="inlineStr">
        <is>
          <t>No</t>
        </is>
      </c>
      <c r="AS776" t="inlineStr">
        <is>
          <t>Yes</t>
        </is>
      </c>
      <c r="AT776">
        <f>HYPERLINK("http://catalog.hathitrust.org/Record/000663477","HathiTrust Record")</f>
        <v/>
      </c>
      <c r="AU776">
        <f>HYPERLINK("https://creighton-primo.hosted.exlibrisgroup.com/primo-explore/search?tab=default_tab&amp;search_scope=EVERYTHING&amp;vid=01CRU&amp;lang=en_US&amp;offset=0&amp;query=any,contains,991000706999702656","Catalog Record")</f>
        <v/>
      </c>
      <c r="AV776">
        <f>HYPERLINK("http://www.worldcat.org/oclc/12557789","WorldCat Record")</f>
        <v/>
      </c>
      <c r="AW776" t="inlineStr">
        <is>
          <t>54746377:eng</t>
        </is>
      </c>
      <c r="AX776" t="inlineStr">
        <is>
          <t>12557789</t>
        </is>
      </c>
      <c r="AY776" t="inlineStr">
        <is>
          <t>991000706999702656</t>
        </is>
      </c>
      <c r="AZ776" t="inlineStr">
        <is>
          <t>991000706999702656</t>
        </is>
      </c>
      <c r="BA776" t="inlineStr">
        <is>
          <t>2255350530002656</t>
        </is>
      </c>
      <c r="BB776" t="inlineStr">
        <is>
          <t>BOOK</t>
        </is>
      </c>
      <c r="BD776" t="inlineStr">
        <is>
          <t>9780849358227</t>
        </is>
      </c>
      <c r="BE776" t="inlineStr">
        <is>
          <t>32285001563518</t>
        </is>
      </c>
      <c r="BF776" t="inlineStr">
        <is>
          <t>893425961</t>
        </is>
      </c>
    </row>
    <row r="777">
      <c r="B777" t="inlineStr">
        <is>
          <t>CURAL</t>
        </is>
      </c>
      <c r="C777" t="inlineStr">
        <is>
          <t>SHELVES</t>
        </is>
      </c>
      <c r="D777" t="inlineStr">
        <is>
          <t>QP624 .D634 1993</t>
        </is>
      </c>
      <c r="E777" t="inlineStr">
        <is>
          <t>0                      QP 0624000D  634         1993</t>
        </is>
      </c>
      <c r="F777" t="inlineStr">
        <is>
          <t>DNA sequencing protocols / edited by Hugh G. Griffin and Annette M. Griffin.</t>
        </is>
      </c>
      <c r="H777" t="inlineStr">
        <is>
          <t>No</t>
        </is>
      </c>
      <c r="I777" t="inlineStr">
        <is>
          <t>1</t>
        </is>
      </c>
      <c r="J777" t="inlineStr">
        <is>
          <t>No</t>
        </is>
      </c>
      <c r="K777" t="inlineStr">
        <is>
          <t>No</t>
        </is>
      </c>
      <c r="L777" t="inlineStr">
        <is>
          <t>0</t>
        </is>
      </c>
      <c r="N777" t="inlineStr">
        <is>
          <t>Totowa, N.J. : Humana Press, c1993.</t>
        </is>
      </c>
      <c r="O777" t="inlineStr">
        <is>
          <t>1993</t>
        </is>
      </c>
      <c r="Q777" t="inlineStr">
        <is>
          <t>eng</t>
        </is>
      </c>
      <c r="R777" t="inlineStr">
        <is>
          <t>nju</t>
        </is>
      </c>
      <c r="S777" t="inlineStr">
        <is>
          <t>Methods in molecular biology ; 23</t>
        </is>
      </c>
      <c r="T777" t="inlineStr">
        <is>
          <t xml:space="preserve">QP </t>
        </is>
      </c>
      <c r="U777" t="n">
        <v>8</v>
      </c>
      <c r="V777" t="n">
        <v>8</v>
      </c>
      <c r="W777" t="inlineStr">
        <is>
          <t>2007-11-11</t>
        </is>
      </c>
      <c r="X777" t="inlineStr">
        <is>
          <t>2007-11-11</t>
        </is>
      </c>
      <c r="Y777" t="inlineStr">
        <is>
          <t>1994-05-26</t>
        </is>
      </c>
      <c r="Z777" t="inlineStr">
        <is>
          <t>1994-05-26</t>
        </is>
      </c>
      <c r="AA777" t="n">
        <v>238</v>
      </c>
      <c r="AB777" t="n">
        <v>152</v>
      </c>
      <c r="AC777" t="n">
        <v>215</v>
      </c>
      <c r="AD777" t="n">
        <v>2</v>
      </c>
      <c r="AE777" t="n">
        <v>5</v>
      </c>
      <c r="AF777" t="n">
        <v>4</v>
      </c>
      <c r="AG777" t="n">
        <v>9</v>
      </c>
      <c r="AH777" t="n">
        <v>1</v>
      </c>
      <c r="AI777" t="n">
        <v>2</v>
      </c>
      <c r="AJ777" t="n">
        <v>1</v>
      </c>
      <c r="AK777" t="n">
        <v>2</v>
      </c>
      <c r="AL777" t="n">
        <v>2</v>
      </c>
      <c r="AM777" t="n">
        <v>3</v>
      </c>
      <c r="AN777" t="n">
        <v>1</v>
      </c>
      <c r="AO777" t="n">
        <v>4</v>
      </c>
      <c r="AP777" t="n">
        <v>0</v>
      </c>
      <c r="AQ777" t="n">
        <v>0</v>
      </c>
      <c r="AR777" t="inlineStr">
        <is>
          <t>No</t>
        </is>
      </c>
      <c r="AS777" t="inlineStr">
        <is>
          <t>No</t>
        </is>
      </c>
      <c r="AU777">
        <f>HYPERLINK("https://creighton-primo.hosted.exlibrisgroup.com/primo-explore/search?tab=default_tab&amp;search_scope=EVERYTHING&amp;vid=01CRU&amp;lang=en_US&amp;offset=0&amp;query=any,contains,991002196209702656","Catalog Record")</f>
        <v/>
      </c>
      <c r="AV777">
        <f>HYPERLINK("http://www.worldcat.org/oclc/28224280","WorldCat Record")</f>
        <v/>
      </c>
      <c r="AW777" t="inlineStr">
        <is>
          <t>693248367:eng</t>
        </is>
      </c>
      <c r="AX777" t="inlineStr">
        <is>
          <t>28224280</t>
        </is>
      </c>
      <c r="AY777" t="inlineStr">
        <is>
          <t>991002196209702656</t>
        </is>
      </c>
      <c r="AZ777" t="inlineStr">
        <is>
          <t>991002196209702656</t>
        </is>
      </c>
      <c r="BA777" t="inlineStr">
        <is>
          <t>2260779240002656</t>
        </is>
      </c>
      <c r="BB777" t="inlineStr">
        <is>
          <t>BOOK</t>
        </is>
      </c>
      <c r="BD777" t="inlineStr">
        <is>
          <t>9780896032484</t>
        </is>
      </c>
      <c r="BE777" t="inlineStr">
        <is>
          <t>32285001899607</t>
        </is>
      </c>
      <c r="BF777" t="inlineStr">
        <is>
          <t>893504113</t>
        </is>
      </c>
    </row>
    <row r="778">
      <c r="B778" t="inlineStr">
        <is>
          <t>CURAL</t>
        </is>
      </c>
      <c r="C778" t="inlineStr">
        <is>
          <t>SHELVES</t>
        </is>
      </c>
      <c r="D778" t="inlineStr">
        <is>
          <t>QP624 .F6913 1993</t>
        </is>
      </c>
      <c r="E778" t="inlineStr">
        <is>
          <t>0                      QP 0624000F  6913        1993</t>
        </is>
      </c>
      <c r="F778" t="inlineStr">
        <is>
          <t>Unraveling DNA / Maxim D. Frank-Kamenetskii ; translated by Lev Liapin.</t>
        </is>
      </c>
      <c r="H778" t="inlineStr">
        <is>
          <t>No</t>
        </is>
      </c>
      <c r="I778" t="inlineStr">
        <is>
          <t>1</t>
        </is>
      </c>
      <c r="J778" t="inlineStr">
        <is>
          <t>No</t>
        </is>
      </c>
      <c r="K778" t="inlineStr">
        <is>
          <t>No</t>
        </is>
      </c>
      <c r="L778" t="inlineStr">
        <is>
          <t>0</t>
        </is>
      </c>
      <c r="M778" t="inlineStr">
        <is>
          <t>Frank-Kamenet͡skiĭ, M. D.</t>
        </is>
      </c>
      <c r="N778" t="inlineStr">
        <is>
          <t>New York : VCH Publishers, c1993.</t>
        </is>
      </c>
      <c r="O778" t="inlineStr">
        <is>
          <t>1993</t>
        </is>
      </c>
      <c r="Q778" t="inlineStr">
        <is>
          <t>eng</t>
        </is>
      </c>
      <c r="R778" t="inlineStr">
        <is>
          <t>nyu</t>
        </is>
      </c>
      <c r="T778" t="inlineStr">
        <is>
          <t xml:space="preserve">QP </t>
        </is>
      </c>
      <c r="U778" t="n">
        <v>10</v>
      </c>
      <c r="V778" t="n">
        <v>10</v>
      </c>
      <c r="W778" t="inlineStr">
        <is>
          <t>1996-09-08</t>
        </is>
      </c>
      <c r="X778" t="inlineStr">
        <is>
          <t>1996-09-08</t>
        </is>
      </c>
      <c r="Y778" t="inlineStr">
        <is>
          <t>1994-02-03</t>
        </is>
      </c>
      <c r="Z778" t="inlineStr">
        <is>
          <t>1994-02-03</t>
        </is>
      </c>
      <c r="AA778" t="n">
        <v>325</v>
      </c>
      <c r="AB778" t="n">
        <v>252</v>
      </c>
      <c r="AC778" t="n">
        <v>252</v>
      </c>
      <c r="AD778" t="n">
        <v>2</v>
      </c>
      <c r="AE778" t="n">
        <v>2</v>
      </c>
      <c r="AF778" t="n">
        <v>9</v>
      </c>
      <c r="AG778" t="n">
        <v>9</v>
      </c>
      <c r="AH778" t="n">
        <v>2</v>
      </c>
      <c r="AI778" t="n">
        <v>2</v>
      </c>
      <c r="AJ778" t="n">
        <v>0</v>
      </c>
      <c r="AK778" t="n">
        <v>0</v>
      </c>
      <c r="AL778" t="n">
        <v>8</v>
      </c>
      <c r="AM778" t="n">
        <v>8</v>
      </c>
      <c r="AN778" t="n">
        <v>1</v>
      </c>
      <c r="AO778" t="n">
        <v>1</v>
      </c>
      <c r="AP778" t="n">
        <v>0</v>
      </c>
      <c r="AQ778" t="n">
        <v>0</v>
      </c>
      <c r="AR778" t="inlineStr">
        <is>
          <t>No</t>
        </is>
      </c>
      <c r="AS778" t="inlineStr">
        <is>
          <t>No</t>
        </is>
      </c>
      <c r="AU778">
        <f>HYPERLINK("https://creighton-primo.hosted.exlibrisgroup.com/primo-explore/search?tab=default_tab&amp;search_scope=EVERYTHING&amp;vid=01CRU&amp;lang=en_US&amp;offset=0&amp;query=any,contains,991002177469702656","Catalog Record")</f>
        <v/>
      </c>
      <c r="AV778">
        <f>HYPERLINK("http://www.worldcat.org/oclc/28026607","WorldCat Record")</f>
        <v/>
      </c>
      <c r="AW778" t="inlineStr">
        <is>
          <t>9592840947:eng</t>
        </is>
      </c>
      <c r="AX778" t="inlineStr">
        <is>
          <t>28026607</t>
        </is>
      </c>
      <c r="AY778" t="inlineStr">
        <is>
          <t>991002177469702656</t>
        </is>
      </c>
      <c r="AZ778" t="inlineStr">
        <is>
          <t>991002177469702656</t>
        </is>
      </c>
      <c r="BA778" t="inlineStr">
        <is>
          <t>2262933810002656</t>
        </is>
      </c>
      <c r="BB778" t="inlineStr">
        <is>
          <t>BOOK</t>
        </is>
      </c>
      <c r="BD778" t="inlineStr">
        <is>
          <t>9781560816171</t>
        </is>
      </c>
      <c r="BE778" t="inlineStr">
        <is>
          <t>32285001834927</t>
        </is>
      </c>
      <c r="BF778" t="inlineStr">
        <is>
          <t>893609549</t>
        </is>
      </c>
    </row>
    <row r="779">
      <c r="B779" t="inlineStr">
        <is>
          <t>CURAL</t>
        </is>
      </c>
      <c r="C779" t="inlineStr">
        <is>
          <t>SHELVES</t>
        </is>
      </c>
      <c r="D779" t="inlineStr">
        <is>
          <t>QP624 .K668 1992</t>
        </is>
      </c>
      <c r="E779" t="inlineStr">
        <is>
          <t>0                      QP 0624000K  668         1992</t>
        </is>
      </c>
      <c r="F779" t="inlineStr">
        <is>
          <t>DNA replication.</t>
        </is>
      </c>
      <c r="H779" t="inlineStr">
        <is>
          <t>No</t>
        </is>
      </c>
      <c r="I779" t="inlineStr">
        <is>
          <t>1</t>
        </is>
      </c>
      <c r="J779" t="inlineStr">
        <is>
          <t>No</t>
        </is>
      </c>
      <c r="K779" t="inlineStr">
        <is>
          <t>Yes</t>
        </is>
      </c>
      <c r="L779" t="inlineStr">
        <is>
          <t>0</t>
        </is>
      </c>
      <c r="M779" t="inlineStr">
        <is>
          <t>Kornberg, Arthur, 1918-2007.</t>
        </is>
      </c>
      <c r="N779" t="inlineStr">
        <is>
          <t>New York : W.H. Freeman, 1992.</t>
        </is>
      </c>
      <c r="O779" t="inlineStr">
        <is>
          <t>1992</t>
        </is>
      </c>
      <c r="P779" t="inlineStr">
        <is>
          <t>2nd ed. / by Arthur Kornberg and Tania A. Baker.</t>
        </is>
      </c>
      <c r="Q779" t="inlineStr">
        <is>
          <t>eng</t>
        </is>
      </c>
      <c r="R779" t="inlineStr">
        <is>
          <t>nyu</t>
        </is>
      </c>
      <c r="T779" t="inlineStr">
        <is>
          <t xml:space="preserve">QP </t>
        </is>
      </c>
      <c r="U779" t="n">
        <v>13</v>
      </c>
      <c r="V779" t="n">
        <v>13</v>
      </c>
      <c r="W779" t="inlineStr">
        <is>
          <t>1998-11-10</t>
        </is>
      </c>
      <c r="X779" t="inlineStr">
        <is>
          <t>1998-11-10</t>
        </is>
      </c>
      <c r="Y779" t="inlineStr">
        <is>
          <t>1992-01-21</t>
        </is>
      </c>
      <c r="Z779" t="inlineStr">
        <is>
          <t>1992-01-21</t>
        </is>
      </c>
      <c r="AA779" t="n">
        <v>624</v>
      </c>
      <c r="AB779" t="n">
        <v>447</v>
      </c>
      <c r="AC779" t="n">
        <v>1022</v>
      </c>
      <c r="AD779" t="n">
        <v>3</v>
      </c>
      <c r="AE779" t="n">
        <v>10</v>
      </c>
      <c r="AF779" t="n">
        <v>18</v>
      </c>
      <c r="AG779" t="n">
        <v>45</v>
      </c>
      <c r="AH779" t="n">
        <v>8</v>
      </c>
      <c r="AI779" t="n">
        <v>19</v>
      </c>
      <c r="AJ779" t="n">
        <v>5</v>
      </c>
      <c r="AK779" t="n">
        <v>7</v>
      </c>
      <c r="AL779" t="n">
        <v>8</v>
      </c>
      <c r="AM779" t="n">
        <v>21</v>
      </c>
      <c r="AN779" t="n">
        <v>2</v>
      </c>
      <c r="AO779" t="n">
        <v>8</v>
      </c>
      <c r="AP779" t="n">
        <v>0</v>
      </c>
      <c r="AQ779" t="n">
        <v>0</v>
      </c>
      <c r="AR779" t="inlineStr">
        <is>
          <t>No</t>
        </is>
      </c>
      <c r="AS779" t="inlineStr">
        <is>
          <t>No</t>
        </is>
      </c>
      <c r="AU779">
        <f>HYPERLINK("https://creighton-primo.hosted.exlibrisgroup.com/primo-explore/search?tab=default_tab&amp;search_scope=EVERYTHING&amp;vid=01CRU&amp;lang=en_US&amp;offset=0&amp;query=any,contains,991001821629702656","Catalog Record")</f>
        <v/>
      </c>
      <c r="AV779">
        <f>HYPERLINK("http://www.worldcat.org/oclc/22891832","WorldCat Record")</f>
        <v/>
      </c>
      <c r="AW779" t="inlineStr">
        <is>
          <t>115608898:eng</t>
        </is>
      </c>
      <c r="AX779" t="inlineStr">
        <is>
          <t>22891832</t>
        </is>
      </c>
      <c r="AY779" t="inlineStr">
        <is>
          <t>991001821629702656</t>
        </is>
      </c>
      <c r="AZ779" t="inlineStr">
        <is>
          <t>991001821629702656</t>
        </is>
      </c>
      <c r="BA779" t="inlineStr">
        <is>
          <t>2270052910002656</t>
        </is>
      </c>
      <c r="BB779" t="inlineStr">
        <is>
          <t>BOOK</t>
        </is>
      </c>
      <c r="BD779" t="inlineStr">
        <is>
          <t>9780716720034</t>
        </is>
      </c>
      <c r="BE779" t="inlineStr">
        <is>
          <t>32285000865344</t>
        </is>
      </c>
      <c r="BF779" t="inlineStr">
        <is>
          <t>893340730</t>
        </is>
      </c>
    </row>
    <row r="780">
      <c r="B780" t="inlineStr">
        <is>
          <t>CURAL</t>
        </is>
      </c>
      <c r="C780" t="inlineStr">
        <is>
          <t>SHELVES</t>
        </is>
      </c>
      <c r="D780" t="inlineStr">
        <is>
          <t>QP624 .K67</t>
        </is>
      </c>
      <c r="E780" t="inlineStr">
        <is>
          <t>0                      QP 0624000K  67</t>
        </is>
      </c>
      <c r="F780" t="inlineStr">
        <is>
          <t>DNA synthesis.</t>
        </is>
      </c>
      <c r="H780" t="inlineStr">
        <is>
          <t>No</t>
        </is>
      </c>
      <c r="I780" t="inlineStr">
        <is>
          <t>1</t>
        </is>
      </c>
      <c r="J780" t="inlineStr">
        <is>
          <t>No</t>
        </is>
      </c>
      <c r="K780" t="inlineStr">
        <is>
          <t>No</t>
        </is>
      </c>
      <c r="L780" t="inlineStr">
        <is>
          <t>0</t>
        </is>
      </c>
      <c r="M780" t="inlineStr">
        <is>
          <t>Kornberg, Arthur, 1918-2007.</t>
        </is>
      </c>
      <c r="N780" t="inlineStr">
        <is>
          <t>San Francisco : W. H. Freeman, [1974]</t>
        </is>
      </c>
      <c r="O780" t="inlineStr">
        <is>
          <t>1974</t>
        </is>
      </c>
      <c r="Q780" t="inlineStr">
        <is>
          <t>eng</t>
        </is>
      </c>
      <c r="R780" t="inlineStr">
        <is>
          <t>cau</t>
        </is>
      </c>
      <c r="T780" t="inlineStr">
        <is>
          <t xml:space="preserve">QP </t>
        </is>
      </c>
      <c r="U780" t="n">
        <v>7</v>
      </c>
      <c r="V780" t="n">
        <v>7</v>
      </c>
      <c r="W780" t="inlineStr">
        <is>
          <t>1996-10-01</t>
        </is>
      </c>
      <c r="X780" t="inlineStr">
        <is>
          <t>1996-10-01</t>
        </is>
      </c>
      <c r="Y780" t="inlineStr">
        <is>
          <t>1990-05-30</t>
        </is>
      </c>
      <c r="Z780" t="inlineStr">
        <is>
          <t>1990-05-30</t>
        </is>
      </c>
      <c r="AA780" t="n">
        <v>856</v>
      </c>
      <c r="AB780" t="n">
        <v>670</v>
      </c>
      <c r="AC780" t="n">
        <v>675</v>
      </c>
      <c r="AD780" t="n">
        <v>5</v>
      </c>
      <c r="AE780" t="n">
        <v>5</v>
      </c>
      <c r="AF780" t="n">
        <v>27</v>
      </c>
      <c r="AG780" t="n">
        <v>27</v>
      </c>
      <c r="AH780" t="n">
        <v>11</v>
      </c>
      <c r="AI780" t="n">
        <v>11</v>
      </c>
      <c r="AJ780" t="n">
        <v>6</v>
      </c>
      <c r="AK780" t="n">
        <v>6</v>
      </c>
      <c r="AL780" t="n">
        <v>12</v>
      </c>
      <c r="AM780" t="n">
        <v>12</v>
      </c>
      <c r="AN780" t="n">
        <v>4</v>
      </c>
      <c r="AO780" t="n">
        <v>4</v>
      </c>
      <c r="AP780" t="n">
        <v>0</v>
      </c>
      <c r="AQ780" t="n">
        <v>0</v>
      </c>
      <c r="AR780" t="inlineStr">
        <is>
          <t>No</t>
        </is>
      </c>
      <c r="AS780" t="inlineStr">
        <is>
          <t>No</t>
        </is>
      </c>
      <c r="AU780">
        <f>HYPERLINK("https://creighton-primo.hosted.exlibrisgroup.com/primo-explore/search?tab=default_tab&amp;search_scope=EVERYTHING&amp;vid=01CRU&amp;lang=en_US&amp;offset=0&amp;query=any,contains,991005257769702656","Catalog Record")</f>
        <v/>
      </c>
      <c r="AV780">
        <f>HYPERLINK("http://www.worldcat.org/oclc/828346","WorldCat Record")</f>
        <v/>
      </c>
      <c r="AW780" t="inlineStr">
        <is>
          <t>1728790:eng</t>
        </is>
      </c>
      <c r="AX780" t="inlineStr">
        <is>
          <t>828346</t>
        </is>
      </c>
      <c r="AY780" t="inlineStr">
        <is>
          <t>991005257769702656</t>
        </is>
      </c>
      <c r="AZ780" t="inlineStr">
        <is>
          <t>991005257769702656</t>
        </is>
      </c>
      <c r="BA780" t="inlineStr">
        <is>
          <t>2269297070002656</t>
        </is>
      </c>
      <c r="BB780" t="inlineStr">
        <is>
          <t>BOOK</t>
        </is>
      </c>
      <c r="BD780" t="inlineStr">
        <is>
          <t>9780716705864</t>
        </is>
      </c>
      <c r="BE780" t="inlineStr">
        <is>
          <t>32285000159870</t>
        </is>
      </c>
      <c r="BF780" t="inlineStr">
        <is>
          <t>893446683</t>
        </is>
      </c>
    </row>
    <row r="781">
      <c r="B781" t="inlineStr">
        <is>
          <t>CURAL</t>
        </is>
      </c>
      <c r="C781" t="inlineStr">
        <is>
          <t>SHELVES</t>
        </is>
      </c>
      <c r="D781" t="inlineStr">
        <is>
          <t>QP624 .L34 1998</t>
        </is>
      </c>
      <c r="E781" t="inlineStr">
        <is>
          <t>0                      QP 0624000L  34          1998</t>
        </is>
      </c>
      <c r="F781" t="inlineStr">
        <is>
          <t>DNA pioneers and their legacy / Ulf Lagerkvist.</t>
        </is>
      </c>
      <c r="H781" t="inlineStr">
        <is>
          <t>No</t>
        </is>
      </c>
      <c r="I781" t="inlineStr">
        <is>
          <t>1</t>
        </is>
      </c>
      <c r="J781" t="inlineStr">
        <is>
          <t>No</t>
        </is>
      </c>
      <c r="K781" t="inlineStr">
        <is>
          <t>No</t>
        </is>
      </c>
      <c r="L781" t="inlineStr">
        <is>
          <t>0</t>
        </is>
      </c>
      <c r="M781" t="inlineStr">
        <is>
          <t>Lagerkvist, Ulf.</t>
        </is>
      </c>
      <c r="N781" t="inlineStr">
        <is>
          <t>New Haven, CT : Yale University Press, c1998.</t>
        </is>
      </c>
      <c r="O781" t="inlineStr">
        <is>
          <t>1998</t>
        </is>
      </c>
      <c r="Q781" t="inlineStr">
        <is>
          <t>eng</t>
        </is>
      </c>
      <c r="R781" t="inlineStr">
        <is>
          <t>ctu</t>
        </is>
      </c>
      <c r="T781" t="inlineStr">
        <is>
          <t xml:space="preserve">QP </t>
        </is>
      </c>
      <c r="U781" t="n">
        <v>3</v>
      </c>
      <c r="V781" t="n">
        <v>3</v>
      </c>
      <c r="W781" t="inlineStr">
        <is>
          <t>2006-02-21</t>
        </is>
      </c>
      <c r="X781" t="inlineStr">
        <is>
          <t>2006-02-21</t>
        </is>
      </c>
      <c r="Y781" t="inlineStr">
        <is>
          <t>1998-09-16</t>
        </is>
      </c>
      <c r="Z781" t="inlineStr">
        <is>
          <t>1998-09-16</t>
        </is>
      </c>
      <c r="AA781" t="n">
        <v>705</v>
      </c>
      <c r="AB781" t="n">
        <v>625</v>
      </c>
      <c r="AC781" t="n">
        <v>626</v>
      </c>
      <c r="AD781" t="n">
        <v>7</v>
      </c>
      <c r="AE781" t="n">
        <v>7</v>
      </c>
      <c r="AF781" t="n">
        <v>22</v>
      </c>
      <c r="AG781" t="n">
        <v>22</v>
      </c>
      <c r="AH781" t="n">
        <v>6</v>
      </c>
      <c r="AI781" t="n">
        <v>6</v>
      </c>
      <c r="AJ781" t="n">
        <v>4</v>
      </c>
      <c r="AK781" t="n">
        <v>4</v>
      </c>
      <c r="AL781" t="n">
        <v>13</v>
      </c>
      <c r="AM781" t="n">
        <v>13</v>
      </c>
      <c r="AN781" t="n">
        <v>5</v>
      </c>
      <c r="AO781" t="n">
        <v>5</v>
      </c>
      <c r="AP781" t="n">
        <v>0</v>
      </c>
      <c r="AQ781" t="n">
        <v>0</v>
      </c>
      <c r="AR781" t="inlineStr">
        <is>
          <t>No</t>
        </is>
      </c>
      <c r="AS781" t="inlineStr">
        <is>
          <t>No</t>
        </is>
      </c>
      <c r="AU781">
        <f>HYPERLINK("https://creighton-primo.hosted.exlibrisgroup.com/primo-explore/search?tab=default_tab&amp;search_scope=EVERYTHING&amp;vid=01CRU&amp;lang=en_US&amp;offset=0&amp;query=any,contains,991002852579702656","Catalog Record")</f>
        <v/>
      </c>
      <c r="AV781">
        <f>HYPERLINK("http://www.worldcat.org/oclc/37588483","WorldCat Record")</f>
        <v/>
      </c>
      <c r="AW781" t="inlineStr">
        <is>
          <t>606073:eng</t>
        </is>
      </c>
      <c r="AX781" t="inlineStr">
        <is>
          <t>37588483</t>
        </is>
      </c>
      <c r="AY781" t="inlineStr">
        <is>
          <t>991002852579702656</t>
        </is>
      </c>
      <c r="AZ781" t="inlineStr">
        <is>
          <t>991002852579702656</t>
        </is>
      </c>
      <c r="BA781" t="inlineStr">
        <is>
          <t>2254891010002656</t>
        </is>
      </c>
      <c r="BB781" t="inlineStr">
        <is>
          <t>BOOK</t>
        </is>
      </c>
      <c r="BD781" t="inlineStr">
        <is>
          <t>9780300071849</t>
        </is>
      </c>
      <c r="BE781" t="inlineStr">
        <is>
          <t>32285003468963</t>
        </is>
      </c>
      <c r="BF781" t="inlineStr">
        <is>
          <t>893774110</t>
        </is>
      </c>
    </row>
    <row r="782">
      <c r="B782" t="inlineStr">
        <is>
          <t>CURAL</t>
        </is>
      </c>
      <c r="C782" t="inlineStr">
        <is>
          <t>SHELVES</t>
        </is>
      </c>
      <c r="D782" t="inlineStr">
        <is>
          <t>QP624 .M49 1991</t>
        </is>
      </c>
      <c r="E782" t="inlineStr">
        <is>
          <t>0                      QP 0624000M  49          1991</t>
        </is>
      </c>
      <c r="F782" t="inlineStr">
        <is>
          <t>Methods in nucleic acids research / editors, Jim D. Karam, Lee Chao, Gregory W. Warr.</t>
        </is>
      </c>
      <c r="H782" t="inlineStr">
        <is>
          <t>No</t>
        </is>
      </c>
      <c r="I782" t="inlineStr">
        <is>
          <t>1</t>
        </is>
      </c>
      <c r="J782" t="inlineStr">
        <is>
          <t>No</t>
        </is>
      </c>
      <c r="K782" t="inlineStr">
        <is>
          <t>No</t>
        </is>
      </c>
      <c r="L782" t="inlineStr">
        <is>
          <t>0</t>
        </is>
      </c>
      <c r="N782" t="inlineStr">
        <is>
          <t>Boca Raton : CRC Press, c1991.</t>
        </is>
      </c>
      <c r="O782" t="inlineStr">
        <is>
          <t>1991</t>
        </is>
      </c>
      <c r="Q782" t="inlineStr">
        <is>
          <t>eng</t>
        </is>
      </c>
      <c r="R782" t="inlineStr">
        <is>
          <t>flu</t>
        </is>
      </c>
      <c r="T782" t="inlineStr">
        <is>
          <t xml:space="preserve">QP </t>
        </is>
      </c>
      <c r="U782" t="n">
        <v>1</v>
      </c>
      <c r="V782" t="n">
        <v>1</v>
      </c>
      <c r="W782" t="inlineStr">
        <is>
          <t>1995-07-07</t>
        </is>
      </c>
      <c r="X782" t="inlineStr">
        <is>
          <t>1995-07-07</t>
        </is>
      </c>
      <c r="Y782" t="inlineStr">
        <is>
          <t>1991-05-30</t>
        </is>
      </c>
      <c r="Z782" t="inlineStr">
        <is>
          <t>1991-05-30</t>
        </is>
      </c>
      <c r="AA782" t="n">
        <v>156</v>
      </c>
      <c r="AB782" t="n">
        <v>124</v>
      </c>
      <c r="AC782" t="n">
        <v>130</v>
      </c>
      <c r="AD782" t="n">
        <v>2</v>
      </c>
      <c r="AE782" t="n">
        <v>2</v>
      </c>
      <c r="AF782" t="n">
        <v>3</v>
      </c>
      <c r="AG782" t="n">
        <v>3</v>
      </c>
      <c r="AH782" t="n">
        <v>0</v>
      </c>
      <c r="AI782" t="n">
        <v>0</v>
      </c>
      <c r="AJ782" t="n">
        <v>0</v>
      </c>
      <c r="AK782" t="n">
        <v>0</v>
      </c>
      <c r="AL782" t="n">
        <v>2</v>
      </c>
      <c r="AM782" t="n">
        <v>2</v>
      </c>
      <c r="AN782" t="n">
        <v>1</v>
      </c>
      <c r="AO782" t="n">
        <v>1</v>
      </c>
      <c r="AP782" t="n">
        <v>0</v>
      </c>
      <c r="AQ782" t="n">
        <v>0</v>
      </c>
      <c r="AR782" t="inlineStr">
        <is>
          <t>No</t>
        </is>
      </c>
      <c r="AS782" t="inlineStr">
        <is>
          <t>No</t>
        </is>
      </c>
      <c r="AU782">
        <f>HYPERLINK("https://creighton-primo.hosted.exlibrisgroup.com/primo-explore/search?tab=default_tab&amp;search_scope=EVERYTHING&amp;vid=01CRU&amp;lang=en_US&amp;offset=0&amp;query=any,contains,991001748049702656","Catalog Record")</f>
        <v/>
      </c>
      <c r="AV782">
        <f>HYPERLINK("http://www.worldcat.org/oclc/22119790","WorldCat Record")</f>
        <v/>
      </c>
      <c r="AW782" t="inlineStr">
        <is>
          <t>365501122:eng</t>
        </is>
      </c>
      <c r="AX782" t="inlineStr">
        <is>
          <t>22119790</t>
        </is>
      </c>
      <c r="AY782" t="inlineStr">
        <is>
          <t>991001748049702656</t>
        </is>
      </c>
      <c r="AZ782" t="inlineStr">
        <is>
          <t>991001748049702656</t>
        </is>
      </c>
      <c r="BA782" t="inlineStr">
        <is>
          <t>2261003420002656</t>
        </is>
      </c>
      <c r="BB782" t="inlineStr">
        <is>
          <t>BOOK</t>
        </is>
      </c>
      <c r="BD782" t="inlineStr">
        <is>
          <t>9780849353116</t>
        </is>
      </c>
      <c r="BE782" t="inlineStr">
        <is>
          <t>32285000590330</t>
        </is>
      </c>
      <c r="BF782" t="inlineStr">
        <is>
          <t>893715678</t>
        </is>
      </c>
    </row>
    <row r="783">
      <c r="B783" t="inlineStr">
        <is>
          <t>CURAL</t>
        </is>
      </c>
      <c r="C783" t="inlineStr">
        <is>
          <t>SHELVES</t>
        </is>
      </c>
      <c r="D783" t="inlineStr">
        <is>
          <t>QP624 .N45 1994</t>
        </is>
      </c>
      <c r="E783" t="inlineStr">
        <is>
          <t>0                      QP 0624000N  45          1994</t>
        </is>
      </c>
      <c r="F783" t="inlineStr">
        <is>
          <t>DNA structure and recognition / Stephen Neidle.</t>
        </is>
      </c>
      <c r="H783" t="inlineStr">
        <is>
          <t>No</t>
        </is>
      </c>
      <c r="I783" t="inlineStr">
        <is>
          <t>1</t>
        </is>
      </c>
      <c r="J783" t="inlineStr">
        <is>
          <t>No</t>
        </is>
      </c>
      <c r="K783" t="inlineStr">
        <is>
          <t>No</t>
        </is>
      </c>
      <c r="L783" t="inlineStr">
        <is>
          <t>0</t>
        </is>
      </c>
      <c r="M783" t="inlineStr">
        <is>
          <t>Neidle, Stephen.</t>
        </is>
      </c>
      <c r="N783" t="inlineStr">
        <is>
          <t>Oxford, Eng. ; New York : IRL Press at Oxford University Press, c1994.</t>
        </is>
      </c>
      <c r="O783" t="inlineStr">
        <is>
          <t>1994</t>
        </is>
      </c>
      <c r="P783" t="inlineStr">
        <is>
          <t>1st ed.</t>
        </is>
      </c>
      <c r="Q783" t="inlineStr">
        <is>
          <t>eng</t>
        </is>
      </c>
      <c r="R783" t="inlineStr">
        <is>
          <t>enk</t>
        </is>
      </c>
      <c r="S783" t="inlineStr">
        <is>
          <t>In focus</t>
        </is>
      </c>
      <c r="T783" t="inlineStr">
        <is>
          <t xml:space="preserve">QP </t>
        </is>
      </c>
      <c r="U783" t="n">
        <v>10</v>
      </c>
      <c r="V783" t="n">
        <v>10</v>
      </c>
      <c r="W783" t="inlineStr">
        <is>
          <t>1996-10-01</t>
        </is>
      </c>
      <c r="X783" t="inlineStr">
        <is>
          <t>1996-10-01</t>
        </is>
      </c>
      <c r="Y783" t="inlineStr">
        <is>
          <t>1994-11-17</t>
        </is>
      </c>
      <c r="Z783" t="inlineStr">
        <is>
          <t>1994-11-17</t>
        </is>
      </c>
      <c r="AA783" t="n">
        <v>290</v>
      </c>
      <c r="AB783" t="n">
        <v>192</v>
      </c>
      <c r="AC783" t="n">
        <v>193</v>
      </c>
      <c r="AD783" t="n">
        <v>1</v>
      </c>
      <c r="AE783" t="n">
        <v>1</v>
      </c>
      <c r="AF783" t="n">
        <v>12</v>
      </c>
      <c r="AG783" t="n">
        <v>12</v>
      </c>
      <c r="AH783" t="n">
        <v>2</v>
      </c>
      <c r="AI783" t="n">
        <v>2</v>
      </c>
      <c r="AJ783" t="n">
        <v>6</v>
      </c>
      <c r="AK783" t="n">
        <v>6</v>
      </c>
      <c r="AL783" t="n">
        <v>7</v>
      </c>
      <c r="AM783" t="n">
        <v>7</v>
      </c>
      <c r="AN783" t="n">
        <v>0</v>
      </c>
      <c r="AO783" t="n">
        <v>0</v>
      </c>
      <c r="AP783" t="n">
        <v>0</v>
      </c>
      <c r="AQ783" t="n">
        <v>0</v>
      </c>
      <c r="AR783" t="inlineStr">
        <is>
          <t>No</t>
        </is>
      </c>
      <c r="AS783" t="inlineStr">
        <is>
          <t>Yes</t>
        </is>
      </c>
      <c r="AT783">
        <f>HYPERLINK("http://catalog.hathitrust.org/Record/002882687","HathiTrust Record")</f>
        <v/>
      </c>
      <c r="AU783">
        <f>HYPERLINK("https://creighton-primo.hosted.exlibrisgroup.com/primo-explore/search?tab=default_tab&amp;search_scope=EVERYTHING&amp;vid=01CRU&amp;lang=en_US&amp;offset=0&amp;query=any,contains,991002253349702656","Catalog Record")</f>
        <v/>
      </c>
      <c r="AV783">
        <f>HYPERLINK("http://www.worldcat.org/oclc/29185290","WorldCat Record")</f>
        <v/>
      </c>
      <c r="AW783" t="inlineStr">
        <is>
          <t>31605587:eng</t>
        </is>
      </c>
      <c r="AX783" t="inlineStr">
        <is>
          <t>29185290</t>
        </is>
      </c>
      <c r="AY783" t="inlineStr">
        <is>
          <t>991002253349702656</t>
        </is>
      </c>
      <c r="AZ783" t="inlineStr">
        <is>
          <t>991002253349702656</t>
        </is>
      </c>
      <c r="BA783" t="inlineStr">
        <is>
          <t>2260728220002656</t>
        </is>
      </c>
      <c r="BB783" t="inlineStr">
        <is>
          <t>BOOK</t>
        </is>
      </c>
      <c r="BD783" t="inlineStr">
        <is>
          <t>9780199634194</t>
        </is>
      </c>
      <c r="BE783" t="inlineStr">
        <is>
          <t>32285001958791</t>
        </is>
      </c>
      <c r="BF783" t="inlineStr">
        <is>
          <t>893873288</t>
        </is>
      </c>
    </row>
    <row r="784">
      <c r="B784" t="inlineStr">
        <is>
          <t>CURAL</t>
        </is>
      </c>
      <c r="C784" t="inlineStr">
        <is>
          <t>SHELVES</t>
        </is>
      </c>
      <c r="D784" t="inlineStr">
        <is>
          <t>QP624 .P67</t>
        </is>
      </c>
      <c r="E784" t="inlineStr">
        <is>
          <t>0                      QP 0624000P  67</t>
        </is>
      </c>
      <c r="F784" t="inlineStr">
        <is>
          <t>A century of DNA : a history of the discovery of the structure and function of the genetic substance / Franklin H. Portugal and Jack S. Cohen.</t>
        </is>
      </c>
      <c r="H784" t="inlineStr">
        <is>
          <t>No</t>
        </is>
      </c>
      <c r="I784" t="inlineStr">
        <is>
          <t>1</t>
        </is>
      </c>
      <c r="J784" t="inlineStr">
        <is>
          <t>No</t>
        </is>
      </c>
      <c r="K784" t="inlineStr">
        <is>
          <t>No</t>
        </is>
      </c>
      <c r="L784" t="inlineStr">
        <is>
          <t>0</t>
        </is>
      </c>
      <c r="M784" t="inlineStr">
        <is>
          <t>Portugal, Franklin H.</t>
        </is>
      </c>
      <c r="N784" t="inlineStr">
        <is>
          <t>Cambridge, Mass. : MIT Press, c1977.</t>
        </is>
      </c>
      <c r="O784" t="inlineStr">
        <is>
          <t>1977</t>
        </is>
      </c>
      <c r="Q784" t="inlineStr">
        <is>
          <t>eng</t>
        </is>
      </c>
      <c r="R784" t="inlineStr">
        <is>
          <t>mau</t>
        </is>
      </c>
      <c r="T784" t="inlineStr">
        <is>
          <t xml:space="preserve">QP </t>
        </is>
      </c>
      <c r="U784" t="n">
        <v>21</v>
      </c>
      <c r="V784" t="n">
        <v>21</v>
      </c>
      <c r="W784" t="inlineStr">
        <is>
          <t>1997-04-01</t>
        </is>
      </c>
      <c r="X784" t="inlineStr">
        <is>
          <t>1997-04-01</t>
        </is>
      </c>
      <c r="Y784" t="inlineStr">
        <is>
          <t>1991-12-09</t>
        </is>
      </c>
      <c r="Z784" t="inlineStr">
        <is>
          <t>1991-12-09</t>
        </is>
      </c>
      <c r="AA784" t="n">
        <v>1191</v>
      </c>
      <c r="AB784" t="n">
        <v>1006</v>
      </c>
      <c r="AC784" t="n">
        <v>1015</v>
      </c>
      <c r="AD784" t="n">
        <v>5</v>
      </c>
      <c r="AE784" t="n">
        <v>5</v>
      </c>
      <c r="AF784" t="n">
        <v>27</v>
      </c>
      <c r="AG784" t="n">
        <v>27</v>
      </c>
      <c r="AH784" t="n">
        <v>10</v>
      </c>
      <c r="AI784" t="n">
        <v>10</v>
      </c>
      <c r="AJ784" t="n">
        <v>8</v>
      </c>
      <c r="AK784" t="n">
        <v>8</v>
      </c>
      <c r="AL784" t="n">
        <v>14</v>
      </c>
      <c r="AM784" t="n">
        <v>14</v>
      </c>
      <c r="AN784" t="n">
        <v>3</v>
      </c>
      <c r="AO784" t="n">
        <v>3</v>
      </c>
      <c r="AP784" t="n">
        <v>0</v>
      </c>
      <c r="AQ784" t="n">
        <v>0</v>
      </c>
      <c r="AR784" t="inlineStr">
        <is>
          <t>No</t>
        </is>
      </c>
      <c r="AS784" t="inlineStr">
        <is>
          <t>No</t>
        </is>
      </c>
      <c r="AU784">
        <f>HYPERLINK("https://creighton-primo.hosted.exlibrisgroup.com/primo-explore/search?tab=default_tab&amp;search_scope=EVERYTHING&amp;vid=01CRU&amp;lang=en_US&amp;offset=0&amp;query=any,contains,991004296279702656","Catalog Record")</f>
        <v/>
      </c>
      <c r="AV784">
        <f>HYPERLINK("http://www.worldcat.org/oclc/2964854","WorldCat Record")</f>
        <v/>
      </c>
      <c r="AW784" t="inlineStr">
        <is>
          <t>6589394:eng</t>
        </is>
      </c>
      <c r="AX784" t="inlineStr">
        <is>
          <t>2964854</t>
        </is>
      </c>
      <c r="AY784" t="inlineStr">
        <is>
          <t>991004296279702656</t>
        </is>
      </c>
      <c r="AZ784" t="inlineStr">
        <is>
          <t>991004296279702656</t>
        </is>
      </c>
      <c r="BA784" t="inlineStr">
        <is>
          <t>2272478350002656</t>
        </is>
      </c>
      <c r="BB784" t="inlineStr">
        <is>
          <t>BOOK</t>
        </is>
      </c>
      <c r="BD784" t="inlineStr">
        <is>
          <t>9780262160674</t>
        </is>
      </c>
      <c r="BE784" t="inlineStr">
        <is>
          <t>32285000885953</t>
        </is>
      </c>
      <c r="BF784" t="inlineStr">
        <is>
          <t>893869551</t>
        </is>
      </c>
    </row>
    <row r="785">
      <c r="B785" t="inlineStr">
        <is>
          <t>CURAL</t>
        </is>
      </c>
      <c r="C785" t="inlineStr">
        <is>
          <t>SHELVES</t>
        </is>
      </c>
      <c r="D785" t="inlineStr">
        <is>
          <t>QP624 .P76 1984</t>
        </is>
      </c>
      <c r="E785" t="inlineStr">
        <is>
          <t>0                      QP 0624000P  76          1984</t>
        </is>
      </c>
      <c r="F785" t="inlineStr">
        <is>
          <t>Proteins involved in DNA replication / edited by Ulrich Hübscher and Silvio Spadari.</t>
        </is>
      </c>
      <c r="H785" t="inlineStr">
        <is>
          <t>No</t>
        </is>
      </c>
      <c r="I785" t="inlineStr">
        <is>
          <t>1</t>
        </is>
      </c>
      <c r="J785" t="inlineStr">
        <is>
          <t>No</t>
        </is>
      </c>
      <c r="K785" t="inlineStr">
        <is>
          <t>No</t>
        </is>
      </c>
      <c r="L785" t="inlineStr">
        <is>
          <t>0</t>
        </is>
      </c>
      <c r="N785" t="inlineStr">
        <is>
          <t>New York : Plenum Press, c1984.</t>
        </is>
      </c>
      <c r="O785" t="inlineStr">
        <is>
          <t>1984</t>
        </is>
      </c>
      <c r="Q785" t="inlineStr">
        <is>
          <t>eng</t>
        </is>
      </c>
      <c r="R785" t="inlineStr">
        <is>
          <t>nyu</t>
        </is>
      </c>
      <c r="S785" t="inlineStr">
        <is>
          <t>Advances in experimental medicine and biology ; v. 179</t>
        </is>
      </c>
      <c r="T785" t="inlineStr">
        <is>
          <t xml:space="preserve">QP </t>
        </is>
      </c>
      <c r="U785" t="n">
        <v>3</v>
      </c>
      <c r="V785" t="n">
        <v>3</v>
      </c>
      <c r="W785" t="inlineStr">
        <is>
          <t>1996-09-24</t>
        </is>
      </c>
      <c r="X785" t="inlineStr">
        <is>
          <t>1996-09-24</t>
        </is>
      </c>
      <c r="Y785" t="inlineStr">
        <is>
          <t>1993-03-04</t>
        </is>
      </c>
      <c r="Z785" t="inlineStr">
        <is>
          <t>1993-03-04</t>
        </is>
      </c>
      <c r="AA785" t="n">
        <v>287</v>
      </c>
      <c r="AB785" t="n">
        <v>224</v>
      </c>
      <c r="AC785" t="n">
        <v>246</v>
      </c>
      <c r="AD785" t="n">
        <v>2</v>
      </c>
      <c r="AE785" t="n">
        <v>2</v>
      </c>
      <c r="AF785" t="n">
        <v>8</v>
      </c>
      <c r="AG785" t="n">
        <v>9</v>
      </c>
      <c r="AH785" t="n">
        <v>1</v>
      </c>
      <c r="AI785" t="n">
        <v>2</v>
      </c>
      <c r="AJ785" t="n">
        <v>5</v>
      </c>
      <c r="AK785" t="n">
        <v>5</v>
      </c>
      <c r="AL785" t="n">
        <v>4</v>
      </c>
      <c r="AM785" t="n">
        <v>5</v>
      </c>
      <c r="AN785" t="n">
        <v>1</v>
      </c>
      <c r="AO785" t="n">
        <v>1</v>
      </c>
      <c r="AP785" t="n">
        <v>0</v>
      </c>
      <c r="AQ785" t="n">
        <v>0</v>
      </c>
      <c r="AR785" t="inlineStr">
        <is>
          <t>No</t>
        </is>
      </c>
      <c r="AS785" t="inlineStr">
        <is>
          <t>Yes</t>
        </is>
      </c>
      <c r="AT785">
        <f>HYPERLINK("http://catalog.hathitrust.org/Record/000329338","HathiTrust Record")</f>
        <v/>
      </c>
      <c r="AU785">
        <f>HYPERLINK("https://creighton-primo.hosted.exlibrisgroup.com/primo-explore/search?tab=default_tab&amp;search_scope=EVERYTHING&amp;vid=01CRU&amp;lang=en_US&amp;offset=0&amp;query=any,contains,991000465469702656","Catalog Record")</f>
        <v/>
      </c>
      <c r="AV785">
        <f>HYPERLINK("http://www.worldcat.org/oclc/10951314","WorldCat Record")</f>
        <v/>
      </c>
      <c r="AW785" t="inlineStr">
        <is>
          <t>355671439:eng</t>
        </is>
      </c>
      <c r="AX785" t="inlineStr">
        <is>
          <t>10951314</t>
        </is>
      </c>
      <c r="AY785" t="inlineStr">
        <is>
          <t>991000465469702656</t>
        </is>
      </c>
      <c r="AZ785" t="inlineStr">
        <is>
          <t>991000465469702656</t>
        </is>
      </c>
      <c r="BA785" t="inlineStr">
        <is>
          <t>2258477370002656</t>
        </is>
      </c>
      <c r="BB785" t="inlineStr">
        <is>
          <t>BOOK</t>
        </is>
      </c>
      <c r="BD785" t="inlineStr">
        <is>
          <t>9780306418044</t>
        </is>
      </c>
      <c r="BE785" t="inlineStr">
        <is>
          <t>32285001563559</t>
        </is>
      </c>
      <c r="BF785" t="inlineStr">
        <is>
          <t>893796665</t>
        </is>
      </c>
    </row>
    <row r="786">
      <c r="B786" t="inlineStr">
        <is>
          <t>CURAL</t>
        </is>
      </c>
      <c r="C786" t="inlineStr">
        <is>
          <t>SHELVES</t>
        </is>
      </c>
      <c r="D786" t="inlineStr">
        <is>
          <t>QP624 .S27 1988</t>
        </is>
      </c>
      <c r="E786" t="inlineStr">
        <is>
          <t>0                      QP 0624000S  27          1988</t>
        </is>
      </c>
      <c r="F786" t="inlineStr">
        <is>
          <t>DNA double helix &amp; the chemistry of cancer / R.H. Sarma &amp; M.H. Sarma.</t>
        </is>
      </c>
      <c r="H786" t="inlineStr">
        <is>
          <t>No</t>
        </is>
      </c>
      <c r="I786" t="inlineStr">
        <is>
          <t>1</t>
        </is>
      </c>
      <c r="J786" t="inlineStr">
        <is>
          <t>No</t>
        </is>
      </c>
      <c r="K786" t="inlineStr">
        <is>
          <t>No</t>
        </is>
      </c>
      <c r="L786" t="inlineStr">
        <is>
          <t>0</t>
        </is>
      </c>
      <c r="M786" t="inlineStr">
        <is>
          <t>Sarma, Ramaswamy H., 1939-</t>
        </is>
      </c>
      <c r="N786" t="inlineStr">
        <is>
          <t>Schenectady, N.Y. : Adenine Press, c1988.</t>
        </is>
      </c>
      <c r="O786" t="inlineStr">
        <is>
          <t>1988</t>
        </is>
      </c>
      <c r="Q786" t="inlineStr">
        <is>
          <t>eng</t>
        </is>
      </c>
      <c r="R786" t="inlineStr">
        <is>
          <t>nyu</t>
        </is>
      </c>
      <c r="T786" t="inlineStr">
        <is>
          <t xml:space="preserve">QP </t>
        </is>
      </c>
      <c r="U786" t="n">
        <v>13</v>
      </c>
      <c r="V786" t="n">
        <v>13</v>
      </c>
      <c r="W786" t="inlineStr">
        <is>
          <t>2009-09-25</t>
        </is>
      </c>
      <c r="X786" t="inlineStr">
        <is>
          <t>2009-09-25</t>
        </is>
      </c>
      <c r="Y786" t="inlineStr">
        <is>
          <t>1990-07-03</t>
        </is>
      </c>
      <c r="Z786" t="inlineStr">
        <is>
          <t>1990-07-03</t>
        </is>
      </c>
      <c r="AA786" t="n">
        <v>120</v>
      </c>
      <c r="AB786" t="n">
        <v>101</v>
      </c>
      <c r="AC786" t="n">
        <v>104</v>
      </c>
      <c r="AD786" t="n">
        <v>1</v>
      </c>
      <c r="AE786" t="n">
        <v>1</v>
      </c>
      <c r="AF786" t="n">
        <v>0</v>
      </c>
      <c r="AG786" t="n">
        <v>0</v>
      </c>
      <c r="AH786" t="n">
        <v>0</v>
      </c>
      <c r="AI786" t="n">
        <v>0</v>
      </c>
      <c r="AJ786" t="n">
        <v>0</v>
      </c>
      <c r="AK786" t="n">
        <v>0</v>
      </c>
      <c r="AL786" t="n">
        <v>0</v>
      </c>
      <c r="AM786" t="n">
        <v>0</v>
      </c>
      <c r="AN786" t="n">
        <v>0</v>
      </c>
      <c r="AO786" t="n">
        <v>0</v>
      </c>
      <c r="AP786" t="n">
        <v>0</v>
      </c>
      <c r="AQ786" t="n">
        <v>0</v>
      </c>
      <c r="AR786" t="inlineStr">
        <is>
          <t>No</t>
        </is>
      </c>
      <c r="AS786" t="inlineStr">
        <is>
          <t>Yes</t>
        </is>
      </c>
      <c r="AT786">
        <f>HYPERLINK("http://catalog.hathitrust.org/Record/001946365","HathiTrust Record")</f>
        <v/>
      </c>
      <c r="AU786">
        <f>HYPERLINK("https://creighton-primo.hosted.exlibrisgroup.com/primo-explore/search?tab=default_tab&amp;search_scope=EVERYTHING&amp;vid=01CRU&amp;lang=en_US&amp;offset=0&amp;query=any,contains,991001338929702656","Catalog Record")</f>
        <v/>
      </c>
      <c r="AV786">
        <f>HYPERLINK("http://www.worldcat.org/oclc/18379353","WorldCat Record")</f>
        <v/>
      </c>
      <c r="AW786" t="inlineStr">
        <is>
          <t>17741367:eng</t>
        </is>
      </c>
      <c r="AX786" t="inlineStr">
        <is>
          <t>18379353</t>
        </is>
      </c>
      <c r="AY786" t="inlineStr">
        <is>
          <t>991001338929702656</t>
        </is>
      </c>
      <c r="AZ786" t="inlineStr">
        <is>
          <t>991001338929702656</t>
        </is>
      </c>
      <c r="BA786" t="inlineStr">
        <is>
          <t>2269690610002656</t>
        </is>
      </c>
      <c r="BB786" t="inlineStr">
        <is>
          <t>BOOK</t>
        </is>
      </c>
      <c r="BD786" t="inlineStr">
        <is>
          <t>9780940030268</t>
        </is>
      </c>
      <c r="BE786" t="inlineStr">
        <is>
          <t>32285000220912</t>
        </is>
      </c>
      <c r="BF786" t="inlineStr">
        <is>
          <t>893340356</t>
        </is>
      </c>
    </row>
    <row r="787">
      <c r="B787" t="inlineStr">
        <is>
          <t>CURAL</t>
        </is>
      </c>
      <c r="C787" t="inlineStr">
        <is>
          <t>SHELVES</t>
        </is>
      </c>
      <c r="D787" t="inlineStr">
        <is>
          <t>QP624 .S56 1994</t>
        </is>
      </c>
      <c r="E787" t="inlineStr">
        <is>
          <t>0                      QP 0624000S  56          1994</t>
        </is>
      </c>
      <c r="F787" t="inlineStr">
        <is>
          <t>DNA structure and function / Richard R. Sinden.</t>
        </is>
      </c>
      <c r="H787" t="inlineStr">
        <is>
          <t>No</t>
        </is>
      </c>
      <c r="I787" t="inlineStr">
        <is>
          <t>1</t>
        </is>
      </c>
      <c r="J787" t="inlineStr">
        <is>
          <t>No</t>
        </is>
      </c>
      <c r="K787" t="inlineStr">
        <is>
          <t>No</t>
        </is>
      </c>
      <c r="L787" t="inlineStr">
        <is>
          <t>0</t>
        </is>
      </c>
      <c r="M787" t="inlineStr">
        <is>
          <t>Sinden, Richard R.</t>
        </is>
      </c>
      <c r="N787" t="inlineStr">
        <is>
          <t>San Diego : Academic Press, c1994.</t>
        </is>
      </c>
      <c r="O787" t="inlineStr">
        <is>
          <t>1994</t>
        </is>
      </c>
      <c r="Q787" t="inlineStr">
        <is>
          <t>eng</t>
        </is>
      </c>
      <c r="R787" t="inlineStr">
        <is>
          <t>cau</t>
        </is>
      </c>
      <c r="T787" t="inlineStr">
        <is>
          <t xml:space="preserve">QP </t>
        </is>
      </c>
      <c r="U787" t="n">
        <v>3</v>
      </c>
      <c r="V787" t="n">
        <v>3</v>
      </c>
      <c r="W787" t="inlineStr">
        <is>
          <t>2008-12-02</t>
        </is>
      </c>
      <c r="X787" t="inlineStr">
        <is>
          <t>2008-12-02</t>
        </is>
      </c>
      <c r="Y787" t="inlineStr">
        <is>
          <t>2000-07-20</t>
        </is>
      </c>
      <c r="Z787" t="inlineStr">
        <is>
          <t>2000-07-20</t>
        </is>
      </c>
      <c r="AA787" t="n">
        <v>630</v>
      </c>
      <c r="AB787" t="n">
        <v>491</v>
      </c>
      <c r="AC787" t="n">
        <v>530</v>
      </c>
      <c r="AD787" t="n">
        <v>4</v>
      </c>
      <c r="AE787" t="n">
        <v>6</v>
      </c>
      <c r="AF787" t="n">
        <v>20</v>
      </c>
      <c r="AG787" t="n">
        <v>24</v>
      </c>
      <c r="AH787" t="n">
        <v>8</v>
      </c>
      <c r="AI787" t="n">
        <v>10</v>
      </c>
      <c r="AJ787" t="n">
        <v>3</v>
      </c>
      <c r="AK787" t="n">
        <v>4</v>
      </c>
      <c r="AL787" t="n">
        <v>9</v>
      </c>
      <c r="AM787" t="n">
        <v>9</v>
      </c>
      <c r="AN787" t="n">
        <v>3</v>
      </c>
      <c r="AO787" t="n">
        <v>5</v>
      </c>
      <c r="AP787" t="n">
        <v>0</v>
      </c>
      <c r="AQ787" t="n">
        <v>0</v>
      </c>
      <c r="AR787" t="inlineStr">
        <is>
          <t>No</t>
        </is>
      </c>
      <c r="AS787" t="inlineStr">
        <is>
          <t>No</t>
        </is>
      </c>
      <c r="AU787">
        <f>HYPERLINK("https://creighton-primo.hosted.exlibrisgroup.com/primo-explore/search?tab=default_tab&amp;search_scope=EVERYTHING&amp;vid=01CRU&amp;lang=en_US&amp;offset=0&amp;query=any,contains,991003209279702656","Catalog Record")</f>
        <v/>
      </c>
      <c r="AV787">
        <f>HYPERLINK("http://www.worldcat.org/oclc/30109829","WorldCat Record")</f>
        <v/>
      </c>
      <c r="AW787" t="inlineStr">
        <is>
          <t>31871295:eng</t>
        </is>
      </c>
      <c r="AX787" t="inlineStr">
        <is>
          <t>30109829</t>
        </is>
      </c>
      <c r="AY787" t="inlineStr">
        <is>
          <t>991003209279702656</t>
        </is>
      </c>
      <c r="AZ787" t="inlineStr">
        <is>
          <t>991003209279702656</t>
        </is>
      </c>
      <c r="BA787" t="inlineStr">
        <is>
          <t>2263661990002656</t>
        </is>
      </c>
      <c r="BB787" t="inlineStr">
        <is>
          <t>BOOK</t>
        </is>
      </c>
      <c r="BD787" t="inlineStr">
        <is>
          <t>9780126457506</t>
        </is>
      </c>
      <c r="BE787" t="inlineStr">
        <is>
          <t>32285003712592</t>
        </is>
      </c>
      <c r="BF787" t="inlineStr">
        <is>
          <t>893627494</t>
        </is>
      </c>
    </row>
    <row r="788">
      <c r="B788" t="inlineStr">
        <is>
          <t>CURAL</t>
        </is>
      </c>
      <c r="C788" t="inlineStr">
        <is>
          <t>SHELVES</t>
        </is>
      </c>
      <c r="D788" t="inlineStr">
        <is>
          <t>QP624 .S69 1996</t>
        </is>
      </c>
      <c r="E788" t="inlineStr">
        <is>
          <t>0                      QP 0624000S  69          1996</t>
        </is>
      </c>
      <c r="F788" t="inlineStr">
        <is>
          <t>Triple-helical nucleic acids / Valery N. Soyfer, Vladimir N. Potaman.</t>
        </is>
      </c>
      <c r="H788" t="inlineStr">
        <is>
          <t>No</t>
        </is>
      </c>
      <c r="I788" t="inlineStr">
        <is>
          <t>1</t>
        </is>
      </c>
      <c r="J788" t="inlineStr">
        <is>
          <t>No</t>
        </is>
      </c>
      <c r="K788" t="inlineStr">
        <is>
          <t>No</t>
        </is>
      </c>
      <c r="L788" t="inlineStr">
        <is>
          <t>0</t>
        </is>
      </c>
      <c r="M788" t="inlineStr">
        <is>
          <t>Soĭfer, Valeriĭ.</t>
        </is>
      </c>
      <c r="N788" t="inlineStr">
        <is>
          <t>New York : Spinger, c1996.</t>
        </is>
      </c>
      <c r="O788" t="inlineStr">
        <is>
          <t>1996</t>
        </is>
      </c>
      <c r="Q788" t="inlineStr">
        <is>
          <t>eng</t>
        </is>
      </c>
      <c r="R788" t="inlineStr">
        <is>
          <t>nyu</t>
        </is>
      </c>
      <c r="T788" t="inlineStr">
        <is>
          <t xml:space="preserve">QP </t>
        </is>
      </c>
      <c r="U788" t="n">
        <v>3</v>
      </c>
      <c r="V788" t="n">
        <v>3</v>
      </c>
      <c r="W788" t="inlineStr">
        <is>
          <t>2003-09-02</t>
        </is>
      </c>
      <c r="X788" t="inlineStr">
        <is>
          <t>2003-09-02</t>
        </is>
      </c>
      <c r="Y788" t="inlineStr">
        <is>
          <t>1996-12-05</t>
        </is>
      </c>
      <c r="Z788" t="inlineStr">
        <is>
          <t>1996-12-05</t>
        </is>
      </c>
      <c r="AA788" t="n">
        <v>216</v>
      </c>
      <c r="AB788" t="n">
        <v>168</v>
      </c>
      <c r="AC788" t="n">
        <v>187</v>
      </c>
      <c r="AD788" t="n">
        <v>2</v>
      </c>
      <c r="AE788" t="n">
        <v>2</v>
      </c>
      <c r="AF788" t="n">
        <v>7</v>
      </c>
      <c r="AG788" t="n">
        <v>8</v>
      </c>
      <c r="AH788" t="n">
        <v>0</v>
      </c>
      <c r="AI788" t="n">
        <v>1</v>
      </c>
      <c r="AJ788" t="n">
        <v>3</v>
      </c>
      <c r="AK788" t="n">
        <v>3</v>
      </c>
      <c r="AL788" t="n">
        <v>4</v>
      </c>
      <c r="AM788" t="n">
        <v>5</v>
      </c>
      <c r="AN788" t="n">
        <v>1</v>
      </c>
      <c r="AO788" t="n">
        <v>1</v>
      </c>
      <c r="AP788" t="n">
        <v>0</v>
      </c>
      <c r="AQ788" t="n">
        <v>0</v>
      </c>
      <c r="AR788" t="inlineStr">
        <is>
          <t>No</t>
        </is>
      </c>
      <c r="AS788" t="inlineStr">
        <is>
          <t>No</t>
        </is>
      </c>
      <c r="AU788">
        <f>HYPERLINK("https://creighton-primo.hosted.exlibrisgroup.com/primo-explore/search?tab=default_tab&amp;search_scope=EVERYTHING&amp;vid=01CRU&amp;lang=en_US&amp;offset=0&amp;query=any,contains,991002478689702656","Catalog Record")</f>
        <v/>
      </c>
      <c r="AV788">
        <f>HYPERLINK("http://www.worldcat.org/oclc/32273525","WorldCat Record")</f>
        <v/>
      </c>
      <c r="AW788" t="inlineStr">
        <is>
          <t>34233437:eng</t>
        </is>
      </c>
      <c r="AX788" t="inlineStr">
        <is>
          <t>32273525</t>
        </is>
      </c>
      <c r="AY788" t="inlineStr">
        <is>
          <t>991002478689702656</t>
        </is>
      </c>
      <c r="AZ788" t="inlineStr">
        <is>
          <t>991002478689702656</t>
        </is>
      </c>
      <c r="BA788" t="inlineStr">
        <is>
          <t>2258418290002656</t>
        </is>
      </c>
      <c r="BB788" t="inlineStr">
        <is>
          <t>BOOK</t>
        </is>
      </c>
      <c r="BD788" t="inlineStr">
        <is>
          <t>9780387944951</t>
        </is>
      </c>
      <c r="BE788" t="inlineStr">
        <is>
          <t>32285002388360</t>
        </is>
      </c>
      <c r="BF788" t="inlineStr">
        <is>
          <t>893873574</t>
        </is>
      </c>
    </row>
    <row r="789">
      <c r="B789" t="inlineStr">
        <is>
          <t>CURAL</t>
        </is>
      </c>
      <c r="C789" t="inlineStr">
        <is>
          <t>SHELVES</t>
        </is>
      </c>
      <c r="D789" t="inlineStr">
        <is>
          <t>QP624 .T39 1984</t>
        </is>
      </c>
      <c r="E789" t="inlineStr">
        <is>
          <t>0                      QP 0624000T  39          1984</t>
        </is>
      </c>
      <c r="F789" t="inlineStr">
        <is>
          <t>DNA methylation and cellular differentiation / J. Herbert Taylor.</t>
        </is>
      </c>
      <c r="H789" t="inlineStr">
        <is>
          <t>No</t>
        </is>
      </c>
      <c r="I789" t="inlineStr">
        <is>
          <t>1</t>
        </is>
      </c>
      <c r="J789" t="inlineStr">
        <is>
          <t>No</t>
        </is>
      </c>
      <c r="K789" t="inlineStr">
        <is>
          <t>No</t>
        </is>
      </c>
      <c r="L789" t="inlineStr">
        <is>
          <t>0</t>
        </is>
      </c>
      <c r="M789" t="inlineStr">
        <is>
          <t>Taylor, J. Herbert (James Herbert), 1916-</t>
        </is>
      </c>
      <c r="N789" t="inlineStr">
        <is>
          <t>Wien ; New York : Springer-Verlag, 1984.</t>
        </is>
      </c>
      <c r="O789" t="inlineStr">
        <is>
          <t>1984</t>
        </is>
      </c>
      <c r="Q789" t="inlineStr">
        <is>
          <t>eng</t>
        </is>
      </c>
      <c r="R789" t="inlineStr">
        <is>
          <t xml:space="preserve">au </t>
        </is>
      </c>
      <c r="S789" t="inlineStr">
        <is>
          <t>Cell biology monographs, 0172-4665 ; v. 11</t>
        </is>
      </c>
      <c r="T789" t="inlineStr">
        <is>
          <t xml:space="preserve">QP </t>
        </is>
      </c>
      <c r="U789" t="n">
        <v>2</v>
      </c>
      <c r="V789" t="n">
        <v>2</v>
      </c>
      <c r="W789" t="inlineStr">
        <is>
          <t>1998-10-11</t>
        </is>
      </c>
      <c r="X789" t="inlineStr">
        <is>
          <t>1998-10-11</t>
        </is>
      </c>
      <c r="Y789" t="inlineStr">
        <is>
          <t>1992-03-23</t>
        </is>
      </c>
      <c r="Z789" t="inlineStr">
        <is>
          <t>1992-03-23</t>
        </is>
      </c>
      <c r="AA789" t="n">
        <v>299</v>
      </c>
      <c r="AB789" t="n">
        <v>187</v>
      </c>
      <c r="AC789" t="n">
        <v>206</v>
      </c>
      <c r="AD789" t="n">
        <v>2</v>
      </c>
      <c r="AE789" t="n">
        <v>2</v>
      </c>
      <c r="AF789" t="n">
        <v>9</v>
      </c>
      <c r="AG789" t="n">
        <v>9</v>
      </c>
      <c r="AH789" t="n">
        <v>1</v>
      </c>
      <c r="AI789" t="n">
        <v>1</v>
      </c>
      <c r="AJ789" t="n">
        <v>3</v>
      </c>
      <c r="AK789" t="n">
        <v>3</v>
      </c>
      <c r="AL789" t="n">
        <v>7</v>
      </c>
      <c r="AM789" t="n">
        <v>7</v>
      </c>
      <c r="AN789" t="n">
        <v>1</v>
      </c>
      <c r="AO789" t="n">
        <v>1</v>
      </c>
      <c r="AP789" t="n">
        <v>0</v>
      </c>
      <c r="AQ789" t="n">
        <v>0</v>
      </c>
      <c r="AR789" t="inlineStr">
        <is>
          <t>No</t>
        </is>
      </c>
      <c r="AS789" t="inlineStr">
        <is>
          <t>Yes</t>
        </is>
      </c>
      <c r="AT789">
        <f>HYPERLINK("http://catalog.hathitrust.org/Record/000244604","HathiTrust Record")</f>
        <v/>
      </c>
      <c r="AU789">
        <f>HYPERLINK("https://creighton-primo.hosted.exlibrisgroup.com/primo-explore/search?tab=default_tab&amp;search_scope=EVERYTHING&amp;vid=01CRU&amp;lang=en_US&amp;offset=0&amp;query=any,contains,991000319859702656","Catalog Record")</f>
        <v/>
      </c>
      <c r="AV789">
        <f>HYPERLINK("http://www.worldcat.org/oclc/10146024","WorldCat Record")</f>
        <v/>
      </c>
      <c r="AW789" t="inlineStr">
        <is>
          <t>2851429:eng</t>
        </is>
      </c>
      <c r="AX789" t="inlineStr">
        <is>
          <t>10146024</t>
        </is>
      </c>
      <c r="AY789" t="inlineStr">
        <is>
          <t>991000319859702656</t>
        </is>
      </c>
      <c r="AZ789" t="inlineStr">
        <is>
          <t>991000319859702656</t>
        </is>
      </c>
      <c r="BA789" t="inlineStr">
        <is>
          <t>2255731250002656</t>
        </is>
      </c>
      <c r="BB789" t="inlineStr">
        <is>
          <t>BOOK</t>
        </is>
      </c>
      <c r="BD789" t="inlineStr">
        <is>
          <t>9780387817613</t>
        </is>
      </c>
      <c r="BE789" t="inlineStr">
        <is>
          <t>32285001026722</t>
        </is>
      </c>
      <c r="BF789" t="inlineStr">
        <is>
          <t>893796555</t>
        </is>
      </c>
    </row>
    <row r="790">
      <c r="B790" t="inlineStr">
        <is>
          <t>CURAL</t>
        </is>
      </c>
      <c r="C790" t="inlineStr">
        <is>
          <t>SHELVES</t>
        </is>
      </c>
      <c r="D790" t="inlineStr">
        <is>
          <t>QP624.5.C57 V6513 1992</t>
        </is>
      </c>
      <c r="E790" t="inlineStr">
        <is>
          <t>0                      QP 0624500C  57                 V  6513        1992</t>
        </is>
      </c>
      <c r="F790" t="inlineStr">
        <is>
          <t>Topology and physics of circular DNA / Alexander Vologodskii ; translated into English by D. Agratchev.</t>
        </is>
      </c>
      <c r="H790" t="inlineStr">
        <is>
          <t>No</t>
        </is>
      </c>
      <c r="I790" t="inlineStr">
        <is>
          <t>1</t>
        </is>
      </c>
      <c r="J790" t="inlineStr">
        <is>
          <t>No</t>
        </is>
      </c>
      <c r="K790" t="inlineStr">
        <is>
          <t>No</t>
        </is>
      </c>
      <c r="L790" t="inlineStr">
        <is>
          <t>0</t>
        </is>
      </c>
      <c r="M790" t="inlineStr">
        <is>
          <t>Vologodskiĭ, A. V. (Aleksandr Vadimovich)</t>
        </is>
      </c>
      <c r="N790" t="inlineStr">
        <is>
          <t>Boca Raton : CRC Press, c1992.</t>
        </is>
      </c>
      <c r="O790" t="inlineStr">
        <is>
          <t>1992</t>
        </is>
      </c>
      <c r="Q790" t="inlineStr">
        <is>
          <t>eng</t>
        </is>
      </c>
      <c r="R790" t="inlineStr">
        <is>
          <t>flu</t>
        </is>
      </c>
      <c r="T790" t="inlineStr">
        <is>
          <t xml:space="preserve">QP </t>
        </is>
      </c>
      <c r="U790" t="n">
        <v>6</v>
      </c>
      <c r="V790" t="n">
        <v>6</v>
      </c>
      <c r="W790" t="inlineStr">
        <is>
          <t>1995-01-03</t>
        </is>
      </c>
      <c r="X790" t="inlineStr">
        <is>
          <t>1995-01-03</t>
        </is>
      </c>
      <c r="Y790" t="inlineStr">
        <is>
          <t>1993-01-13</t>
        </is>
      </c>
      <c r="Z790" t="inlineStr">
        <is>
          <t>1993-01-13</t>
        </is>
      </c>
      <c r="AA790" t="n">
        <v>103</v>
      </c>
      <c r="AB790" t="n">
        <v>80</v>
      </c>
      <c r="AC790" t="n">
        <v>80</v>
      </c>
      <c r="AD790" t="n">
        <v>1</v>
      </c>
      <c r="AE790" t="n">
        <v>1</v>
      </c>
      <c r="AF790" t="n">
        <v>3</v>
      </c>
      <c r="AG790" t="n">
        <v>3</v>
      </c>
      <c r="AH790" t="n">
        <v>0</v>
      </c>
      <c r="AI790" t="n">
        <v>0</v>
      </c>
      <c r="AJ790" t="n">
        <v>2</v>
      </c>
      <c r="AK790" t="n">
        <v>2</v>
      </c>
      <c r="AL790" t="n">
        <v>2</v>
      </c>
      <c r="AM790" t="n">
        <v>2</v>
      </c>
      <c r="AN790" t="n">
        <v>0</v>
      </c>
      <c r="AO790" t="n">
        <v>0</v>
      </c>
      <c r="AP790" t="n">
        <v>0</v>
      </c>
      <c r="AQ790" t="n">
        <v>0</v>
      </c>
      <c r="AR790" t="inlineStr">
        <is>
          <t>No</t>
        </is>
      </c>
      <c r="AS790" t="inlineStr">
        <is>
          <t>No</t>
        </is>
      </c>
      <c r="AU790">
        <f>HYPERLINK("https://creighton-primo.hosted.exlibrisgroup.com/primo-explore/search?tab=default_tab&amp;search_scope=EVERYTHING&amp;vid=01CRU&amp;lang=en_US&amp;offset=0&amp;query=any,contains,991002005149702656","Catalog Record")</f>
        <v/>
      </c>
      <c r="AV790">
        <f>HYPERLINK("http://www.worldcat.org/oclc/25508164","WorldCat Record")</f>
        <v/>
      </c>
      <c r="AW790" t="inlineStr">
        <is>
          <t>22459339:eng</t>
        </is>
      </c>
      <c r="AX790" t="inlineStr">
        <is>
          <t>25508164</t>
        </is>
      </c>
      <c r="AY790" t="inlineStr">
        <is>
          <t>991002005149702656</t>
        </is>
      </c>
      <c r="AZ790" t="inlineStr">
        <is>
          <t>991002005149702656</t>
        </is>
      </c>
      <c r="BA790" t="inlineStr">
        <is>
          <t>2272560830002656</t>
        </is>
      </c>
      <c r="BB790" t="inlineStr">
        <is>
          <t>BOOK</t>
        </is>
      </c>
      <c r="BD790" t="inlineStr">
        <is>
          <t>9780849342288</t>
        </is>
      </c>
      <c r="BE790" t="inlineStr">
        <is>
          <t>32285001445187</t>
        </is>
      </c>
      <c r="BF790" t="inlineStr">
        <is>
          <t>893433382</t>
        </is>
      </c>
    </row>
    <row r="791">
      <c r="B791" t="inlineStr">
        <is>
          <t>CURAL</t>
        </is>
      </c>
      <c r="C791" t="inlineStr">
        <is>
          <t>SHELVES</t>
        </is>
      </c>
      <c r="D791" t="inlineStr">
        <is>
          <t>QP624.5.D73 G4 1989</t>
        </is>
      </c>
      <c r="E791" t="inlineStr">
        <is>
          <t>0                      QP 0624500D  73                 G  4           1989</t>
        </is>
      </c>
      <c r="F791" t="inlineStr">
        <is>
          <t>Gene probes / edited by P. Michael Conn.</t>
        </is>
      </c>
      <c r="H791" t="inlineStr">
        <is>
          <t>No</t>
        </is>
      </c>
      <c r="I791" t="inlineStr">
        <is>
          <t>1</t>
        </is>
      </c>
      <c r="J791" t="inlineStr">
        <is>
          <t>No</t>
        </is>
      </c>
      <c r="K791" t="inlineStr">
        <is>
          <t>No</t>
        </is>
      </c>
      <c r="L791" t="inlineStr">
        <is>
          <t>0</t>
        </is>
      </c>
      <c r="N791" t="inlineStr">
        <is>
          <t>San Diego, [Calif.] : Academic Press, c1989.</t>
        </is>
      </c>
      <c r="O791" t="inlineStr">
        <is>
          <t>1989</t>
        </is>
      </c>
      <c r="Q791" t="inlineStr">
        <is>
          <t>eng</t>
        </is>
      </c>
      <c r="R791" t="inlineStr">
        <is>
          <t>cau</t>
        </is>
      </c>
      <c r="S791" t="inlineStr">
        <is>
          <t>Methods in neurosciences ; v. 1</t>
        </is>
      </c>
      <c r="T791" t="inlineStr">
        <is>
          <t xml:space="preserve">QP </t>
        </is>
      </c>
      <c r="U791" t="n">
        <v>1</v>
      </c>
      <c r="V791" t="n">
        <v>1</v>
      </c>
      <c r="W791" t="inlineStr">
        <is>
          <t>2007-11-11</t>
        </is>
      </c>
      <c r="X791" t="inlineStr">
        <is>
          <t>2007-11-11</t>
        </is>
      </c>
      <c r="Y791" t="inlineStr">
        <is>
          <t>1990-06-12</t>
        </is>
      </c>
      <c r="Z791" t="inlineStr">
        <is>
          <t>1990-06-12</t>
        </is>
      </c>
      <c r="AA791" t="n">
        <v>283</v>
      </c>
      <c r="AB791" t="n">
        <v>203</v>
      </c>
      <c r="AC791" t="n">
        <v>229</v>
      </c>
      <c r="AD791" t="n">
        <v>1</v>
      </c>
      <c r="AE791" t="n">
        <v>1</v>
      </c>
      <c r="AF791" t="n">
        <v>6</v>
      </c>
      <c r="AG791" t="n">
        <v>8</v>
      </c>
      <c r="AH791" t="n">
        <v>1</v>
      </c>
      <c r="AI791" t="n">
        <v>2</v>
      </c>
      <c r="AJ791" t="n">
        <v>2</v>
      </c>
      <c r="AK791" t="n">
        <v>3</v>
      </c>
      <c r="AL791" t="n">
        <v>6</v>
      </c>
      <c r="AM791" t="n">
        <v>6</v>
      </c>
      <c r="AN791" t="n">
        <v>0</v>
      </c>
      <c r="AO791" t="n">
        <v>0</v>
      </c>
      <c r="AP791" t="n">
        <v>0</v>
      </c>
      <c r="AQ791" t="n">
        <v>0</v>
      </c>
      <c r="AR791" t="inlineStr">
        <is>
          <t>No</t>
        </is>
      </c>
      <c r="AS791" t="inlineStr">
        <is>
          <t>Yes</t>
        </is>
      </c>
      <c r="AT791">
        <f>HYPERLINK("http://catalog.hathitrust.org/Record/006258763","HathiTrust Record")</f>
        <v/>
      </c>
      <c r="AU791">
        <f>HYPERLINK("https://creighton-primo.hosted.exlibrisgroup.com/primo-explore/search?tab=default_tab&amp;search_scope=EVERYTHING&amp;vid=01CRU&amp;lang=en_US&amp;offset=0&amp;query=any,contains,991001603579702656","Catalog Record")</f>
        <v/>
      </c>
      <c r="AV791">
        <f>HYPERLINK("http://www.worldcat.org/oclc/20681637","WorldCat Record")</f>
        <v/>
      </c>
      <c r="AW791" t="inlineStr">
        <is>
          <t>2908637561:eng</t>
        </is>
      </c>
      <c r="AX791" t="inlineStr">
        <is>
          <t>20681637</t>
        </is>
      </c>
      <c r="AY791" t="inlineStr">
        <is>
          <t>991001603579702656</t>
        </is>
      </c>
      <c r="AZ791" t="inlineStr">
        <is>
          <t>991001603579702656</t>
        </is>
      </c>
      <c r="BA791" t="inlineStr">
        <is>
          <t>2256508950002656</t>
        </is>
      </c>
      <c r="BB791" t="inlineStr">
        <is>
          <t>BOOK</t>
        </is>
      </c>
      <c r="BD791" t="inlineStr">
        <is>
          <t>9780121852528</t>
        </is>
      </c>
      <c r="BE791" t="inlineStr">
        <is>
          <t>32285000175728</t>
        </is>
      </c>
      <c r="BF791" t="inlineStr">
        <is>
          <t>893803701</t>
        </is>
      </c>
    </row>
    <row r="792">
      <c r="B792" t="inlineStr">
        <is>
          <t>CURAL</t>
        </is>
      </c>
      <c r="C792" t="inlineStr">
        <is>
          <t>SHELVES</t>
        </is>
      </c>
      <c r="D792" t="inlineStr">
        <is>
          <t>QP624.5.D73 G46 1995</t>
        </is>
      </c>
      <c r="E792" t="inlineStr">
        <is>
          <t>0                      QP 0624500D  73                 G  46          1995</t>
        </is>
      </c>
      <c r="F792" t="inlineStr">
        <is>
          <t>Gene probes : a practical approach / edited by B.D. Hames and S.J. Higgins.</t>
        </is>
      </c>
      <c r="G792" t="inlineStr">
        <is>
          <t>V.2</t>
        </is>
      </c>
      <c r="H792" t="inlineStr">
        <is>
          <t>Yes</t>
        </is>
      </c>
      <c r="I792" t="inlineStr">
        <is>
          <t>1</t>
        </is>
      </c>
      <c r="J792" t="inlineStr">
        <is>
          <t>No</t>
        </is>
      </c>
      <c r="K792" t="inlineStr">
        <is>
          <t>No</t>
        </is>
      </c>
      <c r="L792" t="inlineStr">
        <is>
          <t>0</t>
        </is>
      </c>
      <c r="N792" t="inlineStr">
        <is>
          <t>Oxford ; New York : IRL Press at Oxford University Press, c1995.</t>
        </is>
      </c>
      <c r="O792" t="inlineStr">
        <is>
          <t>1995</t>
        </is>
      </c>
      <c r="P792" t="inlineStr">
        <is>
          <t>1st ed.</t>
        </is>
      </c>
      <c r="Q792" t="inlineStr">
        <is>
          <t>eng</t>
        </is>
      </c>
      <c r="R792" t="inlineStr">
        <is>
          <t>enk</t>
        </is>
      </c>
      <c r="S792" t="inlineStr">
        <is>
          <t>The practical approach series; 161-162.</t>
        </is>
      </c>
      <c r="T792" t="inlineStr">
        <is>
          <t xml:space="preserve">QP </t>
        </is>
      </c>
      <c r="U792" t="n">
        <v>1</v>
      </c>
      <c r="V792" t="n">
        <v>2</v>
      </c>
      <c r="W792" t="inlineStr">
        <is>
          <t>1997-07-17</t>
        </is>
      </c>
      <c r="X792" t="inlineStr">
        <is>
          <t>1997-07-17</t>
        </is>
      </c>
      <c r="Y792" t="inlineStr">
        <is>
          <t>1996-12-11</t>
        </is>
      </c>
      <c r="Z792" t="inlineStr">
        <is>
          <t>1996-12-11</t>
        </is>
      </c>
      <c r="AA792" t="n">
        <v>185</v>
      </c>
      <c r="AB792" t="n">
        <v>119</v>
      </c>
      <c r="AC792" t="n">
        <v>128</v>
      </c>
      <c r="AD792" t="n">
        <v>1</v>
      </c>
      <c r="AE792" t="n">
        <v>1</v>
      </c>
      <c r="AF792" t="n">
        <v>1</v>
      </c>
      <c r="AG792" t="n">
        <v>1</v>
      </c>
      <c r="AH792" t="n">
        <v>0</v>
      </c>
      <c r="AI792" t="n">
        <v>0</v>
      </c>
      <c r="AJ792" t="n">
        <v>1</v>
      </c>
      <c r="AK792" t="n">
        <v>1</v>
      </c>
      <c r="AL792" t="n">
        <v>1</v>
      </c>
      <c r="AM792" t="n">
        <v>1</v>
      </c>
      <c r="AN792" t="n">
        <v>0</v>
      </c>
      <c r="AO792" t="n">
        <v>0</v>
      </c>
      <c r="AP792" t="n">
        <v>0</v>
      </c>
      <c r="AQ792" t="n">
        <v>0</v>
      </c>
      <c r="AR792" t="inlineStr">
        <is>
          <t>No</t>
        </is>
      </c>
      <c r="AS792" t="inlineStr">
        <is>
          <t>Yes</t>
        </is>
      </c>
      <c r="AT792">
        <f>HYPERLINK("http://catalog.hathitrust.org/Record/003041561","HathiTrust Record")</f>
        <v/>
      </c>
      <c r="AU792">
        <f>HYPERLINK("https://creighton-primo.hosted.exlibrisgroup.com/primo-explore/search?tab=default_tab&amp;search_scope=EVERYTHING&amp;vid=01CRU&amp;lang=en_US&amp;offset=0&amp;query=any,contains,991002494569702656","Catalog Record")</f>
        <v/>
      </c>
      <c r="AV792">
        <f>HYPERLINK("http://www.worldcat.org/oclc/32465284","WorldCat Record")</f>
        <v/>
      </c>
      <c r="AW792" t="inlineStr">
        <is>
          <t>4820391992:eng</t>
        </is>
      </c>
      <c r="AX792" t="inlineStr">
        <is>
          <t>32465284</t>
        </is>
      </c>
      <c r="AY792" t="inlineStr">
        <is>
          <t>991002494569702656</t>
        </is>
      </c>
      <c r="AZ792" t="inlineStr">
        <is>
          <t>991002494569702656</t>
        </is>
      </c>
      <c r="BA792" t="inlineStr">
        <is>
          <t>2268686770002656</t>
        </is>
      </c>
      <c r="BB792" t="inlineStr">
        <is>
          <t>BOOK</t>
        </is>
      </c>
      <c r="BD792" t="inlineStr">
        <is>
          <t>9780199634002</t>
        </is>
      </c>
      <c r="BE792" t="inlineStr">
        <is>
          <t>32285002392206</t>
        </is>
      </c>
      <c r="BF792" t="inlineStr">
        <is>
          <t>893535038</t>
        </is>
      </c>
    </row>
    <row r="793">
      <c r="B793" t="inlineStr">
        <is>
          <t>CURAL</t>
        </is>
      </c>
      <c r="C793" t="inlineStr">
        <is>
          <t>SHELVES</t>
        </is>
      </c>
      <c r="D793" t="inlineStr">
        <is>
          <t>QP624.5.D73 G46 1995</t>
        </is>
      </c>
      <c r="E793" t="inlineStr">
        <is>
          <t>0                      QP 0624500D  73                 G  46          1995</t>
        </is>
      </c>
      <c r="F793" t="inlineStr">
        <is>
          <t>Gene probes : a practical approach / edited by B.D. Hames and S.J. Higgins.</t>
        </is>
      </c>
      <c r="G793" t="inlineStr">
        <is>
          <t>V.1</t>
        </is>
      </c>
      <c r="H793" t="inlineStr">
        <is>
          <t>Yes</t>
        </is>
      </c>
      <c r="I793" t="inlineStr">
        <is>
          <t>1</t>
        </is>
      </c>
      <c r="J793" t="inlineStr">
        <is>
          <t>No</t>
        </is>
      </c>
      <c r="K793" t="inlineStr">
        <is>
          <t>No</t>
        </is>
      </c>
      <c r="L793" t="inlineStr">
        <is>
          <t>0</t>
        </is>
      </c>
      <c r="N793" t="inlineStr">
        <is>
          <t>Oxford ; New York : IRL Press at Oxford University Press, c1995.</t>
        </is>
      </c>
      <c r="O793" t="inlineStr">
        <is>
          <t>1995</t>
        </is>
      </c>
      <c r="P793" t="inlineStr">
        <is>
          <t>1st ed.</t>
        </is>
      </c>
      <c r="Q793" t="inlineStr">
        <is>
          <t>eng</t>
        </is>
      </c>
      <c r="R793" t="inlineStr">
        <is>
          <t>enk</t>
        </is>
      </c>
      <c r="S793" t="inlineStr">
        <is>
          <t>The practical approach series; 161-162.</t>
        </is>
      </c>
      <c r="T793" t="inlineStr">
        <is>
          <t xml:space="preserve">QP </t>
        </is>
      </c>
      <c r="U793" t="n">
        <v>1</v>
      </c>
      <c r="V793" t="n">
        <v>2</v>
      </c>
      <c r="X793" t="inlineStr">
        <is>
          <t>1997-07-17</t>
        </is>
      </c>
      <c r="Y793" t="inlineStr">
        <is>
          <t>1996-12-11</t>
        </is>
      </c>
      <c r="Z793" t="inlineStr">
        <is>
          <t>1996-12-11</t>
        </is>
      </c>
      <c r="AA793" t="n">
        <v>185</v>
      </c>
      <c r="AB793" t="n">
        <v>119</v>
      </c>
      <c r="AC793" t="n">
        <v>128</v>
      </c>
      <c r="AD793" t="n">
        <v>1</v>
      </c>
      <c r="AE793" t="n">
        <v>1</v>
      </c>
      <c r="AF793" t="n">
        <v>1</v>
      </c>
      <c r="AG793" t="n">
        <v>1</v>
      </c>
      <c r="AH793" t="n">
        <v>0</v>
      </c>
      <c r="AI793" t="n">
        <v>0</v>
      </c>
      <c r="AJ793" t="n">
        <v>1</v>
      </c>
      <c r="AK793" t="n">
        <v>1</v>
      </c>
      <c r="AL793" t="n">
        <v>1</v>
      </c>
      <c r="AM793" t="n">
        <v>1</v>
      </c>
      <c r="AN793" t="n">
        <v>0</v>
      </c>
      <c r="AO793" t="n">
        <v>0</v>
      </c>
      <c r="AP793" t="n">
        <v>0</v>
      </c>
      <c r="AQ793" t="n">
        <v>0</v>
      </c>
      <c r="AR793" t="inlineStr">
        <is>
          <t>No</t>
        </is>
      </c>
      <c r="AS793" t="inlineStr">
        <is>
          <t>Yes</t>
        </is>
      </c>
      <c r="AT793">
        <f>HYPERLINK("http://catalog.hathitrust.org/Record/003041561","HathiTrust Record")</f>
        <v/>
      </c>
      <c r="AU793">
        <f>HYPERLINK("https://creighton-primo.hosted.exlibrisgroup.com/primo-explore/search?tab=default_tab&amp;search_scope=EVERYTHING&amp;vid=01CRU&amp;lang=en_US&amp;offset=0&amp;query=any,contains,991002494569702656","Catalog Record")</f>
        <v/>
      </c>
      <c r="AV793">
        <f>HYPERLINK("http://www.worldcat.org/oclc/32465284","WorldCat Record")</f>
        <v/>
      </c>
      <c r="AW793" t="inlineStr">
        <is>
          <t>4820391992:eng</t>
        </is>
      </c>
      <c r="AX793" t="inlineStr">
        <is>
          <t>32465284</t>
        </is>
      </c>
      <c r="AY793" t="inlineStr">
        <is>
          <t>991002494569702656</t>
        </is>
      </c>
      <c r="AZ793" t="inlineStr">
        <is>
          <t>991002494569702656</t>
        </is>
      </c>
      <c r="BA793" t="inlineStr">
        <is>
          <t>2268686770002656</t>
        </is>
      </c>
      <c r="BB793" t="inlineStr">
        <is>
          <t>BOOK</t>
        </is>
      </c>
      <c r="BD793" t="inlineStr">
        <is>
          <t>9780199634002</t>
        </is>
      </c>
      <c r="BE793" t="inlineStr">
        <is>
          <t>32285002392198</t>
        </is>
      </c>
      <c r="BF793" t="inlineStr">
        <is>
          <t>893535039</t>
        </is>
      </c>
    </row>
    <row r="794">
      <c r="B794" t="inlineStr">
        <is>
          <t>CURAL</t>
        </is>
      </c>
      <c r="C794" t="inlineStr">
        <is>
          <t>SHELVES</t>
        </is>
      </c>
      <c r="D794" t="inlineStr">
        <is>
          <t>QP624.5.D73 N66 1992</t>
        </is>
      </c>
      <c r="E794" t="inlineStr">
        <is>
          <t>0                      QP 0624500D  73                 N  66          1992</t>
        </is>
      </c>
      <c r="F794" t="inlineStr">
        <is>
          <t>Nonisotopic DNA probe techniques / edited by Larry J. Kricka.</t>
        </is>
      </c>
      <c r="H794" t="inlineStr">
        <is>
          <t>No</t>
        </is>
      </c>
      <c r="I794" t="inlineStr">
        <is>
          <t>1</t>
        </is>
      </c>
      <c r="J794" t="inlineStr">
        <is>
          <t>No</t>
        </is>
      </c>
      <c r="K794" t="inlineStr">
        <is>
          <t>No</t>
        </is>
      </c>
      <c r="L794" t="inlineStr">
        <is>
          <t>0</t>
        </is>
      </c>
      <c r="N794" t="inlineStr">
        <is>
          <t>San Diego : Academic Press, 1992.</t>
        </is>
      </c>
      <c r="O794" t="inlineStr">
        <is>
          <t>1992</t>
        </is>
      </c>
      <c r="Q794" t="inlineStr">
        <is>
          <t>eng</t>
        </is>
      </c>
      <c r="R794" t="inlineStr">
        <is>
          <t>cau</t>
        </is>
      </c>
      <c r="T794" t="inlineStr">
        <is>
          <t xml:space="preserve">QP </t>
        </is>
      </c>
      <c r="U794" t="n">
        <v>5</v>
      </c>
      <c r="V794" t="n">
        <v>5</v>
      </c>
      <c r="W794" t="inlineStr">
        <is>
          <t>2007-11-11</t>
        </is>
      </c>
      <c r="X794" t="inlineStr">
        <is>
          <t>2007-11-11</t>
        </is>
      </c>
      <c r="Y794" t="inlineStr">
        <is>
          <t>1992-06-01</t>
        </is>
      </c>
      <c r="Z794" t="inlineStr">
        <is>
          <t>1992-06-01</t>
        </is>
      </c>
      <c r="AA794" t="n">
        <v>431</v>
      </c>
      <c r="AB794" t="n">
        <v>291</v>
      </c>
      <c r="AC794" t="n">
        <v>338</v>
      </c>
      <c r="AD794" t="n">
        <v>3</v>
      </c>
      <c r="AE794" t="n">
        <v>4</v>
      </c>
      <c r="AF794" t="n">
        <v>12</v>
      </c>
      <c r="AG794" t="n">
        <v>16</v>
      </c>
      <c r="AH794" t="n">
        <v>2</v>
      </c>
      <c r="AI794" t="n">
        <v>4</v>
      </c>
      <c r="AJ794" t="n">
        <v>3</v>
      </c>
      <c r="AK794" t="n">
        <v>5</v>
      </c>
      <c r="AL794" t="n">
        <v>8</v>
      </c>
      <c r="AM794" t="n">
        <v>8</v>
      </c>
      <c r="AN794" t="n">
        <v>2</v>
      </c>
      <c r="AO794" t="n">
        <v>3</v>
      </c>
      <c r="AP794" t="n">
        <v>0</v>
      </c>
      <c r="AQ794" t="n">
        <v>0</v>
      </c>
      <c r="AR794" t="inlineStr">
        <is>
          <t>No</t>
        </is>
      </c>
      <c r="AS794" t="inlineStr">
        <is>
          <t>Yes</t>
        </is>
      </c>
      <c r="AT794">
        <f>HYPERLINK("http://catalog.hathitrust.org/Record/002543653","HathiTrust Record")</f>
        <v/>
      </c>
      <c r="AU794">
        <f>HYPERLINK("https://creighton-primo.hosted.exlibrisgroup.com/primo-explore/search?tab=default_tab&amp;search_scope=EVERYTHING&amp;vid=01CRU&amp;lang=en_US&amp;offset=0&amp;query=any,contains,991001962339702656","Catalog Record")</f>
        <v/>
      </c>
      <c r="AV794">
        <f>HYPERLINK("http://www.worldcat.org/oclc/24870685","WorldCat Record")</f>
        <v/>
      </c>
      <c r="AW794" t="inlineStr">
        <is>
          <t>26875693:eng</t>
        </is>
      </c>
      <c r="AX794" t="inlineStr">
        <is>
          <t>24870685</t>
        </is>
      </c>
      <c r="AY794" t="inlineStr">
        <is>
          <t>991001962339702656</t>
        </is>
      </c>
      <c r="AZ794" t="inlineStr">
        <is>
          <t>991001962339702656</t>
        </is>
      </c>
      <c r="BA794" t="inlineStr">
        <is>
          <t>2262909740002656</t>
        </is>
      </c>
      <c r="BB794" t="inlineStr">
        <is>
          <t>BOOK</t>
        </is>
      </c>
      <c r="BD794" t="inlineStr">
        <is>
          <t>9780124262959</t>
        </is>
      </c>
      <c r="BE794" t="inlineStr">
        <is>
          <t>32285001125896</t>
        </is>
      </c>
      <c r="BF794" t="inlineStr">
        <is>
          <t>893226274</t>
        </is>
      </c>
    </row>
    <row r="795">
      <c r="B795" t="inlineStr">
        <is>
          <t>CURAL</t>
        </is>
      </c>
      <c r="C795" t="inlineStr">
        <is>
          <t>SHELVES</t>
        </is>
      </c>
      <c r="D795" t="inlineStr">
        <is>
          <t>QP624.75.P74 D576 1995</t>
        </is>
      </c>
      <c r="E795" t="inlineStr">
        <is>
          <t>0                      QP 0624750P  74                 D  576         1995</t>
        </is>
      </c>
      <c r="F795" t="inlineStr">
        <is>
          <t>DNA-protein : structural interactions / edited by David M.J. Lilley.</t>
        </is>
      </c>
      <c r="H795" t="inlineStr">
        <is>
          <t>No</t>
        </is>
      </c>
      <c r="I795" t="inlineStr">
        <is>
          <t>1</t>
        </is>
      </c>
      <c r="J795" t="inlineStr">
        <is>
          <t>Yes</t>
        </is>
      </c>
      <c r="K795" t="inlineStr">
        <is>
          <t>No</t>
        </is>
      </c>
      <c r="L795" t="inlineStr">
        <is>
          <t>0</t>
        </is>
      </c>
      <c r="N795" t="inlineStr">
        <is>
          <t>Oxford ; New York : IRL Press at Oxford University Press, c1995.</t>
        </is>
      </c>
      <c r="O795" t="inlineStr">
        <is>
          <t>1995</t>
        </is>
      </c>
      <c r="Q795" t="inlineStr">
        <is>
          <t>eng</t>
        </is>
      </c>
      <c r="R795" t="inlineStr">
        <is>
          <t>enk</t>
        </is>
      </c>
      <c r="S795" t="inlineStr">
        <is>
          <t>Frontiers in molecular biology ; 7</t>
        </is>
      </c>
      <c r="T795" t="inlineStr">
        <is>
          <t xml:space="preserve">QP </t>
        </is>
      </c>
      <c r="U795" t="n">
        <v>4</v>
      </c>
      <c r="V795" t="n">
        <v>10</v>
      </c>
      <c r="W795" t="inlineStr">
        <is>
          <t>2008-10-08</t>
        </is>
      </c>
      <c r="X795" t="inlineStr">
        <is>
          <t>2008-10-08</t>
        </is>
      </c>
      <c r="Y795" t="inlineStr">
        <is>
          <t>1996-12-11</t>
        </is>
      </c>
      <c r="Z795" t="inlineStr">
        <is>
          <t>1997-04-29</t>
        </is>
      </c>
      <c r="AA795" t="n">
        <v>287</v>
      </c>
      <c r="AB795" t="n">
        <v>179</v>
      </c>
      <c r="AC795" t="n">
        <v>181</v>
      </c>
      <c r="AD795" t="n">
        <v>2</v>
      </c>
      <c r="AE795" t="n">
        <v>2</v>
      </c>
      <c r="AF795" t="n">
        <v>8</v>
      </c>
      <c r="AG795" t="n">
        <v>8</v>
      </c>
      <c r="AH795" t="n">
        <v>2</v>
      </c>
      <c r="AI795" t="n">
        <v>2</v>
      </c>
      <c r="AJ795" t="n">
        <v>3</v>
      </c>
      <c r="AK795" t="n">
        <v>3</v>
      </c>
      <c r="AL795" t="n">
        <v>5</v>
      </c>
      <c r="AM795" t="n">
        <v>5</v>
      </c>
      <c r="AN795" t="n">
        <v>0</v>
      </c>
      <c r="AO795" t="n">
        <v>0</v>
      </c>
      <c r="AP795" t="n">
        <v>0</v>
      </c>
      <c r="AQ795" t="n">
        <v>0</v>
      </c>
      <c r="AR795" t="inlineStr">
        <is>
          <t>No</t>
        </is>
      </c>
      <c r="AS795" t="inlineStr">
        <is>
          <t>Yes</t>
        </is>
      </c>
      <c r="AT795">
        <f>HYPERLINK("http://catalog.hathitrust.org/Record/003007549","HathiTrust Record")</f>
        <v/>
      </c>
      <c r="AU795">
        <f>HYPERLINK("https://creighton-primo.hosted.exlibrisgroup.com/primo-explore/search?tab=default_tab&amp;search_scope=EVERYTHING&amp;vid=01CRU&amp;lang=en_US&amp;offset=0&amp;query=any,contains,991001781619702656","Catalog Record")</f>
        <v/>
      </c>
      <c r="AV795">
        <f>HYPERLINK("http://www.worldcat.org/oclc/31516161","WorldCat Record")</f>
        <v/>
      </c>
      <c r="AW795" t="inlineStr">
        <is>
          <t>806897109:eng</t>
        </is>
      </c>
      <c r="AX795" t="inlineStr">
        <is>
          <t>31516161</t>
        </is>
      </c>
      <c r="AY795" t="inlineStr">
        <is>
          <t>991001781619702656</t>
        </is>
      </c>
      <c r="AZ795" t="inlineStr">
        <is>
          <t>991001781619702656</t>
        </is>
      </c>
      <c r="BA795" t="inlineStr">
        <is>
          <t>2270902670002656</t>
        </is>
      </c>
      <c r="BB795" t="inlineStr">
        <is>
          <t>BOOK</t>
        </is>
      </c>
      <c r="BD795" t="inlineStr">
        <is>
          <t>9780199634538</t>
        </is>
      </c>
      <c r="BE795" t="inlineStr">
        <is>
          <t>32285002392248</t>
        </is>
      </c>
      <c r="BF795" t="inlineStr">
        <is>
          <t>893872799</t>
        </is>
      </c>
    </row>
    <row r="796">
      <c r="B796" t="inlineStr">
        <is>
          <t>CURAL</t>
        </is>
      </c>
      <c r="C796" t="inlineStr">
        <is>
          <t>SHELVES</t>
        </is>
      </c>
      <c r="D796" t="inlineStr">
        <is>
          <t>QP624.75.P74 S84 1993</t>
        </is>
      </c>
      <c r="E796" t="inlineStr">
        <is>
          <t>0                      QP 0624750P  74                 S  84          1993</t>
        </is>
      </c>
      <c r="F796" t="inlineStr">
        <is>
          <t>Structural studies of protein-nucleic acid interaction : the sources of sequence-specific binding / Thomas A. Steitz.</t>
        </is>
      </c>
      <c r="H796" t="inlineStr">
        <is>
          <t>No</t>
        </is>
      </c>
      <c r="I796" t="inlineStr">
        <is>
          <t>1</t>
        </is>
      </c>
      <c r="J796" t="inlineStr">
        <is>
          <t>No</t>
        </is>
      </c>
      <c r="K796" t="inlineStr">
        <is>
          <t>No</t>
        </is>
      </c>
      <c r="L796" t="inlineStr">
        <is>
          <t>0</t>
        </is>
      </c>
      <c r="M796" t="inlineStr">
        <is>
          <t>Steitz, Thomas A.</t>
        </is>
      </c>
      <c r="N796" t="inlineStr">
        <is>
          <t>New York, NY, USA : Cambridge University Press, 1993.</t>
        </is>
      </c>
      <c r="O796" t="inlineStr">
        <is>
          <t>1993</t>
        </is>
      </c>
      <c r="Q796" t="inlineStr">
        <is>
          <t>eng</t>
        </is>
      </c>
      <c r="R796" t="inlineStr">
        <is>
          <t>nyu</t>
        </is>
      </c>
      <c r="T796" t="inlineStr">
        <is>
          <t xml:space="preserve">QP </t>
        </is>
      </c>
      <c r="U796" t="n">
        <v>5</v>
      </c>
      <c r="V796" t="n">
        <v>5</v>
      </c>
      <c r="W796" t="inlineStr">
        <is>
          <t>1999-10-09</t>
        </is>
      </c>
      <c r="X796" t="inlineStr">
        <is>
          <t>1999-10-09</t>
        </is>
      </c>
      <c r="Y796" t="inlineStr">
        <is>
          <t>1995-08-22</t>
        </is>
      </c>
      <c r="Z796" t="inlineStr">
        <is>
          <t>1995-08-22</t>
        </is>
      </c>
      <c r="AA796" t="n">
        <v>192</v>
      </c>
      <c r="AB796" t="n">
        <v>130</v>
      </c>
      <c r="AC796" t="n">
        <v>130</v>
      </c>
      <c r="AD796" t="n">
        <v>1</v>
      </c>
      <c r="AE796" t="n">
        <v>1</v>
      </c>
      <c r="AF796" t="n">
        <v>6</v>
      </c>
      <c r="AG796" t="n">
        <v>6</v>
      </c>
      <c r="AH796" t="n">
        <v>2</v>
      </c>
      <c r="AI796" t="n">
        <v>2</v>
      </c>
      <c r="AJ796" t="n">
        <v>3</v>
      </c>
      <c r="AK796" t="n">
        <v>3</v>
      </c>
      <c r="AL796" t="n">
        <v>5</v>
      </c>
      <c r="AM796" t="n">
        <v>5</v>
      </c>
      <c r="AN796" t="n">
        <v>0</v>
      </c>
      <c r="AO796" t="n">
        <v>0</v>
      </c>
      <c r="AP796" t="n">
        <v>0</v>
      </c>
      <c r="AQ796" t="n">
        <v>0</v>
      </c>
      <c r="AR796" t="inlineStr">
        <is>
          <t>No</t>
        </is>
      </c>
      <c r="AS796" t="inlineStr">
        <is>
          <t>No</t>
        </is>
      </c>
      <c r="AU796">
        <f>HYPERLINK("https://creighton-primo.hosted.exlibrisgroup.com/primo-explore/search?tab=default_tab&amp;search_scope=EVERYTHING&amp;vid=01CRU&amp;lang=en_US&amp;offset=0&amp;query=any,contains,991002122719702656","Catalog Record")</f>
        <v/>
      </c>
      <c r="AV796">
        <f>HYPERLINK("http://www.worldcat.org/oclc/27186968","WorldCat Record")</f>
        <v/>
      </c>
      <c r="AW796" t="inlineStr">
        <is>
          <t>836899251:eng</t>
        </is>
      </c>
      <c r="AX796" t="inlineStr">
        <is>
          <t>27186968</t>
        </is>
      </c>
      <c r="AY796" t="inlineStr">
        <is>
          <t>991002122719702656</t>
        </is>
      </c>
      <c r="AZ796" t="inlineStr">
        <is>
          <t>991002122719702656</t>
        </is>
      </c>
      <c r="BA796" t="inlineStr">
        <is>
          <t>2270352230002656</t>
        </is>
      </c>
      <c r="BB796" t="inlineStr">
        <is>
          <t>BOOK</t>
        </is>
      </c>
      <c r="BD796" t="inlineStr">
        <is>
          <t>9780521414890</t>
        </is>
      </c>
      <c r="BE796" t="inlineStr">
        <is>
          <t>32285002078623</t>
        </is>
      </c>
      <c r="BF796" t="inlineStr">
        <is>
          <t>893873126</t>
        </is>
      </c>
    </row>
    <row r="797">
      <c r="B797" t="inlineStr">
        <is>
          <t>CURAL</t>
        </is>
      </c>
      <c r="C797" t="inlineStr">
        <is>
          <t>SHELVES</t>
        </is>
      </c>
      <c r="D797" t="inlineStr">
        <is>
          <t>QP625.N87 C47 1983, v...</t>
        </is>
      </c>
      <c r="E797" t="inlineStr">
        <is>
          <t>0                      QP 0625000N  87                 C  47          1983                  v...</t>
        </is>
      </c>
      <c r="F797" t="inlineStr">
        <is>
          <t>Chromosomal nonhistone proteins / editor, Lubomir S. Hnilica.</t>
        </is>
      </c>
      <c r="G797" t="inlineStr">
        <is>
          <t>V.1</t>
        </is>
      </c>
      <c r="H797" t="inlineStr">
        <is>
          <t>No</t>
        </is>
      </c>
      <c r="I797" t="inlineStr">
        <is>
          <t>1</t>
        </is>
      </c>
      <c r="J797" t="inlineStr">
        <is>
          <t>No</t>
        </is>
      </c>
      <c r="K797" t="inlineStr">
        <is>
          <t>No</t>
        </is>
      </c>
      <c r="L797" t="inlineStr">
        <is>
          <t>0</t>
        </is>
      </c>
      <c r="N797" t="inlineStr">
        <is>
          <t>Boca Raton, Fla. : CRC Press, c1983-</t>
        </is>
      </c>
      <c r="O797" t="inlineStr">
        <is>
          <t>1983</t>
        </is>
      </c>
      <c r="Q797" t="inlineStr">
        <is>
          <t>eng</t>
        </is>
      </c>
      <c r="R797" t="inlineStr">
        <is>
          <t>flu</t>
        </is>
      </c>
      <c r="S797" t="inlineStr">
        <is>
          <t>CRC series in the biochemistry and molecular biology of the cell nucleus</t>
        </is>
      </c>
      <c r="T797" t="inlineStr">
        <is>
          <t xml:space="preserve">QP </t>
        </is>
      </c>
      <c r="U797" t="n">
        <v>1</v>
      </c>
      <c r="V797" t="n">
        <v>1</v>
      </c>
      <c r="W797" t="inlineStr">
        <is>
          <t>2008-09-26</t>
        </is>
      </c>
      <c r="X797" t="inlineStr">
        <is>
          <t>2008-09-26</t>
        </is>
      </c>
      <c r="Y797" t="inlineStr">
        <is>
          <t>1993-03-04</t>
        </is>
      </c>
      <c r="Z797" t="inlineStr">
        <is>
          <t>1993-03-04</t>
        </is>
      </c>
      <c r="AA797" t="n">
        <v>209</v>
      </c>
      <c r="AB797" t="n">
        <v>155</v>
      </c>
      <c r="AC797" t="n">
        <v>156</v>
      </c>
      <c r="AD797" t="n">
        <v>2</v>
      </c>
      <c r="AE797" t="n">
        <v>2</v>
      </c>
      <c r="AF797" t="n">
        <v>6</v>
      </c>
      <c r="AG797" t="n">
        <v>6</v>
      </c>
      <c r="AH797" t="n">
        <v>1</v>
      </c>
      <c r="AI797" t="n">
        <v>1</v>
      </c>
      <c r="AJ797" t="n">
        <v>1</v>
      </c>
      <c r="AK797" t="n">
        <v>1</v>
      </c>
      <c r="AL797" t="n">
        <v>5</v>
      </c>
      <c r="AM797" t="n">
        <v>5</v>
      </c>
      <c r="AN797" t="n">
        <v>1</v>
      </c>
      <c r="AO797" t="n">
        <v>1</v>
      </c>
      <c r="AP797" t="n">
        <v>0</v>
      </c>
      <c r="AQ797" t="n">
        <v>0</v>
      </c>
      <c r="AR797" t="inlineStr">
        <is>
          <t>No</t>
        </is>
      </c>
      <c r="AS797" t="inlineStr">
        <is>
          <t>Yes</t>
        </is>
      </c>
      <c r="AT797">
        <f>HYPERLINK("http://catalog.hathitrust.org/Record/000567063","HathiTrust Record")</f>
        <v/>
      </c>
      <c r="AU797">
        <f>HYPERLINK("https://creighton-primo.hosted.exlibrisgroup.com/primo-explore/search?tab=default_tab&amp;search_scope=EVERYTHING&amp;vid=01CRU&amp;lang=en_US&amp;offset=0&amp;query=any,contains,991000071619702656","Catalog Record")</f>
        <v/>
      </c>
      <c r="AV797">
        <f>HYPERLINK("http://www.worldcat.org/oclc/8785271","WorldCat Record")</f>
        <v/>
      </c>
      <c r="AW797" t="inlineStr">
        <is>
          <t>3375017760:eng</t>
        </is>
      </c>
      <c r="AX797" t="inlineStr">
        <is>
          <t>8785271</t>
        </is>
      </c>
      <c r="AY797" t="inlineStr">
        <is>
          <t>991000071619702656</t>
        </is>
      </c>
      <c r="AZ797" t="inlineStr">
        <is>
          <t>991000071619702656</t>
        </is>
      </c>
      <c r="BA797" t="inlineStr">
        <is>
          <t>2266800370002656</t>
        </is>
      </c>
      <c r="BB797" t="inlineStr">
        <is>
          <t>BOOK</t>
        </is>
      </c>
      <c r="BD797" t="inlineStr">
        <is>
          <t>9780849355110</t>
        </is>
      </c>
      <c r="BE797" t="inlineStr">
        <is>
          <t>32285001563567</t>
        </is>
      </c>
      <c r="BF797" t="inlineStr">
        <is>
          <t>893783934</t>
        </is>
      </c>
    </row>
    <row r="798">
      <c r="B798" t="inlineStr">
        <is>
          <t>CURAL</t>
        </is>
      </c>
      <c r="C798" t="inlineStr">
        <is>
          <t>SHELVES</t>
        </is>
      </c>
      <c r="D798" t="inlineStr">
        <is>
          <t>QP625.N89 A45 1997</t>
        </is>
      </c>
      <c r="E798" t="inlineStr">
        <is>
          <t>0                      QP 0625000N  89                 A  45          1997</t>
        </is>
      </c>
      <c r="F798" t="inlineStr">
        <is>
          <t>DNA sequencing : from experimental methods to bioinformatics / Luke Alphey.</t>
        </is>
      </c>
      <c r="H798" t="inlineStr">
        <is>
          <t>No</t>
        </is>
      </c>
      <c r="I798" t="inlineStr">
        <is>
          <t>1</t>
        </is>
      </c>
      <c r="J798" t="inlineStr">
        <is>
          <t>No</t>
        </is>
      </c>
      <c r="K798" t="inlineStr">
        <is>
          <t>No</t>
        </is>
      </c>
      <c r="L798" t="inlineStr">
        <is>
          <t>0</t>
        </is>
      </c>
      <c r="M798" t="inlineStr">
        <is>
          <t>Alphey, Luke.</t>
        </is>
      </c>
      <c r="N798" t="inlineStr">
        <is>
          <t>Oxford, UK : BIOS Scientific Publishers ; New York : Springer, 1997.</t>
        </is>
      </c>
      <c r="O798" t="inlineStr">
        <is>
          <t>1997</t>
        </is>
      </c>
      <c r="Q798" t="inlineStr">
        <is>
          <t>eng</t>
        </is>
      </c>
      <c r="R798" t="inlineStr">
        <is>
          <t>enk</t>
        </is>
      </c>
      <c r="S798" t="inlineStr">
        <is>
          <t>The introduction to biotechniques series</t>
        </is>
      </c>
      <c r="T798" t="inlineStr">
        <is>
          <t xml:space="preserve">QP </t>
        </is>
      </c>
      <c r="U798" t="n">
        <v>6</v>
      </c>
      <c r="V798" t="n">
        <v>6</v>
      </c>
      <c r="W798" t="inlineStr">
        <is>
          <t>2003-04-28</t>
        </is>
      </c>
      <c r="X798" t="inlineStr">
        <is>
          <t>2003-04-28</t>
        </is>
      </c>
      <c r="Y798" t="inlineStr">
        <is>
          <t>1999-03-25</t>
        </is>
      </c>
      <c r="Z798" t="inlineStr">
        <is>
          <t>1999-03-25</t>
        </is>
      </c>
      <c r="AA798" t="n">
        <v>267</v>
      </c>
      <c r="AB798" t="n">
        <v>201</v>
      </c>
      <c r="AC798" t="n">
        <v>214</v>
      </c>
      <c r="AD798" t="n">
        <v>1</v>
      </c>
      <c r="AE798" t="n">
        <v>2</v>
      </c>
      <c r="AF798" t="n">
        <v>7</v>
      </c>
      <c r="AG798" t="n">
        <v>8</v>
      </c>
      <c r="AH798" t="n">
        <v>3</v>
      </c>
      <c r="AI798" t="n">
        <v>3</v>
      </c>
      <c r="AJ798" t="n">
        <v>1</v>
      </c>
      <c r="AK798" t="n">
        <v>1</v>
      </c>
      <c r="AL798" t="n">
        <v>5</v>
      </c>
      <c r="AM798" t="n">
        <v>5</v>
      </c>
      <c r="AN798" t="n">
        <v>0</v>
      </c>
      <c r="AO798" t="n">
        <v>1</v>
      </c>
      <c r="AP798" t="n">
        <v>0</v>
      </c>
      <c r="AQ798" t="n">
        <v>0</v>
      </c>
      <c r="AR798" t="inlineStr">
        <is>
          <t>No</t>
        </is>
      </c>
      <c r="AS798" t="inlineStr">
        <is>
          <t>Yes</t>
        </is>
      </c>
      <c r="AT798">
        <f>HYPERLINK("http://catalog.hathitrust.org/Record/003945075","HathiTrust Record")</f>
        <v/>
      </c>
      <c r="AU798">
        <f>HYPERLINK("https://creighton-primo.hosted.exlibrisgroup.com/primo-explore/search?tab=default_tab&amp;search_scope=EVERYTHING&amp;vid=01CRU&amp;lang=en_US&amp;offset=0&amp;query=any,contains,991002813899702656","Catalog Record")</f>
        <v/>
      </c>
      <c r="AV798">
        <f>HYPERLINK("http://www.worldcat.org/oclc/36961082","WorldCat Record")</f>
        <v/>
      </c>
      <c r="AW798" t="inlineStr">
        <is>
          <t>1073472569:eng</t>
        </is>
      </c>
      <c r="AX798" t="inlineStr">
        <is>
          <t>36961082</t>
        </is>
      </c>
      <c r="AY798" t="inlineStr">
        <is>
          <t>991002813899702656</t>
        </is>
      </c>
      <c r="AZ798" t="inlineStr">
        <is>
          <t>991002813899702656</t>
        </is>
      </c>
      <c r="BA798" t="inlineStr">
        <is>
          <t>2259124920002656</t>
        </is>
      </c>
      <c r="BB798" t="inlineStr">
        <is>
          <t>BOOK</t>
        </is>
      </c>
      <c r="BD798" t="inlineStr">
        <is>
          <t>9780387915098</t>
        </is>
      </c>
      <c r="BE798" t="inlineStr">
        <is>
          <t>32285003546222</t>
        </is>
      </c>
      <c r="BF798" t="inlineStr">
        <is>
          <t>893704557</t>
        </is>
      </c>
    </row>
    <row r="799">
      <c r="B799" t="inlineStr">
        <is>
          <t>CURAL</t>
        </is>
      </c>
      <c r="C799" t="inlineStr">
        <is>
          <t>SHELVES</t>
        </is>
      </c>
      <c r="D799" t="inlineStr">
        <is>
          <t>QP625.N89 N835 1989</t>
        </is>
      </c>
      <c r="E799" t="inlineStr">
        <is>
          <t>0                      QP 0625000N  89                 N  835         1989</t>
        </is>
      </c>
      <c r="F799" t="inlineStr">
        <is>
          <t>Nucleic acids sequencing : a practical approach / edited by C.J. Howe, E.S. Ward.</t>
        </is>
      </c>
      <c r="H799" t="inlineStr">
        <is>
          <t>No</t>
        </is>
      </c>
      <c r="I799" t="inlineStr">
        <is>
          <t>1</t>
        </is>
      </c>
      <c r="J799" t="inlineStr">
        <is>
          <t>No</t>
        </is>
      </c>
      <c r="K799" t="inlineStr">
        <is>
          <t>No</t>
        </is>
      </c>
      <c r="L799" t="inlineStr">
        <is>
          <t>0</t>
        </is>
      </c>
      <c r="N799" t="inlineStr">
        <is>
          <t>Oxford ; New York : IRL Press, 1989.</t>
        </is>
      </c>
      <c r="O799" t="inlineStr">
        <is>
          <t>1989</t>
        </is>
      </c>
      <c r="Q799" t="inlineStr">
        <is>
          <t>eng</t>
        </is>
      </c>
      <c r="R799" t="inlineStr">
        <is>
          <t>enk</t>
        </is>
      </c>
      <c r="S799" t="inlineStr">
        <is>
          <t>Practical approach series</t>
        </is>
      </c>
      <c r="T799" t="inlineStr">
        <is>
          <t xml:space="preserve">QP </t>
        </is>
      </c>
      <c r="U799" t="n">
        <v>4</v>
      </c>
      <c r="V799" t="n">
        <v>4</v>
      </c>
      <c r="W799" t="inlineStr">
        <is>
          <t>1995-01-05</t>
        </is>
      </c>
      <c r="X799" t="inlineStr">
        <is>
          <t>1995-01-05</t>
        </is>
      </c>
      <c r="Y799" t="inlineStr">
        <is>
          <t>1990-06-06</t>
        </is>
      </c>
      <c r="Z799" t="inlineStr">
        <is>
          <t>1990-06-06</t>
        </is>
      </c>
      <c r="AA799" t="n">
        <v>316</v>
      </c>
      <c r="AB799" t="n">
        <v>190</v>
      </c>
      <c r="AC799" t="n">
        <v>197</v>
      </c>
      <c r="AD799" t="n">
        <v>4</v>
      </c>
      <c r="AE799" t="n">
        <v>4</v>
      </c>
      <c r="AF799" t="n">
        <v>10</v>
      </c>
      <c r="AG799" t="n">
        <v>10</v>
      </c>
      <c r="AH799" t="n">
        <v>2</v>
      </c>
      <c r="AI799" t="n">
        <v>2</v>
      </c>
      <c r="AJ799" t="n">
        <v>2</v>
      </c>
      <c r="AK799" t="n">
        <v>2</v>
      </c>
      <c r="AL799" t="n">
        <v>5</v>
      </c>
      <c r="AM799" t="n">
        <v>5</v>
      </c>
      <c r="AN799" t="n">
        <v>3</v>
      </c>
      <c r="AO799" t="n">
        <v>3</v>
      </c>
      <c r="AP799" t="n">
        <v>0</v>
      </c>
      <c r="AQ799" t="n">
        <v>0</v>
      </c>
      <c r="AR799" t="inlineStr">
        <is>
          <t>No</t>
        </is>
      </c>
      <c r="AS799" t="inlineStr">
        <is>
          <t>Yes</t>
        </is>
      </c>
      <c r="AT799">
        <f>HYPERLINK("http://catalog.hathitrust.org/Record/001948856","HathiTrust Record")</f>
        <v/>
      </c>
      <c r="AU799">
        <f>HYPERLINK("https://creighton-primo.hosted.exlibrisgroup.com/primo-explore/search?tab=default_tab&amp;search_scope=EVERYTHING&amp;vid=01CRU&amp;lang=en_US&amp;offset=0&amp;query=any,contains,991001502979702656","Catalog Record")</f>
        <v/>
      </c>
      <c r="AV799">
        <f>HYPERLINK("http://www.worldcat.org/oclc/19814516","WorldCat Record")</f>
        <v/>
      </c>
      <c r="AW799" t="inlineStr">
        <is>
          <t>808089432:eng</t>
        </is>
      </c>
      <c r="AX799" t="inlineStr">
        <is>
          <t>19814516</t>
        </is>
      </c>
      <c r="AY799" t="inlineStr">
        <is>
          <t>991001502979702656</t>
        </is>
      </c>
      <c r="AZ799" t="inlineStr">
        <is>
          <t>991001502979702656</t>
        </is>
      </c>
      <c r="BA799" t="inlineStr">
        <is>
          <t>2268022680002656</t>
        </is>
      </c>
      <c r="BB799" t="inlineStr">
        <is>
          <t>BOOK</t>
        </is>
      </c>
      <c r="BD799" t="inlineStr">
        <is>
          <t>9780199630578</t>
        </is>
      </c>
      <c r="BE799" t="inlineStr">
        <is>
          <t>32285000175405</t>
        </is>
      </c>
      <c r="BF799" t="inlineStr">
        <is>
          <t>893709326</t>
        </is>
      </c>
    </row>
    <row r="800">
      <c r="B800" t="inlineStr">
        <is>
          <t>CURAL</t>
        </is>
      </c>
      <c r="C800" t="inlineStr">
        <is>
          <t>SHELVES</t>
        </is>
      </c>
      <c r="D800" t="inlineStr">
        <is>
          <t>QP701 .S66 1952</t>
        </is>
      </c>
      <c r="E800" t="inlineStr">
        <is>
          <t>0                      QP 0701000S  66          1952</t>
        </is>
      </c>
      <c r="F800" t="inlineStr">
        <is>
          <t>Carbohydrate metabolism : correlation of physiological, biochemical and clinical aspects / by Samuel Soskin and Rachmiel Levine.</t>
        </is>
      </c>
      <c r="H800" t="inlineStr">
        <is>
          <t>No</t>
        </is>
      </c>
      <c r="I800" t="inlineStr">
        <is>
          <t>1</t>
        </is>
      </c>
      <c r="J800" t="inlineStr">
        <is>
          <t>No</t>
        </is>
      </c>
      <c r="K800" t="inlineStr">
        <is>
          <t>No</t>
        </is>
      </c>
      <c r="L800" t="inlineStr">
        <is>
          <t>0</t>
        </is>
      </c>
      <c r="M800" t="inlineStr">
        <is>
          <t>Soskin, Samuel, 1904-</t>
        </is>
      </c>
      <c r="N800" t="inlineStr">
        <is>
          <t>Chicago : Univ. of Chicago Press, [1952]</t>
        </is>
      </c>
      <c r="O800" t="inlineStr">
        <is>
          <t>1952</t>
        </is>
      </c>
      <c r="P800" t="inlineStr">
        <is>
          <t>Rev. ed.</t>
        </is>
      </c>
      <c r="Q800" t="inlineStr">
        <is>
          <t>eng</t>
        </is>
      </c>
      <c r="R800" t="inlineStr">
        <is>
          <t xml:space="preserve">xx </t>
        </is>
      </c>
      <c r="T800" t="inlineStr">
        <is>
          <t xml:space="preserve">QP </t>
        </is>
      </c>
      <c r="U800" t="n">
        <v>3</v>
      </c>
      <c r="V800" t="n">
        <v>3</v>
      </c>
      <c r="W800" t="inlineStr">
        <is>
          <t>2007-01-26</t>
        </is>
      </c>
      <c r="X800" t="inlineStr">
        <is>
          <t>2007-01-26</t>
        </is>
      </c>
      <c r="Y800" t="inlineStr">
        <is>
          <t>1994-07-20</t>
        </is>
      </c>
      <c r="Z800" t="inlineStr">
        <is>
          <t>1994-07-20</t>
        </is>
      </c>
      <c r="AA800" t="n">
        <v>169</v>
      </c>
      <c r="AB800" t="n">
        <v>148</v>
      </c>
      <c r="AC800" t="n">
        <v>249</v>
      </c>
      <c r="AD800" t="n">
        <v>2</v>
      </c>
      <c r="AE800" t="n">
        <v>2</v>
      </c>
      <c r="AF800" t="n">
        <v>2</v>
      </c>
      <c r="AG800" t="n">
        <v>7</v>
      </c>
      <c r="AH800" t="n">
        <v>0</v>
      </c>
      <c r="AI800" t="n">
        <v>2</v>
      </c>
      <c r="AJ800" t="n">
        <v>1</v>
      </c>
      <c r="AK800" t="n">
        <v>3</v>
      </c>
      <c r="AL800" t="n">
        <v>0</v>
      </c>
      <c r="AM800" t="n">
        <v>4</v>
      </c>
      <c r="AN800" t="n">
        <v>1</v>
      </c>
      <c r="AO800" t="n">
        <v>1</v>
      </c>
      <c r="AP800" t="n">
        <v>0</v>
      </c>
      <c r="AQ800" t="n">
        <v>0</v>
      </c>
      <c r="AR800" t="inlineStr">
        <is>
          <t>No</t>
        </is>
      </c>
      <c r="AS800" t="inlineStr">
        <is>
          <t>Yes</t>
        </is>
      </c>
      <c r="AT800">
        <f>HYPERLINK("http://catalog.hathitrust.org/Record/001555667","HathiTrust Record")</f>
        <v/>
      </c>
      <c r="AU800">
        <f>HYPERLINK("https://creighton-primo.hosted.exlibrisgroup.com/primo-explore/search?tab=default_tab&amp;search_scope=EVERYTHING&amp;vid=01CRU&amp;lang=en_US&amp;offset=0&amp;query=any,contains,991000950669702656","Catalog Record")</f>
        <v/>
      </c>
      <c r="AV800">
        <f>HYPERLINK("http://www.worldcat.org/oclc/14654504","WorldCat Record")</f>
        <v/>
      </c>
      <c r="AW800" t="inlineStr">
        <is>
          <t>3902634204:eng</t>
        </is>
      </c>
      <c r="AX800" t="inlineStr">
        <is>
          <t>14654504</t>
        </is>
      </c>
      <c r="AY800" t="inlineStr">
        <is>
          <t>991000950669702656</t>
        </is>
      </c>
      <c r="AZ800" t="inlineStr">
        <is>
          <t>991000950669702656</t>
        </is>
      </c>
      <c r="BA800" t="inlineStr">
        <is>
          <t>2271652740002656</t>
        </is>
      </c>
      <c r="BB800" t="inlineStr">
        <is>
          <t>BOOK</t>
        </is>
      </c>
      <c r="BE800" t="inlineStr">
        <is>
          <t>32285001936854</t>
        </is>
      </c>
      <c r="BF800" t="inlineStr">
        <is>
          <t>893249835</t>
        </is>
      </c>
    </row>
    <row r="801">
      <c r="B801" t="inlineStr">
        <is>
          <t>CURAL</t>
        </is>
      </c>
      <c r="C801" t="inlineStr">
        <is>
          <t>SHELVES</t>
        </is>
      </c>
      <c r="D801" t="inlineStr">
        <is>
          <t>QP751 .H24 1985</t>
        </is>
      </c>
      <c r="E801" t="inlineStr">
        <is>
          <t>0                      QP 0751000H  24          1985</t>
        </is>
      </c>
      <c r="F801" t="inlineStr">
        <is>
          <t>The adaptive role of lipids in biological systems / Neil F. Hadley.</t>
        </is>
      </c>
      <c r="H801" t="inlineStr">
        <is>
          <t>No</t>
        </is>
      </c>
      <c r="I801" t="inlineStr">
        <is>
          <t>1</t>
        </is>
      </c>
      <c r="J801" t="inlineStr">
        <is>
          <t>No</t>
        </is>
      </c>
      <c r="K801" t="inlineStr">
        <is>
          <t>No</t>
        </is>
      </c>
      <c r="L801" t="inlineStr">
        <is>
          <t>0</t>
        </is>
      </c>
      <c r="M801" t="inlineStr">
        <is>
          <t>Hadley, Neil F.</t>
        </is>
      </c>
      <c r="N801" t="inlineStr">
        <is>
          <t>New York : Wiley, c1985.</t>
        </is>
      </c>
      <c r="O801" t="inlineStr">
        <is>
          <t>1985</t>
        </is>
      </c>
      <c r="Q801" t="inlineStr">
        <is>
          <t>eng</t>
        </is>
      </c>
      <c r="R801" t="inlineStr">
        <is>
          <t>nyu</t>
        </is>
      </c>
      <c r="T801" t="inlineStr">
        <is>
          <t xml:space="preserve">QP </t>
        </is>
      </c>
      <c r="U801" t="n">
        <v>7</v>
      </c>
      <c r="V801" t="n">
        <v>7</v>
      </c>
      <c r="W801" t="inlineStr">
        <is>
          <t>1994-10-02</t>
        </is>
      </c>
      <c r="X801" t="inlineStr">
        <is>
          <t>1994-10-02</t>
        </is>
      </c>
      <c r="Y801" t="inlineStr">
        <is>
          <t>1993-03-04</t>
        </is>
      </c>
      <c r="Z801" t="inlineStr">
        <is>
          <t>1993-03-04</t>
        </is>
      </c>
      <c r="AA801" t="n">
        <v>307</v>
      </c>
      <c r="AB801" t="n">
        <v>236</v>
      </c>
      <c r="AC801" t="n">
        <v>237</v>
      </c>
      <c r="AD801" t="n">
        <v>3</v>
      </c>
      <c r="AE801" t="n">
        <v>3</v>
      </c>
      <c r="AF801" t="n">
        <v>10</v>
      </c>
      <c r="AG801" t="n">
        <v>10</v>
      </c>
      <c r="AH801" t="n">
        <v>2</v>
      </c>
      <c r="AI801" t="n">
        <v>2</v>
      </c>
      <c r="AJ801" t="n">
        <v>4</v>
      </c>
      <c r="AK801" t="n">
        <v>4</v>
      </c>
      <c r="AL801" t="n">
        <v>5</v>
      </c>
      <c r="AM801" t="n">
        <v>5</v>
      </c>
      <c r="AN801" t="n">
        <v>2</v>
      </c>
      <c r="AO801" t="n">
        <v>2</v>
      </c>
      <c r="AP801" t="n">
        <v>0</v>
      </c>
      <c r="AQ801" t="n">
        <v>0</v>
      </c>
      <c r="AR801" t="inlineStr">
        <is>
          <t>No</t>
        </is>
      </c>
      <c r="AS801" t="inlineStr">
        <is>
          <t>Yes</t>
        </is>
      </c>
      <c r="AT801">
        <f>HYPERLINK("http://catalog.hathitrust.org/Record/000453975","HathiTrust Record")</f>
        <v/>
      </c>
      <c r="AU801">
        <f>HYPERLINK("https://creighton-primo.hosted.exlibrisgroup.com/primo-explore/search?tab=default_tab&amp;search_scope=EVERYTHING&amp;vid=01CRU&amp;lang=en_US&amp;offset=0&amp;query=any,contains,991000485329702656","Catalog Record")</f>
        <v/>
      </c>
      <c r="AV801">
        <f>HYPERLINK("http://www.worldcat.org/oclc/11068978","WorldCat Record")</f>
        <v/>
      </c>
      <c r="AW801" t="inlineStr">
        <is>
          <t>3864218:eng</t>
        </is>
      </c>
      <c r="AX801" t="inlineStr">
        <is>
          <t>11068978</t>
        </is>
      </c>
      <c r="AY801" t="inlineStr">
        <is>
          <t>991000485329702656</t>
        </is>
      </c>
      <c r="AZ801" t="inlineStr">
        <is>
          <t>991000485329702656</t>
        </is>
      </c>
      <c r="BA801" t="inlineStr">
        <is>
          <t>2261520650002656</t>
        </is>
      </c>
      <c r="BB801" t="inlineStr">
        <is>
          <t>BOOK</t>
        </is>
      </c>
      <c r="BD801" t="inlineStr">
        <is>
          <t>9780471090496</t>
        </is>
      </c>
      <c r="BE801" t="inlineStr">
        <is>
          <t>32285001563583</t>
        </is>
      </c>
      <c r="BF801" t="inlineStr">
        <is>
          <t>893614207</t>
        </is>
      </c>
    </row>
    <row r="802">
      <c r="B802" t="inlineStr">
        <is>
          <t>CURAL</t>
        </is>
      </c>
      <c r="C802" t="inlineStr">
        <is>
          <t>SHELVES</t>
        </is>
      </c>
      <c r="D802" t="inlineStr">
        <is>
          <t>QP752.M45 T46 1992</t>
        </is>
      </c>
      <c r="E802" t="inlineStr">
        <is>
          <t>0                      QP 0752000M  45                 T  46          1992</t>
        </is>
      </c>
      <c r="F802" t="inlineStr">
        <is>
          <t>The regulation of membrane lipid metabolism / Guy A. Thompson, Jr.</t>
        </is>
      </c>
      <c r="H802" t="inlineStr">
        <is>
          <t>No</t>
        </is>
      </c>
      <c r="I802" t="inlineStr">
        <is>
          <t>1</t>
        </is>
      </c>
      <c r="J802" t="inlineStr">
        <is>
          <t>Yes</t>
        </is>
      </c>
      <c r="K802" t="inlineStr">
        <is>
          <t>No</t>
        </is>
      </c>
      <c r="L802" t="inlineStr">
        <is>
          <t>0</t>
        </is>
      </c>
      <c r="M802" t="inlineStr">
        <is>
          <t>Thompson, Guy A., 1931-</t>
        </is>
      </c>
      <c r="N802" t="inlineStr">
        <is>
          <t>Boca Raton : CRC Press, c1992.</t>
        </is>
      </c>
      <c r="O802" t="inlineStr">
        <is>
          <t>1992</t>
        </is>
      </c>
      <c r="P802" t="inlineStr">
        <is>
          <t>2nd ed.</t>
        </is>
      </c>
      <c r="Q802" t="inlineStr">
        <is>
          <t>eng</t>
        </is>
      </c>
      <c r="R802" t="inlineStr">
        <is>
          <t>flu</t>
        </is>
      </c>
      <c r="T802" t="inlineStr">
        <is>
          <t xml:space="preserve">QP </t>
        </is>
      </c>
      <c r="U802" t="n">
        <v>9</v>
      </c>
      <c r="V802" t="n">
        <v>15</v>
      </c>
      <c r="W802" t="inlineStr">
        <is>
          <t>1996-09-21</t>
        </is>
      </c>
      <c r="X802" t="inlineStr">
        <is>
          <t>1999-03-04</t>
        </is>
      </c>
      <c r="Y802" t="inlineStr">
        <is>
          <t>1993-01-13</t>
        </is>
      </c>
      <c r="Z802" t="inlineStr">
        <is>
          <t>1993-01-13</t>
        </is>
      </c>
      <c r="AA802" t="n">
        <v>173</v>
      </c>
      <c r="AB802" t="n">
        <v>130</v>
      </c>
      <c r="AC802" t="n">
        <v>240</v>
      </c>
      <c r="AD802" t="n">
        <v>2</v>
      </c>
      <c r="AE802" t="n">
        <v>3</v>
      </c>
      <c r="AF802" t="n">
        <v>4</v>
      </c>
      <c r="AG802" t="n">
        <v>6</v>
      </c>
      <c r="AH802" t="n">
        <v>0</v>
      </c>
      <c r="AI802" t="n">
        <v>1</v>
      </c>
      <c r="AJ802" t="n">
        <v>3</v>
      </c>
      <c r="AK802" t="n">
        <v>3</v>
      </c>
      <c r="AL802" t="n">
        <v>3</v>
      </c>
      <c r="AM802" t="n">
        <v>4</v>
      </c>
      <c r="AN802" t="n">
        <v>0</v>
      </c>
      <c r="AO802" t="n">
        <v>1</v>
      </c>
      <c r="AP802" t="n">
        <v>0</v>
      </c>
      <c r="AQ802" t="n">
        <v>0</v>
      </c>
      <c r="AR802" t="inlineStr">
        <is>
          <t>No</t>
        </is>
      </c>
      <c r="AS802" t="inlineStr">
        <is>
          <t>No</t>
        </is>
      </c>
      <c r="AU802">
        <f>HYPERLINK("https://creighton-primo.hosted.exlibrisgroup.com/primo-explore/search?tab=default_tab&amp;search_scope=EVERYTHING&amp;vid=01CRU&amp;lang=en_US&amp;offset=0&amp;query=any,contains,991001793729702656","Catalog Record")</f>
        <v/>
      </c>
      <c r="AV802">
        <f>HYPERLINK("http://www.worldcat.org/oclc/25048147","WorldCat Record")</f>
        <v/>
      </c>
      <c r="AW802" t="inlineStr">
        <is>
          <t>43990687:eng</t>
        </is>
      </c>
      <c r="AX802" t="inlineStr">
        <is>
          <t>25048147</t>
        </is>
      </c>
      <c r="AY802" t="inlineStr">
        <is>
          <t>991001793729702656</t>
        </is>
      </c>
      <c r="AZ802" t="inlineStr">
        <is>
          <t>991001793729702656</t>
        </is>
      </c>
      <c r="BA802" t="inlineStr">
        <is>
          <t>2263516210002656</t>
        </is>
      </c>
      <c r="BB802" t="inlineStr">
        <is>
          <t>BOOK</t>
        </is>
      </c>
      <c r="BD802" t="inlineStr">
        <is>
          <t>9780849345616</t>
        </is>
      </c>
      <c r="BE802" t="inlineStr">
        <is>
          <t>32285001445211</t>
        </is>
      </c>
      <c r="BF802" t="inlineStr">
        <is>
          <t>893529239</t>
        </is>
      </c>
    </row>
    <row r="803">
      <c r="B803" t="inlineStr">
        <is>
          <t>CURAL</t>
        </is>
      </c>
      <c r="C803" t="inlineStr">
        <is>
          <t>SHELVES</t>
        </is>
      </c>
      <c r="D803" t="inlineStr">
        <is>
          <t>QP752.P84 P85 1984</t>
        </is>
      </c>
      <c r="E803" t="inlineStr">
        <is>
          <t>0                      QP 0752000P  84                 P  85          1984</t>
        </is>
      </c>
      <c r="F803" t="inlineStr">
        <is>
          <t>Pulmonary surfactant / edited by Bengt Robertson, Lambert M.G. van Golde, and Joseph J. Batenburg.</t>
        </is>
      </c>
      <c r="H803" t="inlineStr">
        <is>
          <t>No</t>
        </is>
      </c>
      <c r="I803" t="inlineStr">
        <is>
          <t>1</t>
        </is>
      </c>
      <c r="J803" t="inlineStr">
        <is>
          <t>No</t>
        </is>
      </c>
      <c r="K803" t="inlineStr">
        <is>
          <t>No</t>
        </is>
      </c>
      <c r="L803" t="inlineStr">
        <is>
          <t>0</t>
        </is>
      </c>
      <c r="N803" t="inlineStr">
        <is>
          <t>Amsterdam ; New York : Elsevier ; New York, NY, USA : Sole distributors for the USA and Canada, Elsevier Science Pub. Co., 1984.</t>
        </is>
      </c>
      <c r="O803" t="inlineStr">
        <is>
          <t>1984</t>
        </is>
      </c>
      <c r="Q803" t="inlineStr">
        <is>
          <t>eng</t>
        </is>
      </c>
      <c r="R803" t="inlineStr">
        <is>
          <t xml:space="preserve">ne </t>
        </is>
      </c>
      <c r="T803" t="inlineStr">
        <is>
          <t xml:space="preserve">QP </t>
        </is>
      </c>
      <c r="U803" t="n">
        <v>3</v>
      </c>
      <c r="V803" t="n">
        <v>3</v>
      </c>
      <c r="W803" t="inlineStr">
        <is>
          <t>1994-03-18</t>
        </is>
      </c>
      <c r="X803" t="inlineStr">
        <is>
          <t>1994-03-18</t>
        </is>
      </c>
      <c r="Y803" t="inlineStr">
        <is>
          <t>1993-03-04</t>
        </is>
      </c>
      <c r="Z803" t="inlineStr">
        <is>
          <t>1993-03-04</t>
        </is>
      </c>
      <c r="AA803" t="n">
        <v>107</v>
      </c>
      <c r="AB803" t="n">
        <v>68</v>
      </c>
      <c r="AC803" t="n">
        <v>89</v>
      </c>
      <c r="AD803" t="n">
        <v>1</v>
      </c>
      <c r="AE803" t="n">
        <v>2</v>
      </c>
      <c r="AF803" t="n">
        <v>2</v>
      </c>
      <c r="AG803" t="n">
        <v>3</v>
      </c>
      <c r="AH803" t="n">
        <v>0</v>
      </c>
      <c r="AI803" t="n">
        <v>0</v>
      </c>
      <c r="AJ803" t="n">
        <v>1</v>
      </c>
      <c r="AK803" t="n">
        <v>1</v>
      </c>
      <c r="AL803" t="n">
        <v>2</v>
      </c>
      <c r="AM803" t="n">
        <v>2</v>
      </c>
      <c r="AN803" t="n">
        <v>0</v>
      </c>
      <c r="AO803" t="n">
        <v>1</v>
      </c>
      <c r="AP803" t="n">
        <v>0</v>
      </c>
      <c r="AQ803" t="n">
        <v>0</v>
      </c>
      <c r="AR803" t="inlineStr">
        <is>
          <t>No</t>
        </is>
      </c>
      <c r="AS803" t="inlineStr">
        <is>
          <t>Yes</t>
        </is>
      </c>
      <c r="AT803">
        <f>HYPERLINK("http://catalog.hathitrust.org/Record/000342772","HathiTrust Record")</f>
        <v/>
      </c>
      <c r="AU803">
        <f>HYPERLINK("https://creighton-primo.hosted.exlibrisgroup.com/primo-explore/search?tab=default_tab&amp;search_scope=EVERYTHING&amp;vid=01CRU&amp;lang=en_US&amp;offset=0&amp;query=any,contains,991000442469702656","Catalog Record")</f>
        <v/>
      </c>
      <c r="AV803">
        <f>HYPERLINK("http://www.worldcat.org/oclc/10825565","WorldCat Record")</f>
        <v/>
      </c>
      <c r="AW803" t="inlineStr">
        <is>
          <t>355971513:eng</t>
        </is>
      </c>
      <c r="AX803" t="inlineStr">
        <is>
          <t>10825565</t>
        </is>
      </c>
      <c r="AY803" t="inlineStr">
        <is>
          <t>991000442469702656</t>
        </is>
      </c>
      <c r="AZ803" t="inlineStr">
        <is>
          <t>991000442469702656</t>
        </is>
      </c>
      <c r="BA803" t="inlineStr">
        <is>
          <t>2264491240002656</t>
        </is>
      </c>
      <c r="BB803" t="inlineStr">
        <is>
          <t>BOOK</t>
        </is>
      </c>
      <c r="BD803" t="inlineStr">
        <is>
          <t>9780444805539</t>
        </is>
      </c>
      <c r="BE803" t="inlineStr">
        <is>
          <t>32285001563591</t>
        </is>
      </c>
      <c r="BF803" t="inlineStr">
        <is>
          <t>893249349</t>
        </is>
      </c>
    </row>
    <row r="804">
      <c r="B804" t="inlineStr">
        <is>
          <t>CURAL</t>
        </is>
      </c>
      <c r="C804" t="inlineStr">
        <is>
          <t>SHELVES</t>
        </is>
      </c>
      <c r="D804" t="inlineStr">
        <is>
          <t>QP771 .M56 1991</t>
        </is>
      </c>
      <c r="E804" t="inlineStr">
        <is>
          <t>0                      QP 0771000M  56          1991</t>
        </is>
      </c>
      <c r="F804" t="inlineStr">
        <is>
          <t>Earl Mindell's vitamin bible.</t>
        </is>
      </c>
      <c r="H804" t="inlineStr">
        <is>
          <t>No</t>
        </is>
      </c>
      <c r="I804" t="inlineStr">
        <is>
          <t>1</t>
        </is>
      </c>
      <c r="J804" t="inlineStr">
        <is>
          <t>No</t>
        </is>
      </c>
      <c r="K804" t="inlineStr">
        <is>
          <t>No</t>
        </is>
      </c>
      <c r="L804" t="inlineStr">
        <is>
          <t>0</t>
        </is>
      </c>
      <c r="M804" t="inlineStr">
        <is>
          <t>Mindell, Earl.</t>
        </is>
      </c>
      <c r="N804" t="inlineStr">
        <is>
          <t>New York, N.Y. : Warner, c1991.</t>
        </is>
      </c>
      <c r="O804" t="inlineStr">
        <is>
          <t>1991</t>
        </is>
      </c>
      <c r="P804" t="inlineStr">
        <is>
          <t>Completely rev., expanded, updated.</t>
        </is>
      </c>
      <c r="Q804" t="inlineStr">
        <is>
          <t>eng</t>
        </is>
      </c>
      <c r="R804" t="inlineStr">
        <is>
          <t>nyu</t>
        </is>
      </c>
      <c r="T804" t="inlineStr">
        <is>
          <t xml:space="preserve">QP </t>
        </is>
      </c>
      <c r="U804" t="n">
        <v>5</v>
      </c>
      <c r="V804" t="n">
        <v>5</v>
      </c>
      <c r="W804" t="inlineStr">
        <is>
          <t>2007-03-13</t>
        </is>
      </c>
      <c r="X804" t="inlineStr">
        <is>
          <t>2007-03-13</t>
        </is>
      </c>
      <c r="Y804" t="inlineStr">
        <is>
          <t>1995-01-17</t>
        </is>
      </c>
      <c r="Z804" t="inlineStr">
        <is>
          <t>1995-01-17</t>
        </is>
      </c>
      <c r="AA804" t="n">
        <v>155</v>
      </c>
      <c r="AB804" t="n">
        <v>142</v>
      </c>
      <c r="AC804" t="n">
        <v>466</v>
      </c>
      <c r="AD804" t="n">
        <v>2</v>
      </c>
      <c r="AE804" t="n">
        <v>3</v>
      </c>
      <c r="AF804" t="n">
        <v>1</v>
      </c>
      <c r="AG804" t="n">
        <v>2</v>
      </c>
      <c r="AH804" t="n">
        <v>1</v>
      </c>
      <c r="AI804" t="n">
        <v>1</v>
      </c>
      <c r="AJ804" t="n">
        <v>0</v>
      </c>
      <c r="AK804" t="n">
        <v>0</v>
      </c>
      <c r="AL804" t="n">
        <v>0</v>
      </c>
      <c r="AM804" t="n">
        <v>0</v>
      </c>
      <c r="AN804" t="n">
        <v>0</v>
      </c>
      <c r="AO804" t="n">
        <v>1</v>
      </c>
      <c r="AP804" t="n">
        <v>0</v>
      </c>
      <c r="AQ804" t="n">
        <v>0</v>
      </c>
      <c r="AR804" t="inlineStr">
        <is>
          <t>No</t>
        </is>
      </c>
      <c r="AS804" t="inlineStr">
        <is>
          <t>No</t>
        </is>
      </c>
      <c r="AU804">
        <f>HYPERLINK("https://creighton-primo.hosted.exlibrisgroup.com/primo-explore/search?tab=default_tab&amp;search_scope=EVERYTHING&amp;vid=01CRU&amp;lang=en_US&amp;offset=0&amp;query=any,contains,991001952419702656","Catalog Record")</f>
        <v/>
      </c>
      <c r="AV804">
        <f>HYPERLINK("http://www.worldcat.org/oclc/24681299","WorldCat Record")</f>
        <v/>
      </c>
      <c r="AW804" t="inlineStr">
        <is>
          <t>2070481669:eng</t>
        </is>
      </c>
      <c r="AX804" t="inlineStr">
        <is>
          <t>24681299</t>
        </is>
      </c>
      <c r="AY804" t="inlineStr">
        <is>
          <t>991001952419702656</t>
        </is>
      </c>
      <c r="AZ804" t="inlineStr">
        <is>
          <t>991001952419702656</t>
        </is>
      </c>
      <c r="BA804" t="inlineStr">
        <is>
          <t>2271487220002656</t>
        </is>
      </c>
      <c r="BB804" t="inlineStr">
        <is>
          <t>BOOK</t>
        </is>
      </c>
      <c r="BD804" t="inlineStr">
        <is>
          <t>9780446361842</t>
        </is>
      </c>
      <c r="BE804" t="inlineStr">
        <is>
          <t>32285001992964</t>
        </is>
      </c>
      <c r="BF804" t="inlineStr">
        <is>
          <t>893261999</t>
        </is>
      </c>
    </row>
    <row r="805">
      <c r="B805" t="inlineStr">
        <is>
          <t>CURAL</t>
        </is>
      </c>
      <c r="C805" t="inlineStr">
        <is>
          <t>SHELVES</t>
        </is>
      </c>
      <c r="D805" t="inlineStr">
        <is>
          <t>QP801.A27 R6</t>
        </is>
      </c>
      <c r="E805" t="inlineStr">
        <is>
          <t>0                      QP 0801000A  27                 R  6</t>
        </is>
      </c>
      <c r="F805" t="inlineStr">
        <is>
          <t>Cyclic AMP [by] G. Alan Robison, Reginald W. Butcher [and] Earl W. Sutherland. With contributions by Th. Posternak and Joel G. Hardman.</t>
        </is>
      </c>
      <c r="H805" t="inlineStr">
        <is>
          <t>No</t>
        </is>
      </c>
      <c r="I805" t="inlineStr">
        <is>
          <t>1</t>
        </is>
      </c>
      <c r="J805" t="inlineStr">
        <is>
          <t>Yes</t>
        </is>
      </c>
      <c r="K805" t="inlineStr">
        <is>
          <t>No</t>
        </is>
      </c>
      <c r="L805" t="inlineStr">
        <is>
          <t>0</t>
        </is>
      </c>
      <c r="M805" t="inlineStr">
        <is>
          <t>Robison, G. Alan, 1934-</t>
        </is>
      </c>
      <c r="N805" t="inlineStr">
        <is>
          <t>New York, Academic Press, 1971.</t>
        </is>
      </c>
      <c r="O805" t="inlineStr">
        <is>
          <t>1971</t>
        </is>
      </c>
      <c r="Q805" t="inlineStr">
        <is>
          <t>eng</t>
        </is>
      </c>
      <c r="R805" t="inlineStr">
        <is>
          <t>nyu</t>
        </is>
      </c>
      <c r="T805" t="inlineStr">
        <is>
          <t xml:space="preserve">QP </t>
        </is>
      </c>
      <c r="U805" t="n">
        <v>1</v>
      </c>
      <c r="V805" t="n">
        <v>8</v>
      </c>
      <c r="W805" t="inlineStr">
        <is>
          <t>2008-04-16</t>
        </is>
      </c>
      <c r="X805" t="inlineStr">
        <is>
          <t>2008-04-16</t>
        </is>
      </c>
      <c r="Y805" t="inlineStr">
        <is>
          <t>1997-08-07</t>
        </is>
      </c>
      <c r="Z805" t="inlineStr">
        <is>
          <t>1997-08-07</t>
        </is>
      </c>
      <c r="AA805" t="n">
        <v>556</v>
      </c>
      <c r="AB805" t="n">
        <v>417</v>
      </c>
      <c r="AC805" t="n">
        <v>453</v>
      </c>
      <c r="AD805" t="n">
        <v>5</v>
      </c>
      <c r="AE805" t="n">
        <v>5</v>
      </c>
      <c r="AF805" t="n">
        <v>22</v>
      </c>
      <c r="AG805" t="n">
        <v>25</v>
      </c>
      <c r="AH805" t="n">
        <v>6</v>
      </c>
      <c r="AI805" t="n">
        <v>8</v>
      </c>
      <c r="AJ805" t="n">
        <v>6</v>
      </c>
      <c r="AK805" t="n">
        <v>8</v>
      </c>
      <c r="AL805" t="n">
        <v>14</v>
      </c>
      <c r="AM805" t="n">
        <v>14</v>
      </c>
      <c r="AN805" t="n">
        <v>3</v>
      </c>
      <c r="AO805" t="n">
        <v>3</v>
      </c>
      <c r="AP805" t="n">
        <v>0</v>
      </c>
      <c r="AQ805" t="n">
        <v>0</v>
      </c>
      <c r="AR805" t="inlineStr">
        <is>
          <t>No</t>
        </is>
      </c>
      <c r="AS805" t="inlineStr">
        <is>
          <t>Yes</t>
        </is>
      </c>
      <c r="AT805">
        <f>HYPERLINK("http://catalog.hathitrust.org/Record/001555703","HathiTrust Record")</f>
        <v/>
      </c>
      <c r="AU805">
        <f>HYPERLINK("https://creighton-primo.hosted.exlibrisgroup.com/primo-explore/search?tab=default_tab&amp;search_scope=EVERYTHING&amp;vid=01CRU&amp;lang=en_US&amp;offset=0&amp;query=any,contains,991001774329702656","Catalog Record")</f>
        <v/>
      </c>
      <c r="AV805">
        <f>HYPERLINK("http://www.worldcat.org/oclc/204434","WorldCat Record")</f>
        <v/>
      </c>
      <c r="AW805" t="inlineStr">
        <is>
          <t>1262474:eng</t>
        </is>
      </c>
      <c r="AX805" t="inlineStr">
        <is>
          <t>204434</t>
        </is>
      </c>
      <c r="AY805" t="inlineStr">
        <is>
          <t>991001774329702656</t>
        </is>
      </c>
      <c r="AZ805" t="inlineStr">
        <is>
          <t>991001774329702656</t>
        </is>
      </c>
      <c r="BA805" t="inlineStr">
        <is>
          <t>2255546720002656</t>
        </is>
      </c>
      <c r="BB805" t="inlineStr">
        <is>
          <t>BOOK</t>
        </is>
      </c>
      <c r="BD805" t="inlineStr">
        <is>
          <t>9780125904506</t>
        </is>
      </c>
      <c r="BE805" t="inlineStr">
        <is>
          <t>32285003081139</t>
        </is>
      </c>
      <c r="BF805" t="inlineStr">
        <is>
          <t>893684632</t>
        </is>
      </c>
    </row>
    <row r="806">
      <c r="B806" t="inlineStr">
        <is>
          <t>CURAL</t>
        </is>
      </c>
      <c r="C806" t="inlineStr">
        <is>
          <t>SHELVES</t>
        </is>
      </c>
      <c r="D806" t="inlineStr">
        <is>
          <t>QP801.A3 A42</t>
        </is>
      </c>
      <c r="E806" t="inlineStr">
        <is>
          <t>0                      QP 0801000A  3                  A  42</t>
        </is>
      </c>
      <c r="F806" t="inlineStr">
        <is>
          <t>Alcohol and opiates : neurochemical and behavioral mechanisms / edited by Kenneth Blum, associate editors, Diana L. Bard and Murray G. Hamilton.</t>
        </is>
      </c>
      <c r="H806" t="inlineStr">
        <is>
          <t>No</t>
        </is>
      </c>
      <c r="I806" t="inlineStr">
        <is>
          <t>1</t>
        </is>
      </c>
      <c r="J806" t="inlineStr">
        <is>
          <t>No</t>
        </is>
      </c>
      <c r="K806" t="inlineStr">
        <is>
          <t>No</t>
        </is>
      </c>
      <c r="L806" t="inlineStr">
        <is>
          <t>0</t>
        </is>
      </c>
      <c r="N806" t="inlineStr">
        <is>
          <t>New York : Academic Press, 1977.</t>
        </is>
      </c>
      <c r="O806" t="inlineStr">
        <is>
          <t>1977</t>
        </is>
      </c>
      <c r="Q806" t="inlineStr">
        <is>
          <t>eng</t>
        </is>
      </c>
      <c r="R806" t="inlineStr">
        <is>
          <t>nyu</t>
        </is>
      </c>
      <c r="T806" t="inlineStr">
        <is>
          <t xml:space="preserve">QP </t>
        </is>
      </c>
      <c r="U806" t="n">
        <v>15</v>
      </c>
      <c r="V806" t="n">
        <v>15</v>
      </c>
      <c r="W806" t="inlineStr">
        <is>
          <t>2008-04-16</t>
        </is>
      </c>
      <c r="X806" t="inlineStr">
        <is>
          <t>2008-04-16</t>
        </is>
      </c>
      <c r="Y806" t="inlineStr">
        <is>
          <t>1991-12-20</t>
        </is>
      </c>
      <c r="Z806" t="inlineStr">
        <is>
          <t>1991-12-20</t>
        </is>
      </c>
      <c r="AA806" t="n">
        <v>298</v>
      </c>
      <c r="AB806" t="n">
        <v>228</v>
      </c>
      <c r="AC806" t="n">
        <v>280</v>
      </c>
      <c r="AD806" t="n">
        <v>2</v>
      </c>
      <c r="AE806" t="n">
        <v>2</v>
      </c>
      <c r="AF806" t="n">
        <v>11</v>
      </c>
      <c r="AG806" t="n">
        <v>14</v>
      </c>
      <c r="AH806" t="n">
        <v>2</v>
      </c>
      <c r="AI806" t="n">
        <v>4</v>
      </c>
      <c r="AJ806" t="n">
        <v>3</v>
      </c>
      <c r="AK806" t="n">
        <v>5</v>
      </c>
      <c r="AL806" t="n">
        <v>7</v>
      </c>
      <c r="AM806" t="n">
        <v>7</v>
      </c>
      <c r="AN806" t="n">
        <v>1</v>
      </c>
      <c r="AO806" t="n">
        <v>1</v>
      </c>
      <c r="AP806" t="n">
        <v>0</v>
      </c>
      <c r="AQ806" t="n">
        <v>0</v>
      </c>
      <c r="AR806" t="inlineStr">
        <is>
          <t>No</t>
        </is>
      </c>
      <c r="AS806" t="inlineStr">
        <is>
          <t>Yes</t>
        </is>
      </c>
      <c r="AT806">
        <f>HYPERLINK("http://catalog.hathitrust.org/Record/000173185","HathiTrust Record")</f>
        <v/>
      </c>
      <c r="AU806">
        <f>HYPERLINK("https://creighton-primo.hosted.exlibrisgroup.com/primo-explore/search?tab=default_tab&amp;search_scope=EVERYTHING&amp;vid=01CRU&amp;lang=en_US&amp;offset=0&amp;query=any,contains,991004244119702656","Catalog Record")</f>
        <v/>
      </c>
      <c r="AV806">
        <f>HYPERLINK("http://www.worldcat.org/oclc/2797787","WorldCat Record")</f>
        <v/>
      </c>
      <c r="AW806" t="inlineStr">
        <is>
          <t>836674128:eng</t>
        </is>
      </c>
      <c r="AX806" t="inlineStr">
        <is>
          <t>2797787</t>
        </is>
      </c>
      <c r="AY806" t="inlineStr">
        <is>
          <t>991004244119702656</t>
        </is>
      </c>
      <c r="AZ806" t="inlineStr">
        <is>
          <t>991004244119702656</t>
        </is>
      </c>
      <c r="BA806" t="inlineStr">
        <is>
          <t>2265665390002656</t>
        </is>
      </c>
      <c r="BB806" t="inlineStr">
        <is>
          <t>BOOK</t>
        </is>
      </c>
      <c r="BD806" t="inlineStr">
        <is>
          <t>9780121084509</t>
        </is>
      </c>
      <c r="BE806" t="inlineStr">
        <is>
          <t>32285000908664</t>
        </is>
      </c>
      <c r="BF806" t="inlineStr">
        <is>
          <t>893343614</t>
        </is>
      </c>
    </row>
    <row r="807">
      <c r="B807" t="inlineStr">
        <is>
          <t>CURAL</t>
        </is>
      </c>
      <c r="C807" t="inlineStr">
        <is>
          <t>SHELVES</t>
        </is>
      </c>
      <c r="D807" t="inlineStr">
        <is>
          <t>QP801.A3 D48 1992</t>
        </is>
      </c>
      <c r="E807" t="inlineStr">
        <is>
          <t>0                      QP 0801000A  3                  D  48          1992</t>
        </is>
      </c>
      <c r="F807" t="inlineStr">
        <is>
          <t>Development of the central nervous system : effects of alcohol and opiates / Michael W. Miller, editor.</t>
        </is>
      </c>
      <c r="H807" t="inlineStr">
        <is>
          <t>No</t>
        </is>
      </c>
      <c r="I807" t="inlineStr">
        <is>
          <t>1</t>
        </is>
      </c>
      <c r="J807" t="inlineStr">
        <is>
          <t>No</t>
        </is>
      </c>
      <c r="K807" t="inlineStr">
        <is>
          <t>No</t>
        </is>
      </c>
      <c r="L807" t="inlineStr">
        <is>
          <t>0</t>
        </is>
      </c>
      <c r="N807" t="inlineStr">
        <is>
          <t>New York : Wiley-Liss, c1992.</t>
        </is>
      </c>
      <c r="O807" t="inlineStr">
        <is>
          <t>1992</t>
        </is>
      </c>
      <c r="Q807" t="inlineStr">
        <is>
          <t>eng</t>
        </is>
      </c>
      <c r="R807" t="inlineStr">
        <is>
          <t>nyu</t>
        </is>
      </c>
      <c r="T807" t="inlineStr">
        <is>
          <t xml:space="preserve">QP </t>
        </is>
      </c>
      <c r="U807" t="n">
        <v>6</v>
      </c>
      <c r="V807" t="n">
        <v>6</v>
      </c>
      <c r="W807" t="inlineStr">
        <is>
          <t>2008-02-23</t>
        </is>
      </c>
      <c r="X807" t="inlineStr">
        <is>
          <t>2008-02-23</t>
        </is>
      </c>
      <c r="Y807" t="inlineStr">
        <is>
          <t>2002-01-15</t>
        </is>
      </c>
      <c r="Z807" t="inlineStr">
        <is>
          <t>2002-01-15</t>
        </is>
      </c>
      <c r="AA807" t="n">
        <v>187</v>
      </c>
      <c r="AB807" t="n">
        <v>143</v>
      </c>
      <c r="AC807" t="n">
        <v>148</v>
      </c>
      <c r="AD807" t="n">
        <v>2</v>
      </c>
      <c r="AE807" t="n">
        <v>2</v>
      </c>
      <c r="AF807" t="n">
        <v>8</v>
      </c>
      <c r="AG807" t="n">
        <v>8</v>
      </c>
      <c r="AH807" t="n">
        <v>0</v>
      </c>
      <c r="AI807" t="n">
        <v>0</v>
      </c>
      <c r="AJ807" t="n">
        <v>4</v>
      </c>
      <c r="AK807" t="n">
        <v>4</v>
      </c>
      <c r="AL807" t="n">
        <v>5</v>
      </c>
      <c r="AM807" t="n">
        <v>5</v>
      </c>
      <c r="AN807" t="n">
        <v>1</v>
      </c>
      <c r="AO807" t="n">
        <v>1</v>
      </c>
      <c r="AP807" t="n">
        <v>0</v>
      </c>
      <c r="AQ807" t="n">
        <v>0</v>
      </c>
      <c r="AR807" t="inlineStr">
        <is>
          <t>No</t>
        </is>
      </c>
      <c r="AS807" t="inlineStr">
        <is>
          <t>Yes</t>
        </is>
      </c>
      <c r="AT807">
        <f>HYPERLINK("http://catalog.hathitrust.org/Record/002508780","HathiTrust Record")</f>
        <v/>
      </c>
      <c r="AU807">
        <f>HYPERLINK("https://creighton-primo.hosted.exlibrisgroup.com/primo-explore/search?tab=default_tab&amp;search_scope=EVERYTHING&amp;vid=01CRU&amp;lang=en_US&amp;offset=0&amp;query=any,contains,991003706939702656","Catalog Record")</f>
        <v/>
      </c>
      <c r="AV807">
        <f>HYPERLINK("http://www.worldcat.org/oclc/23975845","WorldCat Record")</f>
        <v/>
      </c>
      <c r="AW807" t="inlineStr">
        <is>
          <t>836880406:eng</t>
        </is>
      </c>
      <c r="AX807" t="inlineStr">
        <is>
          <t>23975845</t>
        </is>
      </c>
      <c r="AY807" t="inlineStr">
        <is>
          <t>991003706939702656</t>
        </is>
      </c>
      <c r="AZ807" t="inlineStr">
        <is>
          <t>991003706939702656</t>
        </is>
      </c>
      <c r="BA807" t="inlineStr">
        <is>
          <t>2270750280002656</t>
        </is>
      </c>
      <c r="BB807" t="inlineStr">
        <is>
          <t>BOOK</t>
        </is>
      </c>
      <c r="BD807" t="inlineStr">
        <is>
          <t>9780471561255</t>
        </is>
      </c>
      <c r="BE807" t="inlineStr">
        <is>
          <t>32285004449061</t>
        </is>
      </c>
      <c r="BF807" t="inlineStr">
        <is>
          <t>893810126</t>
        </is>
      </c>
    </row>
    <row r="808">
      <c r="B808" t="inlineStr">
        <is>
          <t>CURAL</t>
        </is>
      </c>
      <c r="C808" t="inlineStr">
        <is>
          <t>SHELVES</t>
        </is>
      </c>
      <c r="D808" t="inlineStr">
        <is>
          <t>QP801.C33 M33 1984</t>
        </is>
      </c>
      <c r="E808" t="inlineStr">
        <is>
          <t>0                      QP 0801000C  33                 M  33          1984</t>
        </is>
      </c>
      <c r="F808" t="inlineStr">
        <is>
          <t>Catecholamines and behaviour / Stephen T. Mason.</t>
        </is>
      </c>
      <c r="H808" t="inlineStr">
        <is>
          <t>No</t>
        </is>
      </c>
      <c r="I808" t="inlineStr">
        <is>
          <t>1</t>
        </is>
      </c>
      <c r="J808" t="inlineStr">
        <is>
          <t>No</t>
        </is>
      </c>
      <c r="K808" t="inlineStr">
        <is>
          <t>No</t>
        </is>
      </c>
      <c r="L808" t="inlineStr">
        <is>
          <t>0</t>
        </is>
      </c>
      <c r="M808" t="inlineStr">
        <is>
          <t>Mason, Stephen T.</t>
        </is>
      </c>
      <c r="N808" t="inlineStr">
        <is>
          <t>Cambridge ; New York : Cambridge University Press, 1984.</t>
        </is>
      </c>
      <c r="O808" t="inlineStr">
        <is>
          <t>1984</t>
        </is>
      </c>
      <c r="Q808" t="inlineStr">
        <is>
          <t>eng</t>
        </is>
      </c>
      <c r="R808" t="inlineStr">
        <is>
          <t>enk</t>
        </is>
      </c>
      <c r="T808" t="inlineStr">
        <is>
          <t xml:space="preserve">QP </t>
        </is>
      </c>
      <c r="U808" t="n">
        <v>3</v>
      </c>
      <c r="V808" t="n">
        <v>3</v>
      </c>
      <c r="W808" t="inlineStr">
        <is>
          <t>1995-05-06</t>
        </is>
      </c>
      <c r="X808" t="inlineStr">
        <is>
          <t>1995-05-06</t>
        </is>
      </c>
      <c r="Y808" t="inlineStr">
        <is>
          <t>1993-03-04</t>
        </is>
      </c>
      <c r="Z808" t="inlineStr">
        <is>
          <t>1993-03-04</t>
        </is>
      </c>
      <c r="AA808" t="n">
        <v>349</v>
      </c>
      <c r="AB808" t="n">
        <v>244</v>
      </c>
      <c r="AC808" t="n">
        <v>249</v>
      </c>
      <c r="AD808" t="n">
        <v>1</v>
      </c>
      <c r="AE808" t="n">
        <v>1</v>
      </c>
      <c r="AF808" t="n">
        <v>6</v>
      </c>
      <c r="AG808" t="n">
        <v>6</v>
      </c>
      <c r="AH808" t="n">
        <v>0</v>
      </c>
      <c r="AI808" t="n">
        <v>0</v>
      </c>
      <c r="AJ808" t="n">
        <v>3</v>
      </c>
      <c r="AK808" t="n">
        <v>3</v>
      </c>
      <c r="AL808" t="n">
        <v>5</v>
      </c>
      <c r="AM808" t="n">
        <v>5</v>
      </c>
      <c r="AN808" t="n">
        <v>0</v>
      </c>
      <c r="AO808" t="n">
        <v>0</v>
      </c>
      <c r="AP808" t="n">
        <v>0</v>
      </c>
      <c r="AQ808" t="n">
        <v>0</v>
      </c>
      <c r="AR808" t="inlineStr">
        <is>
          <t>No</t>
        </is>
      </c>
      <c r="AS808" t="inlineStr">
        <is>
          <t>No</t>
        </is>
      </c>
      <c r="AU808">
        <f>HYPERLINK("https://creighton-primo.hosted.exlibrisgroup.com/primo-explore/search?tab=default_tab&amp;search_scope=EVERYTHING&amp;vid=01CRU&amp;lang=en_US&amp;offset=0&amp;query=any,contains,991000231009702656","Catalog Record")</f>
        <v/>
      </c>
      <c r="AV808">
        <f>HYPERLINK("http://www.worldcat.org/oclc/9643213","WorldCat Record")</f>
        <v/>
      </c>
      <c r="AW808" t="inlineStr">
        <is>
          <t>43680987:eng</t>
        </is>
      </c>
      <c r="AX808" t="inlineStr">
        <is>
          <t>9643213</t>
        </is>
      </c>
      <c r="AY808" t="inlineStr">
        <is>
          <t>991000231009702656</t>
        </is>
      </c>
      <c r="AZ808" t="inlineStr">
        <is>
          <t>991000231009702656</t>
        </is>
      </c>
      <c r="BA808" t="inlineStr">
        <is>
          <t>2270478290002656</t>
        </is>
      </c>
      <c r="BB808" t="inlineStr">
        <is>
          <t>BOOK</t>
        </is>
      </c>
      <c r="BD808" t="inlineStr">
        <is>
          <t>9780521270823</t>
        </is>
      </c>
      <c r="BE808" t="inlineStr">
        <is>
          <t>32285001563609</t>
        </is>
      </c>
      <c r="BF808" t="inlineStr">
        <is>
          <t>893327151</t>
        </is>
      </c>
    </row>
    <row r="809">
      <c r="B809" t="inlineStr">
        <is>
          <t>CURAL</t>
        </is>
      </c>
      <c r="C809" t="inlineStr">
        <is>
          <t>SHELVES</t>
        </is>
      </c>
      <c r="D809" t="inlineStr">
        <is>
          <t>QP801.C5 K7</t>
        </is>
      </c>
      <c r="E809" t="inlineStr">
        <is>
          <t>0                      QP 0801000C  5                  K  7</t>
        </is>
      </c>
      <c r="F809" t="inlineStr">
        <is>
          <t>Cholesterol.</t>
        </is>
      </c>
      <c r="H809" t="inlineStr">
        <is>
          <t>No</t>
        </is>
      </c>
      <c r="I809" t="inlineStr">
        <is>
          <t>1</t>
        </is>
      </c>
      <c r="J809" t="inlineStr">
        <is>
          <t>Yes</t>
        </is>
      </c>
      <c r="K809" t="inlineStr">
        <is>
          <t>No</t>
        </is>
      </c>
      <c r="L809" t="inlineStr">
        <is>
          <t>0</t>
        </is>
      </c>
      <c r="M809" t="inlineStr">
        <is>
          <t>Kritchevsky, David, 1920-2006.</t>
        </is>
      </c>
      <c r="N809" t="inlineStr">
        <is>
          <t>New York : Wiley, [1958]</t>
        </is>
      </c>
      <c r="O809" t="inlineStr">
        <is>
          <t>1958</t>
        </is>
      </c>
      <c r="Q809" t="inlineStr">
        <is>
          <t>eng</t>
        </is>
      </c>
      <c r="R809" t="inlineStr">
        <is>
          <t>nyu</t>
        </is>
      </c>
      <c r="T809" t="inlineStr">
        <is>
          <t xml:space="preserve">QP </t>
        </is>
      </c>
      <c r="U809" t="n">
        <v>9</v>
      </c>
      <c r="V809" t="n">
        <v>14</v>
      </c>
      <c r="W809" t="inlineStr">
        <is>
          <t>1997-10-05</t>
        </is>
      </c>
      <c r="X809" t="inlineStr">
        <is>
          <t>1999-10-09</t>
        </is>
      </c>
      <c r="Y809" t="inlineStr">
        <is>
          <t>1990-12-13</t>
        </is>
      </c>
      <c r="Z809" t="inlineStr">
        <is>
          <t>1990-12-13</t>
        </is>
      </c>
      <c r="AA809" t="n">
        <v>266</v>
      </c>
      <c r="AB809" t="n">
        <v>209</v>
      </c>
      <c r="AC809" t="n">
        <v>216</v>
      </c>
      <c r="AD809" t="n">
        <v>3</v>
      </c>
      <c r="AE809" t="n">
        <v>3</v>
      </c>
      <c r="AF809" t="n">
        <v>6</v>
      </c>
      <c r="AG809" t="n">
        <v>6</v>
      </c>
      <c r="AH809" t="n">
        <v>2</v>
      </c>
      <c r="AI809" t="n">
        <v>2</v>
      </c>
      <c r="AJ809" t="n">
        <v>3</v>
      </c>
      <c r="AK809" t="n">
        <v>3</v>
      </c>
      <c r="AL809" t="n">
        <v>2</v>
      </c>
      <c r="AM809" t="n">
        <v>2</v>
      </c>
      <c r="AN809" t="n">
        <v>1</v>
      </c>
      <c r="AO809" t="n">
        <v>1</v>
      </c>
      <c r="AP809" t="n">
        <v>0</v>
      </c>
      <c r="AQ809" t="n">
        <v>0</v>
      </c>
      <c r="AR809" t="inlineStr">
        <is>
          <t>Yes</t>
        </is>
      </c>
      <c r="AS809" t="inlineStr">
        <is>
          <t>No</t>
        </is>
      </c>
      <c r="AT809">
        <f>HYPERLINK("http://catalog.hathitrust.org/Record/001555743","HathiTrust Record")</f>
        <v/>
      </c>
      <c r="AU809">
        <f>HYPERLINK("https://creighton-primo.hosted.exlibrisgroup.com/primo-explore/search?tab=default_tab&amp;search_scope=EVERYTHING&amp;vid=01CRU&amp;lang=en_US&amp;offset=0&amp;query=any,contains,991001774679702656","Catalog Record")</f>
        <v/>
      </c>
      <c r="AV809">
        <f>HYPERLINK("http://www.worldcat.org/oclc/2157361","WorldCat Record")</f>
        <v/>
      </c>
      <c r="AW809" t="inlineStr">
        <is>
          <t>62601081:eng</t>
        </is>
      </c>
      <c r="AX809" t="inlineStr">
        <is>
          <t>2157361</t>
        </is>
      </c>
      <c r="AY809" t="inlineStr">
        <is>
          <t>991001774679702656</t>
        </is>
      </c>
      <c r="AZ809" t="inlineStr">
        <is>
          <t>991001774679702656</t>
        </is>
      </c>
      <c r="BA809" t="inlineStr">
        <is>
          <t>2255826960002656</t>
        </is>
      </c>
      <c r="BB809" t="inlineStr">
        <is>
          <t>BOOK</t>
        </is>
      </c>
      <c r="BE809" t="inlineStr">
        <is>
          <t>32285000425107</t>
        </is>
      </c>
      <c r="BF809" t="inlineStr">
        <is>
          <t>893602885</t>
        </is>
      </c>
    </row>
    <row r="810">
      <c r="B810" t="inlineStr">
        <is>
          <t>CURAL</t>
        </is>
      </c>
      <c r="C810" t="inlineStr">
        <is>
          <t>SHELVES</t>
        </is>
      </c>
      <c r="D810" t="inlineStr">
        <is>
          <t>QP801.C68 F48 1993</t>
        </is>
      </c>
      <c r="E810" t="inlineStr">
        <is>
          <t>0                      QP 0801000C  68                 F  48          1993</t>
        </is>
      </c>
      <c r="F810" t="inlineStr">
        <is>
          <t>Cocaine : an in-depth look at the facts, science, history, and future of the world's most addictive drug / John C. Flynn.</t>
        </is>
      </c>
      <c r="H810" t="inlineStr">
        <is>
          <t>No</t>
        </is>
      </c>
      <c r="I810" t="inlineStr">
        <is>
          <t>1</t>
        </is>
      </c>
      <c r="J810" t="inlineStr">
        <is>
          <t>No</t>
        </is>
      </c>
      <c r="K810" t="inlineStr">
        <is>
          <t>No</t>
        </is>
      </c>
      <c r="L810" t="inlineStr">
        <is>
          <t>0</t>
        </is>
      </c>
      <c r="M810" t="inlineStr">
        <is>
          <t>Flynn, John C.</t>
        </is>
      </c>
      <c r="N810" t="inlineStr">
        <is>
          <t>New York, N.Y. : Carol Pub. Group, c1993.</t>
        </is>
      </c>
      <c r="O810" t="inlineStr">
        <is>
          <t>1993</t>
        </is>
      </c>
      <c r="Q810" t="inlineStr">
        <is>
          <t>eng</t>
        </is>
      </c>
      <c r="R810" t="inlineStr">
        <is>
          <t>nyu</t>
        </is>
      </c>
      <c r="T810" t="inlineStr">
        <is>
          <t xml:space="preserve">QP </t>
        </is>
      </c>
      <c r="U810" t="n">
        <v>3</v>
      </c>
      <c r="V810" t="n">
        <v>3</v>
      </c>
      <c r="W810" t="inlineStr">
        <is>
          <t>2006-04-11</t>
        </is>
      </c>
      <c r="X810" t="inlineStr">
        <is>
          <t>2006-04-11</t>
        </is>
      </c>
      <c r="Y810" t="inlineStr">
        <is>
          <t>2004-05-04</t>
        </is>
      </c>
      <c r="Z810" t="inlineStr">
        <is>
          <t>2004-05-04</t>
        </is>
      </c>
      <c r="AA810" t="n">
        <v>47</v>
      </c>
      <c r="AB810" t="n">
        <v>41</v>
      </c>
      <c r="AC810" t="n">
        <v>946</v>
      </c>
      <c r="AD810" t="n">
        <v>1</v>
      </c>
      <c r="AE810" t="n">
        <v>2</v>
      </c>
      <c r="AF810" t="n">
        <v>1</v>
      </c>
      <c r="AG810" t="n">
        <v>16</v>
      </c>
      <c r="AH810" t="n">
        <v>1</v>
      </c>
      <c r="AI810" t="n">
        <v>11</v>
      </c>
      <c r="AJ810" t="n">
        <v>0</v>
      </c>
      <c r="AK810" t="n">
        <v>3</v>
      </c>
      <c r="AL810" t="n">
        <v>0</v>
      </c>
      <c r="AM810" t="n">
        <v>4</v>
      </c>
      <c r="AN810" t="n">
        <v>0</v>
      </c>
      <c r="AO810" t="n">
        <v>0</v>
      </c>
      <c r="AP810" t="n">
        <v>0</v>
      </c>
      <c r="AQ810" t="n">
        <v>1</v>
      </c>
      <c r="AR810" t="inlineStr">
        <is>
          <t>No</t>
        </is>
      </c>
      <c r="AS810" t="inlineStr">
        <is>
          <t>No</t>
        </is>
      </c>
      <c r="AU810">
        <f>HYPERLINK("https://creighton-primo.hosted.exlibrisgroup.com/primo-explore/search?tab=default_tab&amp;search_scope=EVERYTHING&amp;vid=01CRU&amp;lang=en_US&amp;offset=0&amp;query=any,contains,991003933199702656","Catalog Record")</f>
        <v/>
      </c>
      <c r="AV810">
        <f>HYPERLINK("http://www.worldcat.org/oclc/29504704","WorldCat Record")</f>
        <v/>
      </c>
      <c r="AW810" t="inlineStr">
        <is>
          <t>890485302:eng</t>
        </is>
      </c>
      <c r="AX810" t="inlineStr">
        <is>
          <t>29504704</t>
        </is>
      </c>
      <c r="AY810" t="inlineStr">
        <is>
          <t>991003933199702656</t>
        </is>
      </c>
      <c r="AZ810" t="inlineStr">
        <is>
          <t>991003933199702656</t>
        </is>
      </c>
      <c r="BA810" t="inlineStr">
        <is>
          <t>2269313970002656</t>
        </is>
      </c>
      <c r="BB810" t="inlineStr">
        <is>
          <t>BOOK</t>
        </is>
      </c>
      <c r="BD810" t="inlineStr">
        <is>
          <t>9780806514321</t>
        </is>
      </c>
      <c r="BE810" t="inlineStr">
        <is>
          <t>32285004903414</t>
        </is>
      </c>
      <c r="BF810" t="inlineStr">
        <is>
          <t>893234844</t>
        </is>
      </c>
    </row>
    <row r="811">
      <c r="B811" t="inlineStr">
        <is>
          <t>CURAL</t>
        </is>
      </c>
      <c r="C811" t="inlineStr">
        <is>
          <t>SHELVES</t>
        </is>
      </c>
      <c r="D811" t="inlineStr">
        <is>
          <t>QP801.C68 N48 1995</t>
        </is>
      </c>
      <c r="E811" t="inlineStr">
        <is>
          <t>0                      QP 0801000C  68                 N  48          1995</t>
        </is>
      </c>
      <c r="F811" t="inlineStr">
        <is>
          <t>The neurobiology of cocaine : cellular and molecular mechanisms / edited by Ronald P. Hammer, Jr.</t>
        </is>
      </c>
      <c r="H811" t="inlineStr">
        <is>
          <t>No</t>
        </is>
      </c>
      <c r="I811" t="inlineStr">
        <is>
          <t>1</t>
        </is>
      </c>
      <c r="J811" t="inlineStr">
        <is>
          <t>No</t>
        </is>
      </c>
      <c r="K811" t="inlineStr">
        <is>
          <t>No</t>
        </is>
      </c>
      <c r="L811" t="inlineStr">
        <is>
          <t>0</t>
        </is>
      </c>
      <c r="N811" t="inlineStr">
        <is>
          <t>Boca Raton : CRC Press, c1995.</t>
        </is>
      </c>
      <c r="O811" t="inlineStr">
        <is>
          <t>1995</t>
        </is>
      </c>
      <c r="Q811" t="inlineStr">
        <is>
          <t>eng</t>
        </is>
      </c>
      <c r="R811" t="inlineStr">
        <is>
          <t>flu</t>
        </is>
      </c>
      <c r="T811" t="inlineStr">
        <is>
          <t xml:space="preserve">QP </t>
        </is>
      </c>
      <c r="U811" t="n">
        <v>9</v>
      </c>
      <c r="V811" t="n">
        <v>9</v>
      </c>
      <c r="W811" t="inlineStr">
        <is>
          <t>2008-03-30</t>
        </is>
      </c>
      <c r="X811" t="inlineStr">
        <is>
          <t>2008-03-30</t>
        </is>
      </c>
      <c r="Y811" t="inlineStr">
        <is>
          <t>1996-12-12</t>
        </is>
      </c>
      <c r="Z811" t="inlineStr">
        <is>
          <t>1996-12-12</t>
        </is>
      </c>
      <c r="AA811" t="n">
        <v>159</v>
      </c>
      <c r="AB811" t="n">
        <v>115</v>
      </c>
      <c r="AC811" t="n">
        <v>120</v>
      </c>
      <c r="AD811" t="n">
        <v>3</v>
      </c>
      <c r="AE811" t="n">
        <v>3</v>
      </c>
      <c r="AF811" t="n">
        <v>8</v>
      </c>
      <c r="AG811" t="n">
        <v>8</v>
      </c>
      <c r="AH811" t="n">
        <v>2</v>
      </c>
      <c r="AI811" t="n">
        <v>2</v>
      </c>
      <c r="AJ811" t="n">
        <v>2</v>
      </c>
      <c r="AK811" t="n">
        <v>2</v>
      </c>
      <c r="AL811" t="n">
        <v>4</v>
      </c>
      <c r="AM811" t="n">
        <v>4</v>
      </c>
      <c r="AN811" t="n">
        <v>2</v>
      </c>
      <c r="AO811" t="n">
        <v>2</v>
      </c>
      <c r="AP811" t="n">
        <v>0</v>
      </c>
      <c r="AQ811" t="n">
        <v>0</v>
      </c>
      <c r="AR811" t="inlineStr">
        <is>
          <t>No</t>
        </is>
      </c>
      <c r="AS811" t="inlineStr">
        <is>
          <t>No</t>
        </is>
      </c>
      <c r="AU811">
        <f>HYPERLINK("https://creighton-primo.hosted.exlibrisgroup.com/primo-explore/search?tab=default_tab&amp;search_scope=EVERYTHING&amp;vid=01CRU&amp;lang=en_US&amp;offset=0&amp;query=any,contains,991002460879702656","Catalog Record")</f>
        <v/>
      </c>
      <c r="AV811">
        <f>HYPERLINK("http://www.worldcat.org/oclc/32052912","WorldCat Record")</f>
        <v/>
      </c>
      <c r="AW811" t="inlineStr">
        <is>
          <t>807869391:eng</t>
        </is>
      </c>
      <c r="AX811" t="inlineStr">
        <is>
          <t>32052912</t>
        </is>
      </c>
      <c r="AY811" t="inlineStr">
        <is>
          <t>991002460879702656</t>
        </is>
      </c>
      <c r="AZ811" t="inlineStr">
        <is>
          <t>991002460879702656</t>
        </is>
      </c>
      <c r="BA811" t="inlineStr">
        <is>
          <t>2267198740002656</t>
        </is>
      </c>
      <c r="BB811" t="inlineStr">
        <is>
          <t>BOOK</t>
        </is>
      </c>
      <c r="BD811" t="inlineStr">
        <is>
          <t>9780849383113</t>
        </is>
      </c>
      <c r="BE811" t="inlineStr">
        <is>
          <t>32285002393048</t>
        </is>
      </c>
      <c r="BF811" t="inlineStr">
        <is>
          <t>893786172</t>
        </is>
      </c>
    </row>
    <row r="812">
      <c r="B812" t="inlineStr">
        <is>
          <t>CURAL</t>
        </is>
      </c>
      <c r="C812" t="inlineStr">
        <is>
          <t>SHELVES</t>
        </is>
      </c>
      <c r="D812" t="inlineStr">
        <is>
          <t>QP801.C8 W54 1999</t>
        </is>
      </c>
      <c r="E812" t="inlineStr">
        <is>
          <t>0                      QP 0801000C  8                  W  54          1999</t>
        </is>
      </c>
      <c r="F812" t="inlineStr">
        <is>
          <t>Creatine : the power supplement / Melvin H. Williams, Richard B. Kreider, J. David Branch.</t>
        </is>
      </c>
      <c r="H812" t="inlineStr">
        <is>
          <t>No</t>
        </is>
      </c>
      <c r="I812" t="inlineStr">
        <is>
          <t>1</t>
        </is>
      </c>
      <c r="J812" t="inlineStr">
        <is>
          <t>No</t>
        </is>
      </c>
      <c r="K812" t="inlineStr">
        <is>
          <t>No</t>
        </is>
      </c>
      <c r="L812" t="inlineStr">
        <is>
          <t>0</t>
        </is>
      </c>
      <c r="M812" t="inlineStr">
        <is>
          <t>Williams, Melvin H.</t>
        </is>
      </c>
      <c r="N812" t="inlineStr">
        <is>
          <t>Champaign, IL : Human Kinetics, c1999.</t>
        </is>
      </c>
      <c r="O812" t="inlineStr">
        <is>
          <t>1999</t>
        </is>
      </c>
      <c r="Q812" t="inlineStr">
        <is>
          <t>eng</t>
        </is>
      </c>
      <c r="R812" t="inlineStr">
        <is>
          <t>ilu</t>
        </is>
      </c>
      <c r="T812" t="inlineStr">
        <is>
          <t xml:space="preserve">QP </t>
        </is>
      </c>
      <c r="U812" t="n">
        <v>22</v>
      </c>
      <c r="V812" t="n">
        <v>22</v>
      </c>
      <c r="W812" t="inlineStr">
        <is>
          <t>2008-10-22</t>
        </is>
      </c>
      <c r="X812" t="inlineStr">
        <is>
          <t>2008-10-22</t>
        </is>
      </c>
      <c r="Y812" t="inlineStr">
        <is>
          <t>2000-02-29</t>
        </is>
      </c>
      <c r="Z812" t="inlineStr">
        <is>
          <t>2000-02-29</t>
        </is>
      </c>
      <c r="AA812" t="n">
        <v>472</v>
      </c>
      <c r="AB812" t="n">
        <v>362</v>
      </c>
      <c r="AC812" t="n">
        <v>1012</v>
      </c>
      <c r="AD812" t="n">
        <v>2</v>
      </c>
      <c r="AE812" t="n">
        <v>3</v>
      </c>
      <c r="AF812" t="n">
        <v>10</v>
      </c>
      <c r="AG812" t="n">
        <v>19</v>
      </c>
      <c r="AH812" t="n">
        <v>5</v>
      </c>
      <c r="AI812" t="n">
        <v>10</v>
      </c>
      <c r="AJ812" t="n">
        <v>2</v>
      </c>
      <c r="AK812" t="n">
        <v>6</v>
      </c>
      <c r="AL812" t="n">
        <v>5</v>
      </c>
      <c r="AM812" t="n">
        <v>8</v>
      </c>
      <c r="AN812" t="n">
        <v>1</v>
      </c>
      <c r="AO812" t="n">
        <v>1</v>
      </c>
      <c r="AP812" t="n">
        <v>0</v>
      </c>
      <c r="AQ812" t="n">
        <v>0</v>
      </c>
      <c r="AR812" t="inlineStr">
        <is>
          <t>No</t>
        </is>
      </c>
      <c r="AS812" t="inlineStr">
        <is>
          <t>No</t>
        </is>
      </c>
      <c r="AU812">
        <f>HYPERLINK("https://creighton-primo.hosted.exlibrisgroup.com/primo-explore/search?tab=default_tab&amp;search_scope=EVERYTHING&amp;vid=01CRU&amp;lang=en_US&amp;offset=0&amp;query=any,contains,991003013329702656","Catalog Record")</f>
        <v/>
      </c>
      <c r="AV812">
        <f>HYPERLINK("http://www.worldcat.org/oclc/40940054","WorldCat Record")</f>
        <v/>
      </c>
      <c r="AW812" t="inlineStr">
        <is>
          <t>1037825:eng</t>
        </is>
      </c>
      <c r="AX812" t="inlineStr">
        <is>
          <t>40940054</t>
        </is>
      </c>
      <c r="AY812" t="inlineStr">
        <is>
          <t>991003013329702656</t>
        </is>
      </c>
      <c r="AZ812" t="inlineStr">
        <is>
          <t>991003013329702656</t>
        </is>
      </c>
      <c r="BA812" t="inlineStr">
        <is>
          <t>2264358400002656</t>
        </is>
      </c>
      <c r="BB812" t="inlineStr">
        <is>
          <t>BOOK</t>
        </is>
      </c>
      <c r="BD812" t="inlineStr">
        <is>
          <t>9780736001625</t>
        </is>
      </c>
      <c r="BE812" t="inlineStr">
        <is>
          <t>32285003665261</t>
        </is>
      </c>
      <c r="BF812" t="inlineStr">
        <is>
          <t>893518060</t>
        </is>
      </c>
    </row>
    <row r="813">
      <c r="B813" t="inlineStr">
        <is>
          <t>CURAL</t>
        </is>
      </c>
      <c r="C813" t="inlineStr">
        <is>
          <t>SHELVES</t>
        </is>
      </c>
      <c r="D813" t="inlineStr">
        <is>
          <t>QP801.H7 B46</t>
        </is>
      </c>
      <c r="E813" t="inlineStr">
        <is>
          <t>0                      QP 0801000H  7                  B  46</t>
        </is>
      </c>
      <c r="F813" t="inlineStr">
        <is>
          <t>Biochemical actions of hormones / edited by Gerald Litwack. Contributors: Julius Axelrod [and others]</t>
        </is>
      </c>
      <c r="G813" t="inlineStr">
        <is>
          <t>V. 1</t>
        </is>
      </c>
      <c r="H813" t="inlineStr">
        <is>
          <t>Yes</t>
        </is>
      </c>
      <c r="I813" t="inlineStr">
        <is>
          <t>1</t>
        </is>
      </c>
      <c r="J813" t="inlineStr">
        <is>
          <t>Yes</t>
        </is>
      </c>
      <c r="K813" t="inlineStr">
        <is>
          <t>No</t>
        </is>
      </c>
      <c r="L813" t="inlineStr">
        <is>
          <t>0</t>
        </is>
      </c>
      <c r="N813" t="inlineStr">
        <is>
          <t>New York, Academic Press, 1970-c1987.</t>
        </is>
      </c>
      <c r="O813" t="inlineStr">
        <is>
          <t>1970</t>
        </is>
      </c>
      <c r="Q813" t="inlineStr">
        <is>
          <t>eng</t>
        </is>
      </c>
      <c r="R813" t="inlineStr">
        <is>
          <t>nyu</t>
        </is>
      </c>
      <c r="T813" t="inlineStr">
        <is>
          <t xml:space="preserve">QP </t>
        </is>
      </c>
      <c r="U813" t="n">
        <v>2</v>
      </c>
      <c r="V813" t="n">
        <v>3</v>
      </c>
      <c r="W813" t="inlineStr">
        <is>
          <t>2000-02-06</t>
        </is>
      </c>
      <c r="X813" t="inlineStr">
        <is>
          <t>2000-02-06</t>
        </is>
      </c>
      <c r="Y813" t="inlineStr">
        <is>
          <t>1993-03-04</t>
        </is>
      </c>
      <c r="Z813" t="inlineStr">
        <is>
          <t>2002-09-19</t>
        </is>
      </c>
      <c r="AA813" t="n">
        <v>521</v>
      </c>
      <c r="AB813" t="n">
        <v>448</v>
      </c>
      <c r="AC813" t="n">
        <v>451</v>
      </c>
      <c r="AD813" t="n">
        <v>6</v>
      </c>
      <c r="AE813" t="n">
        <v>6</v>
      </c>
      <c r="AF813" t="n">
        <v>18</v>
      </c>
      <c r="AG813" t="n">
        <v>18</v>
      </c>
      <c r="AH813" t="n">
        <v>6</v>
      </c>
      <c r="AI813" t="n">
        <v>6</v>
      </c>
      <c r="AJ813" t="n">
        <v>5</v>
      </c>
      <c r="AK813" t="n">
        <v>5</v>
      </c>
      <c r="AL813" t="n">
        <v>10</v>
      </c>
      <c r="AM813" t="n">
        <v>10</v>
      </c>
      <c r="AN813" t="n">
        <v>4</v>
      </c>
      <c r="AO813" t="n">
        <v>4</v>
      </c>
      <c r="AP813" t="n">
        <v>0</v>
      </c>
      <c r="AQ813" t="n">
        <v>0</v>
      </c>
      <c r="AR813" t="inlineStr">
        <is>
          <t>No</t>
        </is>
      </c>
      <c r="AS813" t="inlineStr">
        <is>
          <t>Yes</t>
        </is>
      </c>
      <c r="AT813">
        <f>HYPERLINK("http://catalog.hathitrust.org/Record/010389573","HathiTrust Record")</f>
        <v/>
      </c>
      <c r="AU813">
        <f>HYPERLINK("https://creighton-primo.hosted.exlibrisgroup.com/primo-explore/search?tab=default_tab&amp;search_scope=EVERYTHING&amp;vid=01CRU&amp;lang=en_US&amp;offset=0&amp;query=any,contains,991001791689702656","Catalog Record")</f>
        <v/>
      </c>
      <c r="AV813">
        <f>HYPERLINK("http://www.worldcat.org/oclc/2258348","WorldCat Record")</f>
        <v/>
      </c>
      <c r="AW813" t="inlineStr">
        <is>
          <t>1124277457:eng</t>
        </is>
      </c>
      <c r="AX813" t="inlineStr">
        <is>
          <t>2258348</t>
        </is>
      </c>
      <c r="AY813" t="inlineStr">
        <is>
          <t>991001791689702656</t>
        </is>
      </c>
      <c r="AZ813" t="inlineStr">
        <is>
          <t>991001791689702656</t>
        </is>
      </c>
      <c r="BA813" t="inlineStr">
        <is>
          <t>2264658170002656</t>
        </is>
      </c>
      <c r="BB813" t="inlineStr">
        <is>
          <t>BOOK</t>
        </is>
      </c>
      <c r="BD813" t="inlineStr">
        <is>
          <t>9780124528017</t>
        </is>
      </c>
      <c r="BE813" t="inlineStr">
        <is>
          <t>32285001563617</t>
        </is>
      </c>
      <c r="BF813" t="inlineStr">
        <is>
          <t>893328382</t>
        </is>
      </c>
    </row>
    <row r="814">
      <c r="B814" t="inlineStr">
        <is>
          <t>CURAL</t>
        </is>
      </c>
      <c r="C814" t="inlineStr">
        <is>
          <t>SHELVES</t>
        </is>
      </c>
      <c r="D814" t="inlineStr">
        <is>
          <t>QP801.H7 B46</t>
        </is>
      </c>
      <c r="E814" t="inlineStr">
        <is>
          <t>0                      QP 0801000H  7                  B  46</t>
        </is>
      </c>
      <c r="F814" t="inlineStr">
        <is>
          <t>Biochemical actions of hormones / edited by Gerald Litwack. Contributors: Julius Axelrod [and others]</t>
        </is>
      </c>
      <c r="G814" t="inlineStr">
        <is>
          <t>V. 14</t>
        </is>
      </c>
      <c r="H814" t="inlineStr">
        <is>
          <t>Yes</t>
        </is>
      </c>
      <c r="I814" t="inlineStr">
        <is>
          <t>1</t>
        </is>
      </c>
      <c r="J814" t="inlineStr">
        <is>
          <t>No</t>
        </is>
      </c>
      <c r="K814" t="inlineStr">
        <is>
          <t>No</t>
        </is>
      </c>
      <c r="L814" t="inlineStr">
        <is>
          <t>0</t>
        </is>
      </c>
      <c r="N814" t="inlineStr">
        <is>
          <t>New York, Academic Press, 1970-c1987.</t>
        </is>
      </c>
      <c r="O814" t="inlineStr">
        <is>
          <t>1970</t>
        </is>
      </c>
      <c r="Q814" t="inlineStr">
        <is>
          <t>eng</t>
        </is>
      </c>
      <c r="R814" t="inlineStr">
        <is>
          <t>nyu</t>
        </is>
      </c>
      <c r="T814" t="inlineStr">
        <is>
          <t xml:space="preserve">QP </t>
        </is>
      </c>
      <c r="U814" t="n">
        <v>0</v>
      </c>
      <c r="V814" t="n">
        <v>3</v>
      </c>
      <c r="X814" t="inlineStr">
        <is>
          <t>2000-02-06</t>
        </is>
      </c>
      <c r="Y814" t="inlineStr">
        <is>
          <t>1993-03-04</t>
        </is>
      </c>
      <c r="Z814" t="inlineStr">
        <is>
          <t>2002-09-19</t>
        </is>
      </c>
      <c r="AA814" t="n">
        <v>521</v>
      </c>
      <c r="AB814" t="n">
        <v>448</v>
      </c>
      <c r="AC814" t="n">
        <v>451</v>
      </c>
      <c r="AD814" t="n">
        <v>6</v>
      </c>
      <c r="AE814" t="n">
        <v>6</v>
      </c>
      <c r="AF814" t="n">
        <v>18</v>
      </c>
      <c r="AG814" t="n">
        <v>18</v>
      </c>
      <c r="AH814" t="n">
        <v>6</v>
      </c>
      <c r="AI814" t="n">
        <v>6</v>
      </c>
      <c r="AJ814" t="n">
        <v>5</v>
      </c>
      <c r="AK814" t="n">
        <v>5</v>
      </c>
      <c r="AL814" t="n">
        <v>10</v>
      </c>
      <c r="AM814" t="n">
        <v>10</v>
      </c>
      <c r="AN814" t="n">
        <v>4</v>
      </c>
      <c r="AO814" t="n">
        <v>4</v>
      </c>
      <c r="AP814" t="n">
        <v>0</v>
      </c>
      <c r="AQ814" t="n">
        <v>0</v>
      </c>
      <c r="AR814" t="inlineStr">
        <is>
          <t>No</t>
        </is>
      </c>
      <c r="AS814" t="inlineStr">
        <is>
          <t>Yes</t>
        </is>
      </c>
      <c r="AT814">
        <f>HYPERLINK("http://catalog.hathitrust.org/Record/010389573","HathiTrust Record")</f>
        <v/>
      </c>
      <c r="AU814">
        <f>HYPERLINK("https://creighton-primo.hosted.exlibrisgroup.com/primo-explore/search?tab=default_tab&amp;search_scope=EVERYTHING&amp;vid=01CRU&amp;lang=en_US&amp;offset=0&amp;query=any,contains,991001791689702656","Catalog Record")</f>
        <v/>
      </c>
      <c r="AV814">
        <f>HYPERLINK("http://www.worldcat.org/oclc/2258348","WorldCat Record")</f>
        <v/>
      </c>
      <c r="AW814" t="inlineStr">
        <is>
          <t>1124277457:eng</t>
        </is>
      </c>
      <c r="AX814" t="inlineStr">
        <is>
          <t>2258348</t>
        </is>
      </c>
      <c r="AY814" t="inlineStr">
        <is>
          <t>991001791689702656</t>
        </is>
      </c>
      <c r="AZ814" t="inlineStr">
        <is>
          <t>991001791689702656</t>
        </is>
      </c>
      <c r="BA814" t="inlineStr">
        <is>
          <t>2264658170002656</t>
        </is>
      </c>
      <c r="BB814" t="inlineStr">
        <is>
          <t>BOOK</t>
        </is>
      </c>
      <c r="BD814" t="inlineStr">
        <is>
          <t>9780124528017</t>
        </is>
      </c>
      <c r="BE814" t="inlineStr">
        <is>
          <t>32285001563641</t>
        </is>
      </c>
      <c r="BF814" t="inlineStr">
        <is>
          <t>893340701</t>
        </is>
      </c>
    </row>
    <row r="815">
      <c r="B815" t="inlineStr">
        <is>
          <t>CURAL</t>
        </is>
      </c>
      <c r="C815" t="inlineStr">
        <is>
          <t>SHELVES</t>
        </is>
      </c>
      <c r="D815" t="inlineStr">
        <is>
          <t>QP801.H7 B46</t>
        </is>
      </c>
      <c r="E815" t="inlineStr">
        <is>
          <t>0                      QP 0801000H  7                  B  46</t>
        </is>
      </c>
      <c r="F815" t="inlineStr">
        <is>
          <t>Biochemical actions of hormones / edited by Gerald Litwack. Contributors: Julius Axelrod [and others]</t>
        </is>
      </c>
      <c r="G815" t="inlineStr">
        <is>
          <t>V. 12</t>
        </is>
      </c>
      <c r="H815" t="inlineStr">
        <is>
          <t>Yes</t>
        </is>
      </c>
      <c r="I815" t="inlineStr">
        <is>
          <t>1</t>
        </is>
      </c>
      <c r="J815" t="inlineStr">
        <is>
          <t>No</t>
        </is>
      </c>
      <c r="K815" t="inlineStr">
        <is>
          <t>No</t>
        </is>
      </c>
      <c r="L815" t="inlineStr">
        <is>
          <t>0</t>
        </is>
      </c>
      <c r="N815" t="inlineStr">
        <is>
          <t>New York, Academic Press, 1970-c1987.</t>
        </is>
      </c>
      <c r="O815" t="inlineStr">
        <is>
          <t>1970</t>
        </is>
      </c>
      <c r="Q815" t="inlineStr">
        <is>
          <t>eng</t>
        </is>
      </c>
      <c r="R815" t="inlineStr">
        <is>
          <t>nyu</t>
        </is>
      </c>
      <c r="T815" t="inlineStr">
        <is>
          <t xml:space="preserve">QP </t>
        </is>
      </c>
      <c r="U815" t="n">
        <v>0</v>
      </c>
      <c r="V815" t="n">
        <v>3</v>
      </c>
      <c r="X815" t="inlineStr">
        <is>
          <t>2000-02-06</t>
        </is>
      </c>
      <c r="Y815" t="inlineStr">
        <is>
          <t>1993-03-04</t>
        </is>
      </c>
      <c r="Z815" t="inlineStr">
        <is>
          <t>2002-09-19</t>
        </is>
      </c>
      <c r="AA815" t="n">
        <v>521</v>
      </c>
      <c r="AB815" t="n">
        <v>448</v>
      </c>
      <c r="AC815" t="n">
        <v>451</v>
      </c>
      <c r="AD815" t="n">
        <v>6</v>
      </c>
      <c r="AE815" t="n">
        <v>6</v>
      </c>
      <c r="AF815" t="n">
        <v>18</v>
      </c>
      <c r="AG815" t="n">
        <v>18</v>
      </c>
      <c r="AH815" t="n">
        <v>6</v>
      </c>
      <c r="AI815" t="n">
        <v>6</v>
      </c>
      <c r="AJ815" t="n">
        <v>5</v>
      </c>
      <c r="AK815" t="n">
        <v>5</v>
      </c>
      <c r="AL815" t="n">
        <v>10</v>
      </c>
      <c r="AM815" t="n">
        <v>10</v>
      </c>
      <c r="AN815" t="n">
        <v>4</v>
      </c>
      <c r="AO815" t="n">
        <v>4</v>
      </c>
      <c r="AP815" t="n">
        <v>0</v>
      </c>
      <c r="AQ815" t="n">
        <v>0</v>
      </c>
      <c r="AR815" t="inlineStr">
        <is>
          <t>No</t>
        </is>
      </c>
      <c r="AS815" t="inlineStr">
        <is>
          <t>Yes</t>
        </is>
      </c>
      <c r="AT815">
        <f>HYPERLINK("http://catalog.hathitrust.org/Record/010389573","HathiTrust Record")</f>
        <v/>
      </c>
      <c r="AU815">
        <f>HYPERLINK("https://creighton-primo.hosted.exlibrisgroup.com/primo-explore/search?tab=default_tab&amp;search_scope=EVERYTHING&amp;vid=01CRU&amp;lang=en_US&amp;offset=0&amp;query=any,contains,991001791689702656","Catalog Record")</f>
        <v/>
      </c>
      <c r="AV815">
        <f>HYPERLINK("http://www.worldcat.org/oclc/2258348","WorldCat Record")</f>
        <v/>
      </c>
      <c r="AW815" t="inlineStr">
        <is>
          <t>1124277457:eng</t>
        </is>
      </c>
      <c r="AX815" t="inlineStr">
        <is>
          <t>2258348</t>
        </is>
      </c>
      <c r="AY815" t="inlineStr">
        <is>
          <t>991001791689702656</t>
        </is>
      </c>
      <c r="AZ815" t="inlineStr">
        <is>
          <t>991001791689702656</t>
        </is>
      </c>
      <c r="BA815" t="inlineStr">
        <is>
          <t>2264658170002656</t>
        </is>
      </c>
      <c r="BB815" t="inlineStr">
        <is>
          <t>BOOK</t>
        </is>
      </c>
      <c r="BD815" t="inlineStr">
        <is>
          <t>9780124528017</t>
        </is>
      </c>
      <c r="BE815" t="inlineStr">
        <is>
          <t>32285001563633</t>
        </is>
      </c>
      <c r="BF815" t="inlineStr">
        <is>
          <t>893328381</t>
        </is>
      </c>
    </row>
    <row r="816">
      <c r="B816" t="inlineStr">
        <is>
          <t>CURAL</t>
        </is>
      </c>
      <c r="C816" t="inlineStr">
        <is>
          <t>SHELVES</t>
        </is>
      </c>
      <c r="D816" t="inlineStr">
        <is>
          <t>QP801.H7 B46</t>
        </is>
      </c>
      <c r="E816" t="inlineStr">
        <is>
          <t>0                      QP 0801000H  7                  B  46</t>
        </is>
      </c>
      <c r="F816" t="inlineStr">
        <is>
          <t>Biochemical actions of hormones / edited by Gerald Litwack. Contributors: Julius Axelrod [and others]</t>
        </is>
      </c>
      <c r="G816" t="inlineStr">
        <is>
          <t>V. 11</t>
        </is>
      </c>
      <c r="H816" t="inlineStr">
        <is>
          <t>Yes</t>
        </is>
      </c>
      <c r="I816" t="inlineStr">
        <is>
          <t>1</t>
        </is>
      </c>
      <c r="J816" t="inlineStr">
        <is>
          <t>No</t>
        </is>
      </c>
      <c r="K816" t="inlineStr">
        <is>
          <t>No</t>
        </is>
      </c>
      <c r="L816" t="inlineStr">
        <is>
          <t>0</t>
        </is>
      </c>
      <c r="N816" t="inlineStr">
        <is>
          <t>New York, Academic Press, 1970-c1987.</t>
        </is>
      </c>
      <c r="O816" t="inlineStr">
        <is>
          <t>1970</t>
        </is>
      </c>
      <c r="Q816" t="inlineStr">
        <is>
          <t>eng</t>
        </is>
      </c>
      <c r="R816" t="inlineStr">
        <is>
          <t>nyu</t>
        </is>
      </c>
      <c r="T816" t="inlineStr">
        <is>
          <t xml:space="preserve">QP </t>
        </is>
      </c>
      <c r="U816" t="n">
        <v>0</v>
      </c>
      <c r="V816" t="n">
        <v>3</v>
      </c>
      <c r="X816" t="inlineStr">
        <is>
          <t>2000-02-06</t>
        </is>
      </c>
      <c r="Y816" t="inlineStr">
        <is>
          <t>1993-03-04</t>
        </is>
      </c>
      <c r="Z816" t="inlineStr">
        <is>
          <t>2002-09-19</t>
        </is>
      </c>
      <c r="AA816" t="n">
        <v>521</v>
      </c>
      <c r="AB816" t="n">
        <v>448</v>
      </c>
      <c r="AC816" t="n">
        <v>451</v>
      </c>
      <c r="AD816" t="n">
        <v>6</v>
      </c>
      <c r="AE816" t="n">
        <v>6</v>
      </c>
      <c r="AF816" t="n">
        <v>18</v>
      </c>
      <c r="AG816" t="n">
        <v>18</v>
      </c>
      <c r="AH816" t="n">
        <v>6</v>
      </c>
      <c r="AI816" t="n">
        <v>6</v>
      </c>
      <c r="AJ816" t="n">
        <v>5</v>
      </c>
      <c r="AK816" t="n">
        <v>5</v>
      </c>
      <c r="AL816" t="n">
        <v>10</v>
      </c>
      <c r="AM816" t="n">
        <v>10</v>
      </c>
      <c r="AN816" t="n">
        <v>4</v>
      </c>
      <c r="AO816" t="n">
        <v>4</v>
      </c>
      <c r="AP816" t="n">
        <v>0</v>
      </c>
      <c r="AQ816" t="n">
        <v>0</v>
      </c>
      <c r="AR816" t="inlineStr">
        <is>
          <t>No</t>
        </is>
      </c>
      <c r="AS816" t="inlineStr">
        <is>
          <t>Yes</t>
        </is>
      </c>
      <c r="AT816">
        <f>HYPERLINK("http://catalog.hathitrust.org/Record/010389573","HathiTrust Record")</f>
        <v/>
      </c>
      <c r="AU816">
        <f>HYPERLINK("https://creighton-primo.hosted.exlibrisgroup.com/primo-explore/search?tab=default_tab&amp;search_scope=EVERYTHING&amp;vid=01CRU&amp;lang=en_US&amp;offset=0&amp;query=any,contains,991001791689702656","Catalog Record")</f>
        <v/>
      </c>
      <c r="AV816">
        <f>HYPERLINK("http://www.worldcat.org/oclc/2258348","WorldCat Record")</f>
        <v/>
      </c>
      <c r="AW816" t="inlineStr">
        <is>
          <t>1124277457:eng</t>
        </is>
      </c>
      <c r="AX816" t="inlineStr">
        <is>
          <t>2258348</t>
        </is>
      </c>
      <c r="AY816" t="inlineStr">
        <is>
          <t>991001791689702656</t>
        </is>
      </c>
      <c r="AZ816" t="inlineStr">
        <is>
          <t>991001791689702656</t>
        </is>
      </c>
      <c r="BA816" t="inlineStr">
        <is>
          <t>2264658170002656</t>
        </is>
      </c>
      <c r="BB816" t="inlineStr">
        <is>
          <t>BOOK</t>
        </is>
      </c>
      <c r="BD816" t="inlineStr">
        <is>
          <t>9780124528017</t>
        </is>
      </c>
      <c r="BE816" t="inlineStr">
        <is>
          <t>32285001563625</t>
        </is>
      </c>
      <c r="BF816" t="inlineStr">
        <is>
          <t>893322258</t>
        </is>
      </c>
    </row>
    <row r="817">
      <c r="B817" t="inlineStr">
        <is>
          <t>CURAL</t>
        </is>
      </c>
      <c r="C817" t="inlineStr">
        <is>
          <t>SHELVES</t>
        </is>
      </c>
      <c r="D817" t="inlineStr">
        <is>
          <t>QP801.H7 L46</t>
        </is>
      </c>
      <c r="E817" t="inlineStr">
        <is>
          <t>0                      QP 0801000H  7                  L  46</t>
        </is>
      </c>
      <c r="F817" t="inlineStr">
        <is>
          <t>Hormones and behavior / edited by Seymour Levine.</t>
        </is>
      </c>
      <c r="H817" t="inlineStr">
        <is>
          <t>No</t>
        </is>
      </c>
      <c r="I817" t="inlineStr">
        <is>
          <t>1</t>
        </is>
      </c>
      <c r="J817" t="inlineStr">
        <is>
          <t>No</t>
        </is>
      </c>
      <c r="K817" t="inlineStr">
        <is>
          <t>No</t>
        </is>
      </c>
      <c r="L817" t="inlineStr">
        <is>
          <t>0</t>
        </is>
      </c>
      <c r="M817" t="inlineStr">
        <is>
          <t>Levine, Seymour.</t>
        </is>
      </c>
      <c r="N817" t="inlineStr">
        <is>
          <t>New York : Academic Press, 1972.</t>
        </is>
      </c>
      <c r="O817" t="inlineStr">
        <is>
          <t>1972</t>
        </is>
      </c>
      <c r="Q817" t="inlineStr">
        <is>
          <t>eng</t>
        </is>
      </c>
      <c r="R817" t="inlineStr">
        <is>
          <t>nyu</t>
        </is>
      </c>
      <c r="T817" t="inlineStr">
        <is>
          <t xml:space="preserve">QP </t>
        </is>
      </c>
      <c r="U817" t="n">
        <v>3</v>
      </c>
      <c r="V817" t="n">
        <v>3</v>
      </c>
      <c r="W817" t="inlineStr">
        <is>
          <t>1997-10-06</t>
        </is>
      </c>
      <c r="X817" t="inlineStr">
        <is>
          <t>1997-10-06</t>
        </is>
      </c>
      <c r="Y817" t="inlineStr">
        <is>
          <t>1991-12-23</t>
        </is>
      </c>
      <c r="Z817" t="inlineStr">
        <is>
          <t>1991-12-23</t>
        </is>
      </c>
      <c r="AA817" t="n">
        <v>569</v>
      </c>
      <c r="AB817" t="n">
        <v>436</v>
      </c>
      <c r="AC817" t="n">
        <v>442</v>
      </c>
      <c r="AD817" t="n">
        <v>6</v>
      </c>
      <c r="AE817" t="n">
        <v>6</v>
      </c>
      <c r="AF817" t="n">
        <v>21</v>
      </c>
      <c r="AG817" t="n">
        <v>21</v>
      </c>
      <c r="AH817" t="n">
        <v>6</v>
      </c>
      <c r="AI817" t="n">
        <v>6</v>
      </c>
      <c r="AJ817" t="n">
        <v>4</v>
      </c>
      <c r="AK817" t="n">
        <v>4</v>
      </c>
      <c r="AL817" t="n">
        <v>9</v>
      </c>
      <c r="AM817" t="n">
        <v>9</v>
      </c>
      <c r="AN817" t="n">
        <v>5</v>
      </c>
      <c r="AO817" t="n">
        <v>5</v>
      </c>
      <c r="AP817" t="n">
        <v>0</v>
      </c>
      <c r="AQ817" t="n">
        <v>0</v>
      </c>
      <c r="AR817" t="inlineStr">
        <is>
          <t>No</t>
        </is>
      </c>
      <c r="AS817" t="inlineStr">
        <is>
          <t>No</t>
        </is>
      </c>
      <c r="AU817">
        <f>HYPERLINK("https://creighton-primo.hosted.exlibrisgroup.com/primo-explore/search?tab=default_tab&amp;search_scope=EVERYTHING&amp;vid=01CRU&amp;lang=en_US&amp;offset=0&amp;query=any,contains,991003012879702656","Catalog Record")</f>
        <v/>
      </c>
      <c r="AV817">
        <f>HYPERLINK("http://www.worldcat.org/oclc/579120","WorldCat Record")</f>
        <v/>
      </c>
      <c r="AW817" t="inlineStr">
        <is>
          <t>145239661:eng</t>
        </is>
      </c>
      <c r="AX817" t="inlineStr">
        <is>
          <t>579120</t>
        </is>
      </c>
      <c r="AY817" t="inlineStr">
        <is>
          <t>991003012879702656</t>
        </is>
      </c>
      <c r="AZ817" t="inlineStr">
        <is>
          <t>991003012879702656</t>
        </is>
      </c>
      <c r="BA817" t="inlineStr">
        <is>
          <t>2255738100002656</t>
        </is>
      </c>
      <c r="BB817" t="inlineStr">
        <is>
          <t>BOOK</t>
        </is>
      </c>
      <c r="BD817" t="inlineStr">
        <is>
          <t>9780124454507</t>
        </is>
      </c>
      <c r="BE817" t="inlineStr">
        <is>
          <t>32285000878677</t>
        </is>
      </c>
      <c r="BF817" t="inlineStr">
        <is>
          <t>893893288</t>
        </is>
      </c>
    </row>
    <row r="818">
      <c r="B818" t="inlineStr">
        <is>
          <t>CURAL</t>
        </is>
      </c>
      <c r="C818" t="inlineStr">
        <is>
          <t>SHELVES</t>
        </is>
      </c>
      <c r="D818" t="inlineStr">
        <is>
          <t>QP801.H7 S43</t>
        </is>
      </c>
      <c r="E818" t="inlineStr">
        <is>
          <t>0                      QP 0801000H  7                  S  43</t>
        </is>
      </c>
      <c r="F818" t="inlineStr">
        <is>
          <t>Hormones and resistance.</t>
        </is>
      </c>
      <c r="G818" t="inlineStr">
        <is>
          <t>V.1</t>
        </is>
      </c>
      <c r="H818" t="inlineStr">
        <is>
          <t>Yes</t>
        </is>
      </c>
      <c r="I818" t="inlineStr">
        <is>
          <t>1</t>
        </is>
      </c>
      <c r="J818" t="inlineStr">
        <is>
          <t>No</t>
        </is>
      </c>
      <c r="K818" t="inlineStr">
        <is>
          <t>No</t>
        </is>
      </c>
      <c r="L818" t="inlineStr">
        <is>
          <t>0</t>
        </is>
      </c>
      <c r="M818" t="inlineStr">
        <is>
          <t>Selye, Hans, 1907-1982.</t>
        </is>
      </c>
      <c r="N818" t="inlineStr">
        <is>
          <t>Berlin, New York, Springer-Verlag, 1971.</t>
        </is>
      </c>
      <c r="O818" t="inlineStr">
        <is>
          <t>1971</t>
        </is>
      </c>
      <c r="Q818" t="inlineStr">
        <is>
          <t>eng</t>
        </is>
      </c>
      <c r="R818" t="inlineStr">
        <is>
          <t xml:space="preserve">gw </t>
        </is>
      </c>
      <c r="T818" t="inlineStr">
        <is>
          <t xml:space="preserve">QP </t>
        </is>
      </c>
      <c r="U818" t="n">
        <v>2</v>
      </c>
      <c r="V818" t="n">
        <v>4</v>
      </c>
      <c r="W818" t="inlineStr">
        <is>
          <t>1997-10-06</t>
        </is>
      </c>
      <c r="X818" t="inlineStr">
        <is>
          <t>1997-10-06</t>
        </is>
      </c>
      <c r="Y818" t="inlineStr">
        <is>
          <t>1997-08-07</t>
        </is>
      </c>
      <c r="Z818" t="inlineStr">
        <is>
          <t>1997-08-07</t>
        </is>
      </c>
      <c r="AA818" t="n">
        <v>239</v>
      </c>
      <c r="AB818" t="n">
        <v>180</v>
      </c>
      <c r="AC818" t="n">
        <v>182</v>
      </c>
      <c r="AD818" t="n">
        <v>3</v>
      </c>
      <c r="AE818" t="n">
        <v>3</v>
      </c>
      <c r="AF818" t="n">
        <v>5</v>
      </c>
      <c r="AG818" t="n">
        <v>5</v>
      </c>
      <c r="AH818" t="n">
        <v>1</v>
      </c>
      <c r="AI818" t="n">
        <v>1</v>
      </c>
      <c r="AJ818" t="n">
        <v>1</v>
      </c>
      <c r="AK818" t="n">
        <v>1</v>
      </c>
      <c r="AL818" t="n">
        <v>2</v>
      </c>
      <c r="AM818" t="n">
        <v>2</v>
      </c>
      <c r="AN818" t="n">
        <v>2</v>
      </c>
      <c r="AO818" t="n">
        <v>2</v>
      </c>
      <c r="AP818" t="n">
        <v>0</v>
      </c>
      <c r="AQ818" t="n">
        <v>0</v>
      </c>
      <c r="AR818" t="inlineStr">
        <is>
          <t>No</t>
        </is>
      </c>
      <c r="AS818" t="inlineStr">
        <is>
          <t>Yes</t>
        </is>
      </c>
      <c r="AT818">
        <f>HYPERLINK("http://catalog.hathitrust.org/Record/001555791","HathiTrust Record")</f>
        <v/>
      </c>
      <c r="AU818">
        <f>HYPERLINK("https://creighton-primo.hosted.exlibrisgroup.com/primo-explore/search?tab=default_tab&amp;search_scope=EVERYTHING&amp;vid=01CRU&amp;lang=en_US&amp;offset=0&amp;query=any,contains,991002182719702656","Catalog Record")</f>
        <v/>
      </c>
      <c r="AV818">
        <f>HYPERLINK("http://www.worldcat.org/oclc/279192","WorldCat Record")</f>
        <v/>
      </c>
      <c r="AW818" t="inlineStr">
        <is>
          <t>1422764:eng</t>
        </is>
      </c>
      <c r="AX818" t="inlineStr">
        <is>
          <t>279192</t>
        </is>
      </c>
      <c r="AY818" t="inlineStr">
        <is>
          <t>991002182719702656</t>
        </is>
      </c>
      <c r="AZ818" t="inlineStr">
        <is>
          <t>991002182719702656</t>
        </is>
      </c>
      <c r="BA818" t="inlineStr">
        <is>
          <t>2261670420002656</t>
        </is>
      </c>
      <c r="BB818" t="inlineStr">
        <is>
          <t>BOOK</t>
        </is>
      </c>
      <c r="BD818" t="inlineStr">
        <is>
          <t>9783540054115</t>
        </is>
      </c>
      <c r="BE818" t="inlineStr">
        <is>
          <t>32285003081261</t>
        </is>
      </c>
      <c r="BF818" t="inlineStr">
        <is>
          <t>893421023</t>
        </is>
      </c>
    </row>
    <row r="819">
      <c r="B819" t="inlineStr">
        <is>
          <t>CURAL</t>
        </is>
      </c>
      <c r="C819" t="inlineStr">
        <is>
          <t>SHELVES</t>
        </is>
      </c>
      <c r="D819" t="inlineStr">
        <is>
          <t>QP801.H7 S43</t>
        </is>
      </c>
      <c r="E819" t="inlineStr">
        <is>
          <t>0                      QP 0801000H  7                  S  43</t>
        </is>
      </c>
      <c r="F819" t="inlineStr">
        <is>
          <t>Hormones and resistance.</t>
        </is>
      </c>
      <c r="G819" t="inlineStr">
        <is>
          <t>V.2</t>
        </is>
      </c>
      <c r="H819" t="inlineStr">
        <is>
          <t>Yes</t>
        </is>
      </c>
      <c r="I819" t="inlineStr">
        <is>
          <t>1</t>
        </is>
      </c>
      <c r="J819" t="inlineStr">
        <is>
          <t>No</t>
        </is>
      </c>
      <c r="K819" t="inlineStr">
        <is>
          <t>No</t>
        </is>
      </c>
      <c r="L819" t="inlineStr">
        <is>
          <t>0</t>
        </is>
      </c>
      <c r="M819" t="inlineStr">
        <is>
          <t>Selye, Hans, 1907-1982.</t>
        </is>
      </c>
      <c r="N819" t="inlineStr">
        <is>
          <t>Berlin, New York, Springer-Verlag, 1971.</t>
        </is>
      </c>
      <c r="O819" t="inlineStr">
        <is>
          <t>1971</t>
        </is>
      </c>
      <c r="Q819" t="inlineStr">
        <is>
          <t>eng</t>
        </is>
      </c>
      <c r="R819" t="inlineStr">
        <is>
          <t xml:space="preserve">gw </t>
        </is>
      </c>
      <c r="T819" t="inlineStr">
        <is>
          <t xml:space="preserve">QP </t>
        </is>
      </c>
      <c r="U819" t="n">
        <v>2</v>
      </c>
      <c r="V819" t="n">
        <v>4</v>
      </c>
      <c r="W819" t="inlineStr">
        <is>
          <t>1997-10-06</t>
        </is>
      </c>
      <c r="X819" t="inlineStr">
        <is>
          <t>1997-10-06</t>
        </is>
      </c>
      <c r="Y819" t="inlineStr">
        <is>
          <t>1997-08-07</t>
        </is>
      </c>
      <c r="Z819" t="inlineStr">
        <is>
          <t>1997-08-07</t>
        </is>
      </c>
      <c r="AA819" t="n">
        <v>239</v>
      </c>
      <c r="AB819" t="n">
        <v>180</v>
      </c>
      <c r="AC819" t="n">
        <v>182</v>
      </c>
      <c r="AD819" t="n">
        <v>3</v>
      </c>
      <c r="AE819" t="n">
        <v>3</v>
      </c>
      <c r="AF819" t="n">
        <v>5</v>
      </c>
      <c r="AG819" t="n">
        <v>5</v>
      </c>
      <c r="AH819" t="n">
        <v>1</v>
      </c>
      <c r="AI819" t="n">
        <v>1</v>
      </c>
      <c r="AJ819" t="n">
        <v>1</v>
      </c>
      <c r="AK819" t="n">
        <v>1</v>
      </c>
      <c r="AL819" t="n">
        <v>2</v>
      </c>
      <c r="AM819" t="n">
        <v>2</v>
      </c>
      <c r="AN819" t="n">
        <v>2</v>
      </c>
      <c r="AO819" t="n">
        <v>2</v>
      </c>
      <c r="AP819" t="n">
        <v>0</v>
      </c>
      <c r="AQ819" t="n">
        <v>0</v>
      </c>
      <c r="AR819" t="inlineStr">
        <is>
          <t>No</t>
        </is>
      </c>
      <c r="AS819" t="inlineStr">
        <is>
          <t>Yes</t>
        </is>
      </c>
      <c r="AT819">
        <f>HYPERLINK("http://catalog.hathitrust.org/Record/001555791","HathiTrust Record")</f>
        <v/>
      </c>
      <c r="AU819">
        <f>HYPERLINK("https://creighton-primo.hosted.exlibrisgroup.com/primo-explore/search?tab=default_tab&amp;search_scope=EVERYTHING&amp;vid=01CRU&amp;lang=en_US&amp;offset=0&amp;query=any,contains,991002182719702656","Catalog Record")</f>
        <v/>
      </c>
      <c r="AV819">
        <f>HYPERLINK("http://www.worldcat.org/oclc/279192","WorldCat Record")</f>
        <v/>
      </c>
      <c r="AW819" t="inlineStr">
        <is>
          <t>1422764:eng</t>
        </is>
      </c>
      <c r="AX819" t="inlineStr">
        <is>
          <t>279192</t>
        </is>
      </c>
      <c r="AY819" t="inlineStr">
        <is>
          <t>991002182719702656</t>
        </is>
      </c>
      <c r="AZ819" t="inlineStr">
        <is>
          <t>991002182719702656</t>
        </is>
      </c>
      <c r="BA819" t="inlineStr">
        <is>
          <t>2261670420002656</t>
        </is>
      </c>
      <c r="BB819" t="inlineStr">
        <is>
          <t>BOOK</t>
        </is>
      </c>
      <c r="BD819" t="inlineStr">
        <is>
          <t>9783540054115</t>
        </is>
      </c>
      <c r="BE819" t="inlineStr">
        <is>
          <t>32285003081279</t>
        </is>
      </c>
      <c r="BF819" t="inlineStr">
        <is>
          <t>893421022</t>
        </is>
      </c>
    </row>
    <row r="820">
      <c r="B820" t="inlineStr">
        <is>
          <t>CURAL</t>
        </is>
      </c>
      <c r="C820" t="inlineStr">
        <is>
          <t>SHELVES</t>
        </is>
      </c>
      <c r="D820" t="inlineStr">
        <is>
          <t>QP801.P638 P626 1998</t>
        </is>
      </c>
      <c r="E820" t="inlineStr">
        <is>
          <t>0                      QP 0801000P  638                P  626         1998</t>
        </is>
      </c>
      <c r="F820" t="inlineStr">
        <is>
          <t>Polyamine protocols / edited by David M.L. Morgan.</t>
        </is>
      </c>
      <c r="H820" t="inlineStr">
        <is>
          <t>No</t>
        </is>
      </c>
      <c r="I820" t="inlineStr">
        <is>
          <t>1</t>
        </is>
      </c>
      <c r="J820" t="inlineStr">
        <is>
          <t>No</t>
        </is>
      </c>
      <c r="K820" t="inlineStr">
        <is>
          <t>No</t>
        </is>
      </c>
      <c r="L820" t="inlineStr">
        <is>
          <t>0</t>
        </is>
      </c>
      <c r="N820" t="inlineStr">
        <is>
          <t>Totowa, N.J. : Humana Press, c1998.</t>
        </is>
      </c>
      <c r="O820" t="inlineStr">
        <is>
          <t>1998</t>
        </is>
      </c>
      <c r="Q820" t="inlineStr">
        <is>
          <t>eng</t>
        </is>
      </c>
      <c r="R820" t="inlineStr">
        <is>
          <t>nju</t>
        </is>
      </c>
      <c r="S820" t="inlineStr">
        <is>
          <t>Methods in molecular biology ; 79</t>
        </is>
      </c>
      <c r="T820" t="inlineStr">
        <is>
          <t xml:space="preserve">QP </t>
        </is>
      </c>
      <c r="U820" t="n">
        <v>2</v>
      </c>
      <c r="V820" t="n">
        <v>2</v>
      </c>
      <c r="W820" t="inlineStr">
        <is>
          <t>2002-08-26</t>
        </is>
      </c>
      <c r="X820" t="inlineStr">
        <is>
          <t>2002-08-26</t>
        </is>
      </c>
      <c r="Y820" t="inlineStr">
        <is>
          <t>1999-10-14</t>
        </is>
      </c>
      <c r="Z820" t="inlineStr">
        <is>
          <t>1999-10-14</t>
        </is>
      </c>
      <c r="AA820" t="n">
        <v>132</v>
      </c>
      <c r="AB820" t="n">
        <v>90</v>
      </c>
      <c r="AC820" t="n">
        <v>159</v>
      </c>
      <c r="AD820" t="n">
        <v>2</v>
      </c>
      <c r="AE820" t="n">
        <v>3</v>
      </c>
      <c r="AF820" t="n">
        <v>2</v>
      </c>
      <c r="AG820" t="n">
        <v>5</v>
      </c>
      <c r="AH820" t="n">
        <v>0</v>
      </c>
      <c r="AI820" t="n">
        <v>1</v>
      </c>
      <c r="AJ820" t="n">
        <v>0</v>
      </c>
      <c r="AK820" t="n">
        <v>1</v>
      </c>
      <c r="AL820" t="n">
        <v>1</v>
      </c>
      <c r="AM820" t="n">
        <v>2</v>
      </c>
      <c r="AN820" t="n">
        <v>1</v>
      </c>
      <c r="AO820" t="n">
        <v>2</v>
      </c>
      <c r="AP820" t="n">
        <v>0</v>
      </c>
      <c r="AQ820" t="n">
        <v>0</v>
      </c>
      <c r="AR820" t="inlineStr">
        <is>
          <t>No</t>
        </is>
      </c>
      <c r="AS820" t="inlineStr">
        <is>
          <t>Yes</t>
        </is>
      </c>
      <c r="AT820">
        <f>HYPERLINK("http://catalog.hathitrust.org/Record/003959503","HathiTrust Record")</f>
        <v/>
      </c>
      <c r="AU820">
        <f>HYPERLINK("https://creighton-primo.hosted.exlibrisgroup.com/primo-explore/search?tab=default_tab&amp;search_scope=EVERYTHING&amp;vid=01CRU&amp;lang=en_US&amp;offset=0&amp;query=any,contains,991002849999702656","Catalog Record")</f>
        <v/>
      </c>
      <c r="AV820">
        <f>HYPERLINK("http://www.worldcat.org/oclc/37553743","WorldCat Record")</f>
        <v/>
      </c>
      <c r="AW820" t="inlineStr">
        <is>
          <t>650900:eng</t>
        </is>
      </c>
      <c r="AX820" t="inlineStr">
        <is>
          <t>37553743</t>
        </is>
      </c>
      <c r="AY820" t="inlineStr">
        <is>
          <t>991002849999702656</t>
        </is>
      </c>
      <c r="AZ820" t="inlineStr">
        <is>
          <t>991002849999702656</t>
        </is>
      </c>
      <c r="BA820" t="inlineStr">
        <is>
          <t>2258836890002656</t>
        </is>
      </c>
      <c r="BB820" t="inlineStr">
        <is>
          <t>BOOK</t>
        </is>
      </c>
      <c r="BD820" t="inlineStr">
        <is>
          <t>9780896034488</t>
        </is>
      </c>
      <c r="BE820" t="inlineStr">
        <is>
          <t>32285003610846</t>
        </is>
      </c>
      <c r="BF820" t="inlineStr">
        <is>
          <t>893415727</t>
        </is>
      </c>
    </row>
    <row r="821">
      <c r="B821" t="inlineStr">
        <is>
          <t>CURAL</t>
        </is>
      </c>
      <c r="C821" t="inlineStr">
        <is>
          <t>SHELVES</t>
        </is>
      </c>
      <c r="D821" t="inlineStr">
        <is>
          <t>QP801.S6 W4</t>
        </is>
      </c>
      <c r="E821" t="inlineStr">
        <is>
          <t>0                      QP 0801000S  6                  W  4</t>
        </is>
      </c>
      <c r="F821" t="inlineStr">
        <is>
          <t>Steroid-protein interactions / [by] U. Westphal.</t>
        </is>
      </c>
      <c r="H821" t="inlineStr">
        <is>
          <t>No</t>
        </is>
      </c>
      <c r="I821" t="inlineStr">
        <is>
          <t>1</t>
        </is>
      </c>
      <c r="J821" t="inlineStr">
        <is>
          <t>No</t>
        </is>
      </c>
      <c r="K821" t="inlineStr">
        <is>
          <t>No</t>
        </is>
      </c>
      <c r="L821" t="inlineStr">
        <is>
          <t>0</t>
        </is>
      </c>
      <c r="M821" t="inlineStr">
        <is>
          <t>Westphal, U. (Ulrich), 1910-</t>
        </is>
      </c>
      <c r="N821" t="inlineStr">
        <is>
          <t>Berlin ; New York : Springer-Verlag, 1971.</t>
        </is>
      </c>
      <c r="O821" t="inlineStr">
        <is>
          <t>1971</t>
        </is>
      </c>
      <c r="Q821" t="inlineStr">
        <is>
          <t>eng</t>
        </is>
      </c>
      <c r="R821" t="inlineStr">
        <is>
          <t xml:space="preserve">gw </t>
        </is>
      </c>
      <c r="S821" t="inlineStr">
        <is>
          <t>Monographs on endocrinology ; v. 4</t>
        </is>
      </c>
      <c r="T821" t="inlineStr">
        <is>
          <t xml:space="preserve">QP </t>
        </is>
      </c>
      <c r="U821" t="n">
        <v>4</v>
      </c>
      <c r="V821" t="n">
        <v>4</v>
      </c>
      <c r="W821" t="inlineStr">
        <is>
          <t>1997-10-06</t>
        </is>
      </c>
      <c r="X821" t="inlineStr">
        <is>
          <t>1997-10-06</t>
        </is>
      </c>
      <c r="Y821" t="inlineStr">
        <is>
          <t>1990-03-28</t>
        </is>
      </c>
      <c r="Z821" t="inlineStr">
        <is>
          <t>1990-03-28</t>
        </is>
      </c>
      <c r="AA821" t="n">
        <v>281</v>
      </c>
      <c r="AB821" t="n">
        <v>216</v>
      </c>
      <c r="AC821" t="n">
        <v>238</v>
      </c>
      <c r="AD821" t="n">
        <v>2</v>
      </c>
      <c r="AE821" t="n">
        <v>2</v>
      </c>
      <c r="AF821" t="n">
        <v>7</v>
      </c>
      <c r="AG821" t="n">
        <v>7</v>
      </c>
      <c r="AH821" t="n">
        <v>1</v>
      </c>
      <c r="AI821" t="n">
        <v>1</v>
      </c>
      <c r="AJ821" t="n">
        <v>1</v>
      </c>
      <c r="AK821" t="n">
        <v>1</v>
      </c>
      <c r="AL821" t="n">
        <v>5</v>
      </c>
      <c r="AM821" t="n">
        <v>5</v>
      </c>
      <c r="AN821" t="n">
        <v>1</v>
      </c>
      <c r="AO821" t="n">
        <v>1</v>
      </c>
      <c r="AP821" t="n">
        <v>0</v>
      </c>
      <c r="AQ821" t="n">
        <v>0</v>
      </c>
      <c r="AR821" t="inlineStr">
        <is>
          <t>No</t>
        </is>
      </c>
      <c r="AS821" t="inlineStr">
        <is>
          <t>Yes</t>
        </is>
      </c>
      <c r="AT821">
        <f>HYPERLINK("http://catalog.hathitrust.org/Record/002077223","HathiTrust Record")</f>
        <v/>
      </c>
      <c r="AU821">
        <f>HYPERLINK("https://creighton-primo.hosted.exlibrisgroup.com/primo-explore/search?tab=default_tab&amp;search_scope=EVERYTHING&amp;vid=01CRU&amp;lang=en_US&amp;offset=0&amp;query=any,contains,991000879239702656","Catalog Record")</f>
        <v/>
      </c>
      <c r="AV821">
        <f>HYPERLINK("http://www.worldcat.org/oclc/152181","WorldCat Record")</f>
        <v/>
      </c>
      <c r="AW821" t="inlineStr">
        <is>
          <t>1174751:eng</t>
        </is>
      </c>
      <c r="AX821" t="inlineStr">
        <is>
          <t>152181</t>
        </is>
      </c>
      <c r="AY821" t="inlineStr">
        <is>
          <t>991000879239702656</t>
        </is>
      </c>
      <c r="AZ821" t="inlineStr">
        <is>
          <t>991000879239702656</t>
        </is>
      </c>
      <c r="BA821" t="inlineStr">
        <is>
          <t>2271849620002656</t>
        </is>
      </c>
      <c r="BB821" t="inlineStr">
        <is>
          <t>BOOK</t>
        </is>
      </c>
      <c r="BD821" t="inlineStr">
        <is>
          <t>9780387053127</t>
        </is>
      </c>
      <c r="BE821" t="inlineStr">
        <is>
          <t>32285000094002</t>
        </is>
      </c>
      <c r="BF821" t="inlineStr">
        <is>
          <t>893231502</t>
        </is>
      </c>
    </row>
    <row r="822">
      <c r="B822" t="inlineStr">
        <is>
          <t>CURAL</t>
        </is>
      </c>
      <c r="C822" t="inlineStr">
        <is>
          <t>SHELVES</t>
        </is>
      </c>
      <c r="D822" t="inlineStr">
        <is>
          <t>QP801.V5 B5858 1940</t>
        </is>
      </c>
      <c r="E822" t="inlineStr">
        <is>
          <t>0                      QP 0801000V  5                  B  5858        1940</t>
        </is>
      </c>
      <c r="F822" t="inlineStr">
        <is>
          <t>Vitamins, what they are and how they can benefit you, by Henry Borsook.</t>
        </is>
      </c>
      <c r="H822" t="inlineStr">
        <is>
          <t>No</t>
        </is>
      </c>
      <c r="I822" t="inlineStr">
        <is>
          <t>1</t>
        </is>
      </c>
      <c r="J822" t="inlineStr">
        <is>
          <t>No</t>
        </is>
      </c>
      <c r="K822" t="inlineStr">
        <is>
          <t>No</t>
        </is>
      </c>
      <c r="L822" t="inlineStr">
        <is>
          <t>0</t>
        </is>
      </c>
      <c r="M822" t="inlineStr">
        <is>
          <t>Borsook, Henry, 1897-1984.</t>
        </is>
      </c>
      <c r="N822" t="inlineStr">
        <is>
          <t>New York, The Viking press, 1940.</t>
        </is>
      </c>
      <c r="O822" t="inlineStr">
        <is>
          <t>1940</t>
        </is>
      </c>
      <c r="Q822" t="inlineStr">
        <is>
          <t>eng</t>
        </is>
      </c>
      <c r="R822" t="inlineStr">
        <is>
          <t>nyu</t>
        </is>
      </c>
      <c r="T822" t="inlineStr">
        <is>
          <t xml:space="preserve">QP </t>
        </is>
      </c>
      <c r="U822" t="n">
        <v>2</v>
      </c>
      <c r="V822" t="n">
        <v>2</v>
      </c>
      <c r="W822" t="inlineStr">
        <is>
          <t>2007-03-13</t>
        </is>
      </c>
      <c r="X822" t="inlineStr">
        <is>
          <t>2007-03-13</t>
        </is>
      </c>
      <c r="Y822" t="inlineStr">
        <is>
          <t>1997-08-07</t>
        </is>
      </c>
      <c r="Z822" t="inlineStr">
        <is>
          <t>1997-08-07</t>
        </is>
      </c>
      <c r="AA822" t="n">
        <v>134</v>
      </c>
      <c r="AB822" t="n">
        <v>125</v>
      </c>
      <c r="AC822" t="n">
        <v>205</v>
      </c>
      <c r="AD822" t="n">
        <v>4</v>
      </c>
      <c r="AE822" t="n">
        <v>4</v>
      </c>
      <c r="AF822" t="n">
        <v>4</v>
      </c>
      <c r="AG822" t="n">
        <v>5</v>
      </c>
      <c r="AH822" t="n">
        <v>2</v>
      </c>
      <c r="AI822" t="n">
        <v>3</v>
      </c>
      <c r="AJ822" t="n">
        <v>0</v>
      </c>
      <c r="AK822" t="n">
        <v>0</v>
      </c>
      <c r="AL822" t="n">
        <v>1</v>
      </c>
      <c r="AM822" t="n">
        <v>1</v>
      </c>
      <c r="AN822" t="n">
        <v>2</v>
      </c>
      <c r="AO822" t="n">
        <v>2</v>
      </c>
      <c r="AP822" t="n">
        <v>0</v>
      </c>
      <c r="AQ822" t="n">
        <v>0</v>
      </c>
      <c r="AR822" t="inlineStr">
        <is>
          <t>No</t>
        </is>
      </c>
      <c r="AS822" t="inlineStr">
        <is>
          <t>No</t>
        </is>
      </c>
      <c r="AU822">
        <f>HYPERLINK("https://creighton-primo.hosted.exlibrisgroup.com/primo-explore/search?tab=default_tab&amp;search_scope=EVERYTHING&amp;vid=01CRU&amp;lang=en_US&amp;offset=0&amp;query=any,contains,991003822619702656","Catalog Record")</f>
        <v/>
      </c>
      <c r="AV822">
        <f>HYPERLINK("http://www.worldcat.org/oclc/1562558","WorldCat Record")</f>
        <v/>
      </c>
      <c r="AW822" t="inlineStr">
        <is>
          <t>2404790:eng</t>
        </is>
      </c>
      <c r="AX822" t="inlineStr">
        <is>
          <t>1562558</t>
        </is>
      </c>
      <c r="AY822" t="inlineStr">
        <is>
          <t>991003822619702656</t>
        </is>
      </c>
      <c r="AZ822" t="inlineStr">
        <is>
          <t>991003822619702656</t>
        </is>
      </c>
      <c r="BA822" t="inlineStr">
        <is>
          <t>2263870590002656</t>
        </is>
      </c>
      <c r="BB822" t="inlineStr">
        <is>
          <t>BOOK</t>
        </is>
      </c>
      <c r="BE822" t="inlineStr">
        <is>
          <t>32285003081311</t>
        </is>
      </c>
      <c r="BF822" t="inlineStr">
        <is>
          <t>893611486</t>
        </is>
      </c>
    </row>
    <row r="823">
      <c r="B823" t="inlineStr">
        <is>
          <t>CURAL</t>
        </is>
      </c>
      <c r="C823" t="inlineStr">
        <is>
          <t>SHELVES</t>
        </is>
      </c>
      <c r="D823" t="inlineStr">
        <is>
          <t>QP81 .R45 2003</t>
        </is>
      </c>
      <c r="E823" t="inlineStr">
        <is>
          <t>0                      QP 0081000R  45          2003</t>
        </is>
      </c>
      <c r="F823" t="inlineStr">
        <is>
          <t>Remaking life &amp; death : toward an anthropology of the biosciences / edited by Sarah Franklin and Margaret Lock.</t>
        </is>
      </c>
      <c r="H823" t="inlineStr">
        <is>
          <t>No</t>
        </is>
      </c>
      <c r="I823" t="inlineStr">
        <is>
          <t>1</t>
        </is>
      </c>
      <c r="J823" t="inlineStr">
        <is>
          <t>No</t>
        </is>
      </c>
      <c r="K823" t="inlineStr">
        <is>
          <t>No</t>
        </is>
      </c>
      <c r="L823" t="inlineStr">
        <is>
          <t>0</t>
        </is>
      </c>
      <c r="N823" t="inlineStr">
        <is>
          <t>Santa Fe : School of American Research Press ; Oxford : James Currey, 2003.</t>
        </is>
      </c>
      <c r="O823" t="inlineStr">
        <is>
          <t>2003</t>
        </is>
      </c>
      <c r="P823" t="inlineStr">
        <is>
          <t>1st ed.</t>
        </is>
      </c>
      <c r="Q823" t="inlineStr">
        <is>
          <t>eng</t>
        </is>
      </c>
      <c r="R823" t="inlineStr">
        <is>
          <t>nmu</t>
        </is>
      </c>
      <c r="S823" t="inlineStr">
        <is>
          <t>School of American Research advanced seminar series</t>
        </is>
      </c>
      <c r="T823" t="inlineStr">
        <is>
          <t xml:space="preserve">QP </t>
        </is>
      </c>
      <c r="U823" t="n">
        <v>3</v>
      </c>
      <c r="V823" t="n">
        <v>3</v>
      </c>
      <c r="W823" t="inlineStr">
        <is>
          <t>2006-12-11</t>
        </is>
      </c>
      <c r="X823" t="inlineStr">
        <is>
          <t>2006-12-11</t>
        </is>
      </c>
      <c r="Y823" t="inlineStr">
        <is>
          <t>2005-03-30</t>
        </is>
      </c>
      <c r="Z823" t="inlineStr">
        <is>
          <t>2005-03-30</t>
        </is>
      </c>
      <c r="AA823" t="n">
        <v>291</v>
      </c>
      <c r="AB823" t="n">
        <v>191</v>
      </c>
      <c r="AC823" t="n">
        <v>193</v>
      </c>
      <c r="AD823" t="n">
        <v>1</v>
      </c>
      <c r="AE823" t="n">
        <v>1</v>
      </c>
      <c r="AF823" t="n">
        <v>5</v>
      </c>
      <c r="AG823" t="n">
        <v>5</v>
      </c>
      <c r="AH823" t="n">
        <v>0</v>
      </c>
      <c r="AI823" t="n">
        <v>0</v>
      </c>
      <c r="AJ823" t="n">
        <v>4</v>
      </c>
      <c r="AK823" t="n">
        <v>4</v>
      </c>
      <c r="AL823" t="n">
        <v>3</v>
      </c>
      <c r="AM823" t="n">
        <v>3</v>
      </c>
      <c r="AN823" t="n">
        <v>0</v>
      </c>
      <c r="AO823" t="n">
        <v>0</v>
      </c>
      <c r="AP823" t="n">
        <v>0</v>
      </c>
      <c r="AQ823" t="n">
        <v>0</v>
      </c>
      <c r="AR823" t="inlineStr">
        <is>
          <t>No</t>
        </is>
      </c>
      <c r="AS823" t="inlineStr">
        <is>
          <t>Yes</t>
        </is>
      </c>
      <c r="AT823">
        <f>HYPERLINK("http://catalog.hathitrust.org/Record/004321891","HathiTrust Record")</f>
        <v/>
      </c>
      <c r="AU823">
        <f>HYPERLINK("https://creighton-primo.hosted.exlibrisgroup.com/primo-explore/search?tab=default_tab&amp;search_scope=EVERYTHING&amp;vid=01CRU&amp;lang=en_US&amp;offset=0&amp;query=any,contains,991004366019702656","Catalog Record")</f>
        <v/>
      </c>
      <c r="AV823">
        <f>HYPERLINK("http://www.worldcat.org/oclc/51613865","WorldCat Record")</f>
        <v/>
      </c>
      <c r="AW823" t="inlineStr">
        <is>
          <t>837618475:eng</t>
        </is>
      </c>
      <c r="AX823" t="inlineStr">
        <is>
          <t>51613865</t>
        </is>
      </c>
      <c r="AY823" t="inlineStr">
        <is>
          <t>991004366019702656</t>
        </is>
      </c>
      <c r="AZ823" t="inlineStr">
        <is>
          <t>991004366019702656</t>
        </is>
      </c>
      <c r="BA823" t="inlineStr">
        <is>
          <t>2272687150002656</t>
        </is>
      </c>
      <c r="BB823" t="inlineStr">
        <is>
          <t>BOOK</t>
        </is>
      </c>
      <c r="BD823" t="inlineStr">
        <is>
          <t>9780852559321</t>
        </is>
      </c>
      <c r="BE823" t="inlineStr">
        <is>
          <t>32285005045876</t>
        </is>
      </c>
      <c r="BF823" t="inlineStr">
        <is>
          <t>893325277</t>
        </is>
      </c>
    </row>
    <row r="824">
      <c r="B824" t="inlineStr">
        <is>
          <t>CURAL</t>
        </is>
      </c>
      <c r="C824" t="inlineStr">
        <is>
          <t>SHELVES</t>
        </is>
      </c>
      <c r="D824" t="inlineStr">
        <is>
          <t>QP81.5 .B63 1990</t>
        </is>
      </c>
      <c r="E824" t="inlineStr">
        <is>
          <t>0                      QP 0081500B  63          1990</t>
        </is>
      </c>
      <c r="F824" t="inlineStr">
        <is>
          <t>Body/politics : women and the discourses of science / edited by Mary Jacobus, Evelyn Fox Keller, Sally Shuttleworth.</t>
        </is>
      </c>
      <c r="H824" t="inlineStr">
        <is>
          <t>No</t>
        </is>
      </c>
      <c r="I824" t="inlineStr">
        <is>
          <t>1</t>
        </is>
      </c>
      <c r="J824" t="inlineStr">
        <is>
          <t>No</t>
        </is>
      </c>
      <c r="K824" t="inlineStr">
        <is>
          <t>No</t>
        </is>
      </c>
      <c r="L824" t="inlineStr">
        <is>
          <t>0</t>
        </is>
      </c>
      <c r="N824" t="inlineStr">
        <is>
          <t>New York : Routledge, 1990.</t>
        </is>
      </c>
      <c r="O824" t="inlineStr">
        <is>
          <t>1990</t>
        </is>
      </c>
      <c r="Q824" t="inlineStr">
        <is>
          <t>eng</t>
        </is>
      </c>
      <c r="R824" t="inlineStr">
        <is>
          <t>nyu</t>
        </is>
      </c>
      <c r="T824" t="inlineStr">
        <is>
          <t xml:space="preserve">QP </t>
        </is>
      </c>
      <c r="U824" t="n">
        <v>17</v>
      </c>
      <c r="V824" t="n">
        <v>17</v>
      </c>
      <c r="W824" t="inlineStr">
        <is>
          <t>1997-02-10</t>
        </is>
      </c>
      <c r="X824" t="inlineStr">
        <is>
          <t>1997-02-10</t>
        </is>
      </c>
      <c r="Y824" t="inlineStr">
        <is>
          <t>1990-01-30</t>
        </is>
      </c>
      <c r="Z824" t="inlineStr">
        <is>
          <t>1990-01-30</t>
        </is>
      </c>
      <c r="AA824" t="n">
        <v>740</v>
      </c>
      <c r="AB824" t="n">
        <v>502</v>
      </c>
      <c r="AC824" t="n">
        <v>543</v>
      </c>
      <c r="AD824" t="n">
        <v>4</v>
      </c>
      <c r="AE824" t="n">
        <v>4</v>
      </c>
      <c r="AF824" t="n">
        <v>29</v>
      </c>
      <c r="AG824" t="n">
        <v>31</v>
      </c>
      <c r="AH824" t="n">
        <v>11</v>
      </c>
      <c r="AI824" t="n">
        <v>12</v>
      </c>
      <c r="AJ824" t="n">
        <v>8</v>
      </c>
      <c r="AK824" t="n">
        <v>9</v>
      </c>
      <c r="AL824" t="n">
        <v>15</v>
      </c>
      <c r="AM824" t="n">
        <v>15</v>
      </c>
      <c r="AN824" t="n">
        <v>3</v>
      </c>
      <c r="AO824" t="n">
        <v>3</v>
      </c>
      <c r="AP824" t="n">
        <v>1</v>
      </c>
      <c r="AQ824" t="n">
        <v>1</v>
      </c>
      <c r="AR824" t="inlineStr">
        <is>
          <t>No</t>
        </is>
      </c>
      <c r="AS824" t="inlineStr">
        <is>
          <t>Yes</t>
        </is>
      </c>
      <c r="AT824">
        <f>HYPERLINK("http://catalog.hathitrust.org/Record/001833148","HathiTrust Record")</f>
        <v/>
      </c>
      <c r="AU824">
        <f>HYPERLINK("https://creighton-primo.hosted.exlibrisgroup.com/primo-explore/search?tab=default_tab&amp;search_scope=EVERYTHING&amp;vid=01CRU&amp;lang=en_US&amp;offset=0&amp;query=any,contains,991001490619702656","Catalog Record")</f>
        <v/>
      </c>
      <c r="AV824">
        <f>HYPERLINK("http://www.worldcat.org/oclc/19722716","WorldCat Record")</f>
        <v/>
      </c>
      <c r="AW824" t="inlineStr">
        <is>
          <t>836904597:eng</t>
        </is>
      </c>
      <c r="AX824" t="inlineStr">
        <is>
          <t>19722716</t>
        </is>
      </c>
      <c r="AY824" t="inlineStr">
        <is>
          <t>991001490619702656</t>
        </is>
      </c>
      <c r="AZ824" t="inlineStr">
        <is>
          <t>991001490619702656</t>
        </is>
      </c>
      <c r="BA824" t="inlineStr">
        <is>
          <t>2256067810002656</t>
        </is>
      </c>
      <c r="BB824" t="inlineStr">
        <is>
          <t>BOOK</t>
        </is>
      </c>
      <c r="BD824" t="inlineStr">
        <is>
          <t>9780415901314</t>
        </is>
      </c>
      <c r="BE824" t="inlineStr">
        <is>
          <t>32285000035500</t>
        </is>
      </c>
      <c r="BF824" t="inlineStr">
        <is>
          <t>893596508</t>
        </is>
      </c>
    </row>
    <row r="825">
      <c r="B825" t="inlineStr">
        <is>
          <t>CURAL</t>
        </is>
      </c>
      <c r="C825" t="inlineStr">
        <is>
          <t>SHELVES</t>
        </is>
      </c>
      <c r="D825" t="inlineStr">
        <is>
          <t>QP81.5 .F38 1985</t>
        </is>
      </c>
      <c r="E825" t="inlineStr">
        <is>
          <t>0                      QP 0081500F  38          1985</t>
        </is>
      </c>
      <c r="F825" t="inlineStr">
        <is>
          <t>Myths of gender : biological theories about women and men / Anne Fausto-Sterling.</t>
        </is>
      </c>
      <c r="H825" t="inlineStr">
        <is>
          <t>No</t>
        </is>
      </c>
      <c r="I825" t="inlineStr">
        <is>
          <t>1</t>
        </is>
      </c>
      <c r="J825" t="inlineStr">
        <is>
          <t>No</t>
        </is>
      </c>
      <c r="K825" t="inlineStr">
        <is>
          <t>Yes</t>
        </is>
      </c>
      <c r="L825" t="inlineStr">
        <is>
          <t>0</t>
        </is>
      </c>
      <c r="M825" t="inlineStr">
        <is>
          <t>Fausto-Sterling, Anne, 1944-</t>
        </is>
      </c>
      <c r="N825" t="inlineStr">
        <is>
          <t>New York : Basic Books, c1985.</t>
        </is>
      </c>
      <c r="O825" t="inlineStr">
        <is>
          <t>1985</t>
        </is>
      </c>
      <c r="Q825" t="inlineStr">
        <is>
          <t>eng</t>
        </is>
      </c>
      <c r="R825" t="inlineStr">
        <is>
          <t>nyu</t>
        </is>
      </c>
      <c r="T825" t="inlineStr">
        <is>
          <t xml:space="preserve">QP </t>
        </is>
      </c>
      <c r="U825" t="n">
        <v>17</v>
      </c>
      <c r="V825" t="n">
        <v>17</v>
      </c>
      <c r="W825" t="inlineStr">
        <is>
          <t>2002-12-20</t>
        </is>
      </c>
      <c r="X825" t="inlineStr">
        <is>
          <t>2002-12-20</t>
        </is>
      </c>
      <c r="Y825" t="inlineStr">
        <is>
          <t>1990-06-29</t>
        </is>
      </c>
      <c r="Z825" t="inlineStr">
        <is>
          <t>1990-06-29</t>
        </is>
      </c>
      <c r="AA825" t="n">
        <v>1435</v>
      </c>
      <c r="AB825" t="n">
        <v>1287</v>
      </c>
      <c r="AC825" t="n">
        <v>1593</v>
      </c>
      <c r="AD825" t="n">
        <v>6</v>
      </c>
      <c r="AE825" t="n">
        <v>8</v>
      </c>
      <c r="AF825" t="n">
        <v>35</v>
      </c>
      <c r="AG825" t="n">
        <v>48</v>
      </c>
      <c r="AH825" t="n">
        <v>11</v>
      </c>
      <c r="AI825" t="n">
        <v>20</v>
      </c>
      <c r="AJ825" t="n">
        <v>9</v>
      </c>
      <c r="AK825" t="n">
        <v>10</v>
      </c>
      <c r="AL825" t="n">
        <v>17</v>
      </c>
      <c r="AM825" t="n">
        <v>22</v>
      </c>
      <c r="AN825" t="n">
        <v>4</v>
      </c>
      <c r="AO825" t="n">
        <v>6</v>
      </c>
      <c r="AP825" t="n">
        <v>2</v>
      </c>
      <c r="AQ825" t="n">
        <v>2</v>
      </c>
      <c r="AR825" t="inlineStr">
        <is>
          <t>No</t>
        </is>
      </c>
      <c r="AS825" t="inlineStr">
        <is>
          <t>Yes</t>
        </is>
      </c>
      <c r="AT825">
        <f>HYPERLINK("http://catalog.hathitrust.org/Record/000468577","HathiTrust Record")</f>
        <v/>
      </c>
      <c r="AU825">
        <f>HYPERLINK("https://creighton-primo.hosted.exlibrisgroup.com/primo-explore/search?tab=default_tab&amp;search_scope=EVERYTHING&amp;vid=01CRU&amp;lang=en_US&amp;offset=0&amp;query=any,contains,991000701679702656","Catalog Record")</f>
        <v/>
      </c>
      <c r="AV825">
        <f>HYPERLINK("http://www.worldcat.org/oclc/12550351","WorldCat Record")</f>
        <v/>
      </c>
      <c r="AW825" t="inlineStr">
        <is>
          <t>4839622:eng</t>
        </is>
      </c>
      <c r="AX825" t="inlineStr">
        <is>
          <t>12550351</t>
        </is>
      </c>
      <c r="AY825" t="inlineStr">
        <is>
          <t>991000701679702656</t>
        </is>
      </c>
      <c r="AZ825" t="inlineStr">
        <is>
          <t>991000701679702656</t>
        </is>
      </c>
      <c r="BA825" t="inlineStr">
        <is>
          <t>2267047190002656</t>
        </is>
      </c>
      <c r="BB825" t="inlineStr">
        <is>
          <t>BOOK</t>
        </is>
      </c>
      <c r="BD825" t="inlineStr">
        <is>
          <t>9780465047901</t>
        </is>
      </c>
      <c r="BE825" t="inlineStr">
        <is>
          <t>32285000217504</t>
        </is>
      </c>
      <c r="BF825" t="inlineStr">
        <is>
          <t>893790782</t>
        </is>
      </c>
    </row>
    <row r="826">
      <c r="B826" t="inlineStr">
        <is>
          <t>CURAL</t>
        </is>
      </c>
      <c r="C826" t="inlineStr">
        <is>
          <t>SHELVES</t>
        </is>
      </c>
      <c r="D826" t="inlineStr">
        <is>
          <t>QP81.5 .R56 1996</t>
        </is>
      </c>
      <c r="E826" t="inlineStr">
        <is>
          <t>0                      QP 0081500R  56          1996</t>
        </is>
      </c>
      <c r="F826" t="inlineStr">
        <is>
          <t>Why Eve doesn't have an Adam's apple : a dictionary of sex differences / Carol Ann Rinzler.</t>
        </is>
      </c>
      <c r="H826" t="inlineStr">
        <is>
          <t>No</t>
        </is>
      </c>
      <c r="I826" t="inlineStr">
        <is>
          <t>1</t>
        </is>
      </c>
      <c r="J826" t="inlineStr">
        <is>
          <t>No</t>
        </is>
      </c>
      <c r="K826" t="inlineStr">
        <is>
          <t>No</t>
        </is>
      </c>
      <c r="L826" t="inlineStr">
        <is>
          <t>0</t>
        </is>
      </c>
      <c r="M826" t="inlineStr">
        <is>
          <t>Rinzler, Carol Ann.</t>
        </is>
      </c>
      <c r="N826" t="inlineStr">
        <is>
          <t>New York, NY : Facts on File, c1996.</t>
        </is>
      </c>
      <c r="O826" t="inlineStr">
        <is>
          <t>1996</t>
        </is>
      </c>
      <c r="Q826" t="inlineStr">
        <is>
          <t>eng</t>
        </is>
      </c>
      <c r="R826" t="inlineStr">
        <is>
          <t>nyu</t>
        </is>
      </c>
      <c r="T826" t="inlineStr">
        <is>
          <t xml:space="preserve">QP </t>
        </is>
      </c>
      <c r="U826" t="n">
        <v>1</v>
      </c>
      <c r="V826" t="n">
        <v>1</v>
      </c>
      <c r="W826" t="inlineStr">
        <is>
          <t>2004-11-22</t>
        </is>
      </c>
      <c r="X826" t="inlineStr">
        <is>
          <t>2004-11-22</t>
        </is>
      </c>
      <c r="Y826" t="inlineStr">
        <is>
          <t>2004-11-22</t>
        </is>
      </c>
      <c r="Z826" t="inlineStr">
        <is>
          <t>2004-11-22</t>
        </is>
      </c>
      <c r="AA826" t="n">
        <v>494</v>
      </c>
      <c r="AB826" t="n">
        <v>462</v>
      </c>
      <c r="AC826" t="n">
        <v>467</v>
      </c>
      <c r="AD826" t="n">
        <v>3</v>
      </c>
      <c r="AE826" t="n">
        <v>3</v>
      </c>
      <c r="AF826" t="n">
        <v>7</v>
      </c>
      <c r="AG826" t="n">
        <v>7</v>
      </c>
      <c r="AH826" t="n">
        <v>0</v>
      </c>
      <c r="AI826" t="n">
        <v>0</v>
      </c>
      <c r="AJ826" t="n">
        <v>1</v>
      </c>
      <c r="AK826" t="n">
        <v>1</v>
      </c>
      <c r="AL826" t="n">
        <v>5</v>
      </c>
      <c r="AM826" t="n">
        <v>5</v>
      </c>
      <c r="AN826" t="n">
        <v>2</v>
      </c>
      <c r="AO826" t="n">
        <v>2</v>
      </c>
      <c r="AP826" t="n">
        <v>0</v>
      </c>
      <c r="AQ826" t="n">
        <v>0</v>
      </c>
      <c r="AR826" t="inlineStr">
        <is>
          <t>No</t>
        </is>
      </c>
      <c r="AS826" t="inlineStr">
        <is>
          <t>No</t>
        </is>
      </c>
      <c r="AU826">
        <f>HYPERLINK("https://creighton-primo.hosted.exlibrisgroup.com/primo-explore/search?tab=default_tab&amp;search_scope=EVERYTHING&amp;vid=01CRU&amp;lang=en_US&amp;offset=0&amp;query=any,contains,991004407489702656","Catalog Record")</f>
        <v/>
      </c>
      <c r="AV826">
        <f>HYPERLINK("http://www.worldcat.org/oclc/33359890","WorldCat Record")</f>
        <v/>
      </c>
      <c r="AW826" t="inlineStr">
        <is>
          <t>37602294:eng</t>
        </is>
      </c>
      <c r="AX826" t="inlineStr">
        <is>
          <t>33359890</t>
        </is>
      </c>
      <c r="AY826" t="inlineStr">
        <is>
          <t>991004407489702656</t>
        </is>
      </c>
      <c r="AZ826" t="inlineStr">
        <is>
          <t>991004407489702656</t>
        </is>
      </c>
      <c r="BA826" t="inlineStr">
        <is>
          <t>2263142570002656</t>
        </is>
      </c>
      <c r="BB826" t="inlineStr">
        <is>
          <t>BOOK</t>
        </is>
      </c>
      <c r="BD826" t="inlineStr">
        <is>
          <t>9780816033522</t>
        </is>
      </c>
      <c r="BE826" t="inlineStr">
        <is>
          <t>32285005010490</t>
        </is>
      </c>
      <c r="BF826" t="inlineStr">
        <is>
          <t>893599807</t>
        </is>
      </c>
    </row>
    <row r="827">
      <c r="B827" t="inlineStr">
        <is>
          <t>CURAL</t>
        </is>
      </c>
      <c r="C827" t="inlineStr">
        <is>
          <t>SHELVES</t>
        </is>
      </c>
      <c r="D827" t="inlineStr">
        <is>
          <t>QP81.5 .S35 1993</t>
        </is>
      </c>
      <c r="E827" t="inlineStr">
        <is>
          <t>0                      QP 0081500S  35          1993</t>
        </is>
      </c>
      <c r="F827" t="inlineStr">
        <is>
          <t>Nature's body : gender in the making of modern science / Londa Schiebinger.</t>
        </is>
      </c>
      <c r="H827" t="inlineStr">
        <is>
          <t>No</t>
        </is>
      </c>
      <c r="I827" t="inlineStr">
        <is>
          <t>1</t>
        </is>
      </c>
      <c r="J827" t="inlineStr">
        <is>
          <t>No</t>
        </is>
      </c>
      <c r="K827" t="inlineStr">
        <is>
          <t>No</t>
        </is>
      </c>
      <c r="L827" t="inlineStr">
        <is>
          <t>0</t>
        </is>
      </c>
      <c r="M827" t="inlineStr">
        <is>
          <t>Schiebinger, Londa L.</t>
        </is>
      </c>
      <c r="N827" t="inlineStr">
        <is>
          <t>Boston : Beacon Press, c1993.</t>
        </is>
      </c>
      <c r="O827" t="inlineStr">
        <is>
          <t>1993</t>
        </is>
      </c>
      <c r="Q827" t="inlineStr">
        <is>
          <t>eng</t>
        </is>
      </c>
      <c r="R827" t="inlineStr">
        <is>
          <t>mau</t>
        </is>
      </c>
      <c r="T827" t="inlineStr">
        <is>
          <t xml:space="preserve">QP </t>
        </is>
      </c>
      <c r="U827" t="n">
        <v>9</v>
      </c>
      <c r="V827" t="n">
        <v>9</v>
      </c>
      <c r="W827" t="inlineStr">
        <is>
          <t>2000-02-08</t>
        </is>
      </c>
      <c r="X827" t="inlineStr">
        <is>
          <t>2000-02-08</t>
        </is>
      </c>
      <c r="Y827" t="inlineStr">
        <is>
          <t>1994-02-11</t>
        </is>
      </c>
      <c r="Z827" t="inlineStr">
        <is>
          <t>1994-02-11</t>
        </is>
      </c>
      <c r="AA827" t="n">
        <v>852</v>
      </c>
      <c r="AB827" t="n">
        <v>739</v>
      </c>
      <c r="AC827" t="n">
        <v>990</v>
      </c>
      <c r="AD827" t="n">
        <v>9</v>
      </c>
      <c r="AE827" t="n">
        <v>9</v>
      </c>
      <c r="AF827" t="n">
        <v>33</v>
      </c>
      <c r="AG827" t="n">
        <v>46</v>
      </c>
      <c r="AH827" t="n">
        <v>10</v>
      </c>
      <c r="AI827" t="n">
        <v>18</v>
      </c>
      <c r="AJ827" t="n">
        <v>7</v>
      </c>
      <c r="AK827" t="n">
        <v>11</v>
      </c>
      <c r="AL827" t="n">
        <v>13</v>
      </c>
      <c r="AM827" t="n">
        <v>19</v>
      </c>
      <c r="AN827" t="n">
        <v>7</v>
      </c>
      <c r="AO827" t="n">
        <v>7</v>
      </c>
      <c r="AP827" t="n">
        <v>1</v>
      </c>
      <c r="AQ827" t="n">
        <v>1</v>
      </c>
      <c r="AR827" t="inlineStr">
        <is>
          <t>No</t>
        </is>
      </c>
      <c r="AS827" t="inlineStr">
        <is>
          <t>Yes</t>
        </is>
      </c>
      <c r="AT827">
        <f>HYPERLINK("http://catalog.hathitrust.org/Record/002732105","HathiTrust Record")</f>
        <v/>
      </c>
      <c r="AU827">
        <f>HYPERLINK("https://creighton-primo.hosted.exlibrisgroup.com/primo-explore/search?tab=default_tab&amp;search_scope=EVERYTHING&amp;vid=01CRU&amp;lang=en_US&amp;offset=0&amp;query=any,contains,991002121989702656","Catalog Record")</f>
        <v/>
      </c>
      <c r="AV827">
        <f>HYPERLINK("http://www.worldcat.org/oclc/27186489","WorldCat Record")</f>
        <v/>
      </c>
      <c r="AW827" t="inlineStr">
        <is>
          <t>291591703:eng</t>
        </is>
      </c>
      <c r="AX827" t="inlineStr">
        <is>
          <t>27186489</t>
        </is>
      </c>
      <c r="AY827" t="inlineStr">
        <is>
          <t>991002121989702656</t>
        </is>
      </c>
      <c r="AZ827" t="inlineStr">
        <is>
          <t>991002121989702656</t>
        </is>
      </c>
      <c r="BA827" t="inlineStr">
        <is>
          <t>2270517900002656</t>
        </is>
      </c>
      <c r="BB827" t="inlineStr">
        <is>
          <t>BOOK</t>
        </is>
      </c>
      <c r="BD827" t="inlineStr">
        <is>
          <t>9780807089002</t>
        </is>
      </c>
      <c r="BE827" t="inlineStr">
        <is>
          <t>32285001841773</t>
        </is>
      </c>
      <c r="BF827" t="inlineStr">
        <is>
          <t>893408717</t>
        </is>
      </c>
    </row>
    <row r="828">
      <c r="B828" t="inlineStr">
        <is>
          <t>CURAL</t>
        </is>
      </c>
      <c r="C828" t="inlineStr">
        <is>
          <t>SHELVES</t>
        </is>
      </c>
      <c r="D828" t="inlineStr">
        <is>
          <t>QP81.6 .B87 1996</t>
        </is>
      </c>
      <c r="E828" t="inlineStr">
        <is>
          <t>0                      QP 0081600B  87          1996</t>
        </is>
      </c>
      <c r="F828" t="inlineStr">
        <is>
          <t>A separate creation : the search for the biological origins of sexual orientation / Chandler Burr.</t>
        </is>
      </c>
      <c r="H828" t="inlineStr">
        <is>
          <t>No</t>
        </is>
      </c>
      <c r="I828" t="inlineStr">
        <is>
          <t>1</t>
        </is>
      </c>
      <c r="J828" t="inlineStr">
        <is>
          <t>No</t>
        </is>
      </c>
      <c r="K828" t="inlineStr">
        <is>
          <t>No</t>
        </is>
      </c>
      <c r="L828" t="inlineStr">
        <is>
          <t>0</t>
        </is>
      </c>
      <c r="M828" t="inlineStr">
        <is>
          <t>Burr, Chandler, 1963-</t>
        </is>
      </c>
      <c r="N828" t="inlineStr">
        <is>
          <t>New York : Hyperion, c1996.</t>
        </is>
      </c>
      <c r="O828" t="inlineStr">
        <is>
          <t>1996</t>
        </is>
      </c>
      <c r="P828" t="inlineStr">
        <is>
          <t>1st ed.</t>
        </is>
      </c>
      <c r="Q828" t="inlineStr">
        <is>
          <t>eng</t>
        </is>
      </c>
      <c r="R828" t="inlineStr">
        <is>
          <t>nyu</t>
        </is>
      </c>
      <c r="T828" t="inlineStr">
        <is>
          <t xml:space="preserve">QP </t>
        </is>
      </c>
      <c r="U828" t="n">
        <v>3</v>
      </c>
      <c r="V828" t="n">
        <v>3</v>
      </c>
      <c r="W828" t="inlineStr">
        <is>
          <t>2001-04-18</t>
        </is>
      </c>
      <c r="X828" t="inlineStr">
        <is>
          <t>2001-04-18</t>
        </is>
      </c>
      <c r="Y828" t="inlineStr">
        <is>
          <t>1997-01-27</t>
        </is>
      </c>
      <c r="Z828" t="inlineStr">
        <is>
          <t>1997-01-27</t>
        </is>
      </c>
      <c r="AA828" t="n">
        <v>1073</v>
      </c>
      <c r="AB828" t="n">
        <v>1003</v>
      </c>
      <c r="AC828" t="n">
        <v>1007</v>
      </c>
      <c r="AD828" t="n">
        <v>10</v>
      </c>
      <c r="AE828" t="n">
        <v>10</v>
      </c>
      <c r="AF828" t="n">
        <v>33</v>
      </c>
      <c r="AG828" t="n">
        <v>33</v>
      </c>
      <c r="AH828" t="n">
        <v>12</v>
      </c>
      <c r="AI828" t="n">
        <v>12</v>
      </c>
      <c r="AJ828" t="n">
        <v>7</v>
      </c>
      <c r="AK828" t="n">
        <v>7</v>
      </c>
      <c r="AL828" t="n">
        <v>17</v>
      </c>
      <c r="AM828" t="n">
        <v>17</v>
      </c>
      <c r="AN828" t="n">
        <v>5</v>
      </c>
      <c r="AO828" t="n">
        <v>5</v>
      </c>
      <c r="AP828" t="n">
        <v>0</v>
      </c>
      <c r="AQ828" t="n">
        <v>0</v>
      </c>
      <c r="AR828" t="inlineStr">
        <is>
          <t>No</t>
        </is>
      </c>
      <c r="AS828" t="inlineStr">
        <is>
          <t>No</t>
        </is>
      </c>
      <c r="AU828">
        <f>HYPERLINK("https://creighton-primo.hosted.exlibrisgroup.com/primo-explore/search?tab=default_tab&amp;search_scope=EVERYTHING&amp;vid=01CRU&amp;lang=en_US&amp;offset=0&amp;query=any,contains,991002582999702656","Catalog Record")</f>
        <v/>
      </c>
      <c r="AV828">
        <f>HYPERLINK("http://www.worldcat.org/oclc/33862740","WorldCat Record")</f>
        <v/>
      </c>
      <c r="AW828" t="inlineStr">
        <is>
          <t>640969:eng</t>
        </is>
      </c>
      <c r="AX828" t="inlineStr">
        <is>
          <t>33862740</t>
        </is>
      </c>
      <c r="AY828" t="inlineStr">
        <is>
          <t>991002582999702656</t>
        </is>
      </c>
      <c r="AZ828" t="inlineStr">
        <is>
          <t>991002582999702656</t>
        </is>
      </c>
      <c r="BA828" t="inlineStr">
        <is>
          <t>2266787690002656</t>
        </is>
      </c>
      <c r="BB828" t="inlineStr">
        <is>
          <t>BOOK</t>
        </is>
      </c>
      <c r="BD828" t="inlineStr">
        <is>
          <t>9780786860814</t>
        </is>
      </c>
      <c r="BE828" t="inlineStr">
        <is>
          <t>32285002411501</t>
        </is>
      </c>
      <c r="BF828" t="inlineStr">
        <is>
          <t>893903978</t>
        </is>
      </c>
    </row>
    <row r="829">
      <c r="B829" t="inlineStr">
        <is>
          <t>CURAL</t>
        </is>
      </c>
      <c r="C829" t="inlineStr">
        <is>
          <t>SHELVES</t>
        </is>
      </c>
      <c r="D829" t="inlineStr">
        <is>
          <t>QP81.6 .S48 1995</t>
        </is>
      </c>
      <c r="E829" t="inlineStr">
        <is>
          <t>0                      QP 0081600S  48          1995</t>
        </is>
      </c>
      <c r="F829" t="inlineStr">
        <is>
          <t>Sex, cells, and same-sex desire : the biology of sexual preference / John P. De Cecco, David Allen Parker, editors.</t>
        </is>
      </c>
      <c r="H829" t="inlineStr">
        <is>
          <t>No</t>
        </is>
      </c>
      <c r="I829" t="inlineStr">
        <is>
          <t>1</t>
        </is>
      </c>
      <c r="J829" t="inlineStr">
        <is>
          <t>No</t>
        </is>
      </c>
      <c r="K829" t="inlineStr">
        <is>
          <t>No</t>
        </is>
      </c>
      <c r="L829" t="inlineStr">
        <is>
          <t>0</t>
        </is>
      </c>
      <c r="N829" t="inlineStr">
        <is>
          <t>New York : Haworth Press, c1995.</t>
        </is>
      </c>
      <c r="O829" t="inlineStr">
        <is>
          <t>1995</t>
        </is>
      </c>
      <c r="Q829" t="inlineStr">
        <is>
          <t>eng</t>
        </is>
      </c>
      <c r="R829" t="inlineStr">
        <is>
          <t>nyu</t>
        </is>
      </c>
      <c r="S829" t="inlineStr">
        <is>
          <t>Journal of homosexuality, 0091-8369 ; v. 28, no. 1/2, 3/4</t>
        </is>
      </c>
      <c r="T829" t="inlineStr">
        <is>
          <t xml:space="preserve">QP </t>
        </is>
      </c>
      <c r="U829" t="n">
        <v>5</v>
      </c>
      <c r="V829" t="n">
        <v>5</v>
      </c>
      <c r="W829" t="inlineStr">
        <is>
          <t>2010-04-20</t>
        </is>
      </c>
      <c r="X829" t="inlineStr">
        <is>
          <t>2010-04-20</t>
        </is>
      </c>
      <c r="Y829" t="inlineStr">
        <is>
          <t>2010-01-04</t>
        </is>
      </c>
      <c r="Z829" t="inlineStr">
        <is>
          <t>2010-01-04</t>
        </is>
      </c>
      <c r="AA829" t="n">
        <v>155</v>
      </c>
      <c r="AB829" t="n">
        <v>130</v>
      </c>
      <c r="AC829" t="n">
        <v>165</v>
      </c>
      <c r="AD829" t="n">
        <v>3</v>
      </c>
      <c r="AE829" t="n">
        <v>3</v>
      </c>
      <c r="AF829" t="n">
        <v>5</v>
      </c>
      <c r="AG829" t="n">
        <v>5</v>
      </c>
      <c r="AH829" t="n">
        <v>0</v>
      </c>
      <c r="AI829" t="n">
        <v>0</v>
      </c>
      <c r="AJ829" t="n">
        <v>1</v>
      </c>
      <c r="AK829" t="n">
        <v>1</v>
      </c>
      <c r="AL829" t="n">
        <v>3</v>
      </c>
      <c r="AM829" t="n">
        <v>3</v>
      </c>
      <c r="AN829" t="n">
        <v>2</v>
      </c>
      <c r="AO829" t="n">
        <v>2</v>
      </c>
      <c r="AP829" t="n">
        <v>0</v>
      </c>
      <c r="AQ829" t="n">
        <v>0</v>
      </c>
      <c r="AR829" t="inlineStr">
        <is>
          <t>No</t>
        </is>
      </c>
      <c r="AS829" t="inlineStr">
        <is>
          <t>No</t>
        </is>
      </c>
      <c r="AU829">
        <f>HYPERLINK("https://creighton-primo.hosted.exlibrisgroup.com/primo-explore/search?tab=default_tab&amp;search_scope=EVERYTHING&amp;vid=01CRU&amp;lang=en_US&amp;offset=0&amp;query=any,contains,991005347569702656","Catalog Record")</f>
        <v/>
      </c>
      <c r="AV829">
        <f>HYPERLINK("http://www.worldcat.org/oclc/32346702","WorldCat Record")</f>
        <v/>
      </c>
      <c r="AW829" t="inlineStr">
        <is>
          <t>375411772:eng</t>
        </is>
      </c>
      <c r="AX829" t="inlineStr">
        <is>
          <t>32346702</t>
        </is>
      </c>
      <c r="AY829" t="inlineStr">
        <is>
          <t>991005347569702656</t>
        </is>
      </c>
      <c r="AZ829" t="inlineStr">
        <is>
          <t>991005347569702656</t>
        </is>
      </c>
      <c r="BA829" t="inlineStr">
        <is>
          <t>2260591280002656</t>
        </is>
      </c>
      <c r="BB829" t="inlineStr">
        <is>
          <t>BOOK</t>
        </is>
      </c>
      <c r="BD829" t="inlineStr">
        <is>
          <t>9781560230601</t>
        </is>
      </c>
      <c r="BE829" t="inlineStr">
        <is>
          <t>32285005555155</t>
        </is>
      </c>
      <c r="BF829" t="inlineStr">
        <is>
          <t>893501729</t>
        </is>
      </c>
    </row>
    <row r="830">
      <c r="B830" t="inlineStr">
        <is>
          <t>CURAL</t>
        </is>
      </c>
      <c r="C830" t="inlineStr">
        <is>
          <t>SHELVES</t>
        </is>
      </c>
      <c r="D830" t="inlineStr">
        <is>
          <t>QP82 .B87</t>
        </is>
      </c>
      <c r="E830" t="inlineStr">
        <is>
          <t>0                      QP 0082000B  87</t>
        </is>
      </c>
      <c r="F830" t="inlineStr">
        <is>
          <t>Man in a cold environment : physiological and pathological effects of exposure to low temperatures / by Alan C. Burton and Otto G. Edholm.</t>
        </is>
      </c>
      <c r="H830" t="inlineStr">
        <is>
          <t>No</t>
        </is>
      </c>
      <c r="I830" t="inlineStr">
        <is>
          <t>1</t>
        </is>
      </c>
      <c r="J830" t="inlineStr">
        <is>
          <t>Yes</t>
        </is>
      </c>
      <c r="K830" t="inlineStr">
        <is>
          <t>No</t>
        </is>
      </c>
      <c r="L830" t="inlineStr">
        <is>
          <t>0</t>
        </is>
      </c>
      <c r="M830" t="inlineStr">
        <is>
          <t>Burton, Alan C. (Alan Chadburn), 1904-</t>
        </is>
      </c>
      <c r="N830" t="inlineStr">
        <is>
          <t>London : Arnold, [1955]</t>
        </is>
      </c>
      <c r="O830" t="inlineStr">
        <is>
          <t>1955</t>
        </is>
      </c>
      <c r="Q830" t="inlineStr">
        <is>
          <t>eng</t>
        </is>
      </c>
      <c r="R830" t="inlineStr">
        <is>
          <t>enk</t>
        </is>
      </c>
      <c r="S830" t="inlineStr">
        <is>
          <t>Monographs of the Physiological Society ; no. 2</t>
        </is>
      </c>
      <c r="T830" t="inlineStr">
        <is>
          <t xml:space="preserve">QP </t>
        </is>
      </c>
      <c r="U830" t="n">
        <v>0</v>
      </c>
      <c r="V830" t="n">
        <v>5</v>
      </c>
      <c r="X830" t="inlineStr">
        <is>
          <t>1992-04-08</t>
        </is>
      </c>
      <c r="Y830" t="inlineStr">
        <is>
          <t>2000-02-02</t>
        </is>
      </c>
      <c r="Z830" t="inlineStr">
        <is>
          <t>2000-02-02</t>
        </is>
      </c>
      <c r="AA830" t="n">
        <v>223</v>
      </c>
      <c r="AB830" t="n">
        <v>139</v>
      </c>
      <c r="AC830" t="n">
        <v>195</v>
      </c>
      <c r="AD830" t="n">
        <v>3</v>
      </c>
      <c r="AE830" t="n">
        <v>3</v>
      </c>
      <c r="AF830" t="n">
        <v>5</v>
      </c>
      <c r="AG830" t="n">
        <v>7</v>
      </c>
      <c r="AH830" t="n">
        <v>1</v>
      </c>
      <c r="AI830" t="n">
        <v>1</v>
      </c>
      <c r="AJ830" t="n">
        <v>2</v>
      </c>
      <c r="AK830" t="n">
        <v>4</v>
      </c>
      <c r="AL830" t="n">
        <v>2</v>
      </c>
      <c r="AM830" t="n">
        <v>3</v>
      </c>
      <c r="AN830" t="n">
        <v>1</v>
      </c>
      <c r="AO830" t="n">
        <v>1</v>
      </c>
      <c r="AP830" t="n">
        <v>0</v>
      </c>
      <c r="AQ830" t="n">
        <v>0</v>
      </c>
      <c r="AR830" t="inlineStr">
        <is>
          <t>No</t>
        </is>
      </c>
      <c r="AS830" t="inlineStr">
        <is>
          <t>Yes</t>
        </is>
      </c>
      <c r="AT830">
        <f>HYPERLINK("http://catalog.hathitrust.org/Record/002076364","HathiTrust Record")</f>
        <v/>
      </c>
      <c r="AU830">
        <f>HYPERLINK("https://creighton-primo.hosted.exlibrisgroup.com/primo-explore/search?tab=default_tab&amp;search_scope=EVERYTHING&amp;vid=01CRU&amp;lang=en_US&amp;offset=0&amp;query=any,contains,991001771439702656","Catalog Record")</f>
        <v/>
      </c>
      <c r="AV830">
        <f>HYPERLINK("http://www.worldcat.org/oclc/2397337","WorldCat Record")</f>
        <v/>
      </c>
      <c r="AW830" t="inlineStr">
        <is>
          <t>1324362:eng</t>
        </is>
      </c>
      <c r="AX830" t="inlineStr">
        <is>
          <t>2397337</t>
        </is>
      </c>
      <c r="AY830" t="inlineStr">
        <is>
          <t>991001771439702656</t>
        </is>
      </c>
      <c r="AZ830" t="inlineStr">
        <is>
          <t>991001771439702656</t>
        </is>
      </c>
      <c r="BA830" t="inlineStr">
        <is>
          <t>2257249740002656</t>
        </is>
      </c>
      <c r="BB830" t="inlineStr">
        <is>
          <t>BOOK</t>
        </is>
      </c>
      <c r="BE830" t="inlineStr">
        <is>
          <t>32285003658324</t>
        </is>
      </c>
      <c r="BF830" t="inlineStr">
        <is>
          <t>893244394</t>
        </is>
      </c>
    </row>
    <row r="831">
      <c r="B831" t="inlineStr">
        <is>
          <t>CURAL</t>
        </is>
      </c>
      <c r="C831" t="inlineStr">
        <is>
          <t>SHELVES</t>
        </is>
      </c>
      <c r="D831" t="inlineStr">
        <is>
          <t>QP82 .E3</t>
        </is>
      </c>
      <c r="E831" t="inlineStr">
        <is>
          <t>0                      QP 0082000E  3</t>
        </is>
      </c>
      <c r="F831" t="inlineStr">
        <is>
          <t>The physiology of human survival, edited by O.G. Edholm and A.L. Bacharach.</t>
        </is>
      </c>
      <c r="H831" t="inlineStr">
        <is>
          <t>No</t>
        </is>
      </c>
      <c r="I831" t="inlineStr">
        <is>
          <t>1</t>
        </is>
      </c>
      <c r="J831" t="inlineStr">
        <is>
          <t>No</t>
        </is>
      </c>
      <c r="K831" t="inlineStr">
        <is>
          <t>No</t>
        </is>
      </c>
      <c r="L831" t="inlineStr">
        <is>
          <t>0</t>
        </is>
      </c>
      <c r="M831" t="inlineStr">
        <is>
          <t>Edholm, O. G. (Otto Gustaf)</t>
        </is>
      </c>
      <c r="N831" t="inlineStr">
        <is>
          <t>London, New York, Academic Press, 1965.</t>
        </is>
      </c>
      <c r="O831" t="inlineStr">
        <is>
          <t>1965</t>
        </is>
      </c>
      <c r="Q831" t="inlineStr">
        <is>
          <t>eng</t>
        </is>
      </c>
      <c r="R831" t="inlineStr">
        <is>
          <t>enk</t>
        </is>
      </c>
      <c r="T831" t="inlineStr">
        <is>
          <t xml:space="preserve">QP </t>
        </is>
      </c>
      <c r="U831" t="n">
        <v>2</v>
      </c>
      <c r="V831" t="n">
        <v>2</v>
      </c>
      <c r="W831" t="inlineStr">
        <is>
          <t>2004-03-30</t>
        </is>
      </c>
      <c r="X831" t="inlineStr">
        <is>
          <t>2004-03-30</t>
        </is>
      </c>
      <c r="Y831" t="inlineStr">
        <is>
          <t>1997-08-04</t>
        </is>
      </c>
      <c r="Z831" t="inlineStr">
        <is>
          <t>1997-08-04</t>
        </is>
      </c>
      <c r="AA831" t="n">
        <v>452</v>
      </c>
      <c r="AB831" t="n">
        <v>331</v>
      </c>
      <c r="AC831" t="n">
        <v>334</v>
      </c>
      <c r="AD831" t="n">
        <v>3</v>
      </c>
      <c r="AE831" t="n">
        <v>3</v>
      </c>
      <c r="AF831" t="n">
        <v>12</v>
      </c>
      <c r="AG831" t="n">
        <v>12</v>
      </c>
      <c r="AH831" t="n">
        <v>2</v>
      </c>
      <c r="AI831" t="n">
        <v>2</v>
      </c>
      <c r="AJ831" t="n">
        <v>4</v>
      </c>
      <c r="AK831" t="n">
        <v>4</v>
      </c>
      <c r="AL831" t="n">
        <v>7</v>
      </c>
      <c r="AM831" t="n">
        <v>7</v>
      </c>
      <c r="AN831" t="n">
        <v>2</v>
      </c>
      <c r="AO831" t="n">
        <v>2</v>
      </c>
      <c r="AP831" t="n">
        <v>0</v>
      </c>
      <c r="AQ831" t="n">
        <v>0</v>
      </c>
      <c r="AR831" t="inlineStr">
        <is>
          <t>No</t>
        </is>
      </c>
      <c r="AS831" t="inlineStr">
        <is>
          <t>Yes</t>
        </is>
      </c>
      <c r="AT831">
        <f>HYPERLINK("http://catalog.hathitrust.org/Record/001553412","HathiTrust Record")</f>
        <v/>
      </c>
      <c r="AU831">
        <f>HYPERLINK("https://creighton-primo.hosted.exlibrisgroup.com/primo-explore/search?tab=default_tab&amp;search_scope=EVERYTHING&amp;vid=01CRU&amp;lang=en_US&amp;offset=0&amp;query=any,contains,991002052879702656","Catalog Record")</f>
        <v/>
      </c>
      <c r="AV831">
        <f>HYPERLINK("http://www.worldcat.org/oclc/262095","WorldCat Record")</f>
        <v/>
      </c>
      <c r="AW831" t="inlineStr">
        <is>
          <t>354620831:eng</t>
        </is>
      </c>
      <c r="AX831" t="inlineStr">
        <is>
          <t>262095</t>
        </is>
      </c>
      <c r="AY831" t="inlineStr">
        <is>
          <t>991002052879702656</t>
        </is>
      </c>
      <c r="AZ831" t="inlineStr">
        <is>
          <t>991002052879702656</t>
        </is>
      </c>
      <c r="BA831" t="inlineStr">
        <is>
          <t>2266772160002656</t>
        </is>
      </c>
      <c r="BB831" t="inlineStr">
        <is>
          <t>BOOK</t>
        </is>
      </c>
      <c r="BE831" t="inlineStr">
        <is>
          <t>32285003012035</t>
        </is>
      </c>
      <c r="BF831" t="inlineStr">
        <is>
          <t>893603151</t>
        </is>
      </c>
    </row>
    <row r="832">
      <c r="B832" t="inlineStr">
        <is>
          <t>CURAL</t>
        </is>
      </c>
      <c r="C832" t="inlineStr">
        <is>
          <t>SHELVES</t>
        </is>
      </c>
      <c r="D832" t="inlineStr">
        <is>
          <t>QP82 .E59 1976</t>
        </is>
      </c>
      <c r="E832" t="inlineStr">
        <is>
          <t>0                      QP 0082000E  59          1976</t>
        </is>
      </c>
      <c r="F832" t="inlineStr">
        <is>
          <t>Environmental physiology of animals / editors, J. Bligh, J. L. Cloudsley-Thompson, A. G. MacDonald. --</t>
        </is>
      </c>
      <c r="H832" t="inlineStr">
        <is>
          <t>No</t>
        </is>
      </c>
      <c r="I832" t="inlineStr">
        <is>
          <t>1</t>
        </is>
      </c>
      <c r="J832" t="inlineStr">
        <is>
          <t>No</t>
        </is>
      </c>
      <c r="K832" t="inlineStr">
        <is>
          <t>No</t>
        </is>
      </c>
      <c r="L832" t="inlineStr">
        <is>
          <t>0</t>
        </is>
      </c>
      <c r="N832" t="inlineStr">
        <is>
          <t>New York : Wiley : distributed in the United States of America by Halsted Press, 1976.</t>
        </is>
      </c>
      <c r="O832" t="inlineStr">
        <is>
          <t>1976</t>
        </is>
      </c>
      <c r="Q832" t="inlineStr">
        <is>
          <t>eng</t>
        </is>
      </c>
      <c r="R832" t="inlineStr">
        <is>
          <t>nyu</t>
        </is>
      </c>
      <c r="T832" t="inlineStr">
        <is>
          <t xml:space="preserve">QP </t>
        </is>
      </c>
      <c r="U832" t="n">
        <v>5</v>
      </c>
      <c r="V832" t="n">
        <v>5</v>
      </c>
      <c r="W832" t="inlineStr">
        <is>
          <t>1994-02-07</t>
        </is>
      </c>
      <c r="X832" t="inlineStr">
        <is>
          <t>1994-02-07</t>
        </is>
      </c>
      <c r="Y832" t="inlineStr">
        <is>
          <t>1993-02-24</t>
        </is>
      </c>
      <c r="Z832" t="inlineStr">
        <is>
          <t>1993-02-24</t>
        </is>
      </c>
      <c r="AA832" t="n">
        <v>395</v>
      </c>
      <c r="AB832" t="n">
        <v>357</v>
      </c>
      <c r="AC832" t="n">
        <v>396</v>
      </c>
      <c r="AD832" t="n">
        <v>6</v>
      </c>
      <c r="AE832" t="n">
        <v>6</v>
      </c>
      <c r="AF832" t="n">
        <v>14</v>
      </c>
      <c r="AG832" t="n">
        <v>15</v>
      </c>
      <c r="AH832" t="n">
        <v>3</v>
      </c>
      <c r="AI832" t="n">
        <v>4</v>
      </c>
      <c r="AJ832" t="n">
        <v>4</v>
      </c>
      <c r="AK832" t="n">
        <v>4</v>
      </c>
      <c r="AL832" t="n">
        <v>5</v>
      </c>
      <c r="AM832" t="n">
        <v>5</v>
      </c>
      <c r="AN832" t="n">
        <v>5</v>
      </c>
      <c r="AO832" t="n">
        <v>5</v>
      </c>
      <c r="AP832" t="n">
        <v>0</v>
      </c>
      <c r="AQ832" t="n">
        <v>0</v>
      </c>
      <c r="AR832" t="inlineStr">
        <is>
          <t>No</t>
        </is>
      </c>
      <c r="AS832" t="inlineStr">
        <is>
          <t>Yes</t>
        </is>
      </c>
      <c r="AT832">
        <f>HYPERLINK("http://catalog.hathitrust.org/Record/004416399","HathiTrust Record")</f>
        <v/>
      </c>
      <c r="AU832">
        <f>HYPERLINK("https://creighton-primo.hosted.exlibrisgroup.com/primo-explore/search?tab=default_tab&amp;search_scope=EVERYTHING&amp;vid=01CRU&amp;lang=en_US&amp;offset=0&amp;query=any,contains,991004092649702656","Catalog Record")</f>
        <v/>
      </c>
      <c r="AV832">
        <f>HYPERLINK("http://www.worldcat.org/oclc/2346807","WorldCat Record")</f>
        <v/>
      </c>
      <c r="AW832" t="inlineStr">
        <is>
          <t>147052916:eng</t>
        </is>
      </c>
      <c r="AX832" t="inlineStr">
        <is>
          <t>2346807</t>
        </is>
      </c>
      <c r="AY832" t="inlineStr">
        <is>
          <t>991004092649702656</t>
        </is>
      </c>
      <c r="AZ832" t="inlineStr">
        <is>
          <t>991004092649702656</t>
        </is>
      </c>
      <c r="BA832" t="inlineStr">
        <is>
          <t>2260762780002656</t>
        </is>
      </c>
      <c r="BB832" t="inlineStr">
        <is>
          <t>BOOK</t>
        </is>
      </c>
      <c r="BD832" t="inlineStr">
        <is>
          <t>9780470989234</t>
        </is>
      </c>
      <c r="BE832" t="inlineStr">
        <is>
          <t>32285001549095</t>
        </is>
      </c>
      <c r="BF832" t="inlineStr">
        <is>
          <t>893794463</t>
        </is>
      </c>
    </row>
    <row r="833">
      <c r="B833" t="inlineStr">
        <is>
          <t>CURAL</t>
        </is>
      </c>
      <c r="C833" t="inlineStr">
        <is>
          <t>SHELVES</t>
        </is>
      </c>
      <c r="D833" t="inlineStr">
        <is>
          <t>QP82 .E63</t>
        </is>
      </c>
      <c r="E833" t="inlineStr">
        <is>
          <t>0                      QP 0082000E  63</t>
        </is>
      </c>
      <c r="F833" t="inlineStr">
        <is>
          <t>Environmental stress : individual human adaptations / edited by Lawrence J. Folinsbee ... [et al.].</t>
        </is>
      </c>
      <c r="H833" t="inlineStr">
        <is>
          <t>No</t>
        </is>
      </c>
      <c r="I833" t="inlineStr">
        <is>
          <t>1</t>
        </is>
      </c>
      <c r="J833" t="inlineStr">
        <is>
          <t>No</t>
        </is>
      </c>
      <c r="K833" t="inlineStr">
        <is>
          <t>No</t>
        </is>
      </c>
      <c r="L833" t="inlineStr">
        <is>
          <t>0</t>
        </is>
      </c>
      <c r="N833" t="inlineStr">
        <is>
          <t>New York : Academic Press, 1978.</t>
        </is>
      </c>
      <c r="O833" t="inlineStr">
        <is>
          <t>1978</t>
        </is>
      </c>
      <c r="Q833" t="inlineStr">
        <is>
          <t>eng</t>
        </is>
      </c>
      <c r="R833" t="inlineStr">
        <is>
          <t>nyu</t>
        </is>
      </c>
      <c r="T833" t="inlineStr">
        <is>
          <t xml:space="preserve">QP </t>
        </is>
      </c>
      <c r="U833" t="n">
        <v>1</v>
      </c>
      <c r="V833" t="n">
        <v>1</v>
      </c>
      <c r="W833" t="inlineStr">
        <is>
          <t>1994-01-04</t>
        </is>
      </c>
      <c r="X833" t="inlineStr">
        <is>
          <t>1994-01-04</t>
        </is>
      </c>
      <c r="Y833" t="inlineStr">
        <is>
          <t>1993-02-24</t>
        </is>
      </c>
      <c r="Z833" t="inlineStr">
        <is>
          <t>1993-02-24</t>
        </is>
      </c>
      <c r="AA833" t="n">
        <v>420</v>
      </c>
      <c r="AB833" t="n">
        <v>334</v>
      </c>
      <c r="AC833" t="n">
        <v>379</v>
      </c>
      <c r="AD833" t="n">
        <v>4</v>
      </c>
      <c r="AE833" t="n">
        <v>4</v>
      </c>
      <c r="AF833" t="n">
        <v>9</v>
      </c>
      <c r="AG833" t="n">
        <v>12</v>
      </c>
      <c r="AH833" t="n">
        <v>5</v>
      </c>
      <c r="AI833" t="n">
        <v>7</v>
      </c>
      <c r="AJ833" t="n">
        <v>1</v>
      </c>
      <c r="AK833" t="n">
        <v>3</v>
      </c>
      <c r="AL833" t="n">
        <v>1</v>
      </c>
      <c r="AM833" t="n">
        <v>1</v>
      </c>
      <c r="AN833" t="n">
        <v>3</v>
      </c>
      <c r="AO833" t="n">
        <v>3</v>
      </c>
      <c r="AP833" t="n">
        <v>0</v>
      </c>
      <c r="AQ833" t="n">
        <v>0</v>
      </c>
      <c r="AR833" t="inlineStr">
        <is>
          <t>No</t>
        </is>
      </c>
      <c r="AS833" t="inlineStr">
        <is>
          <t>Yes</t>
        </is>
      </c>
      <c r="AT833">
        <f>HYPERLINK("http://catalog.hathitrust.org/Record/000176393","HathiTrust Record")</f>
        <v/>
      </c>
      <c r="AU833">
        <f>HYPERLINK("https://creighton-primo.hosted.exlibrisgroup.com/primo-explore/search?tab=default_tab&amp;search_scope=EVERYTHING&amp;vid=01CRU&amp;lang=en_US&amp;offset=0&amp;query=any,contains,991005257519702656","Catalog Record")</f>
        <v/>
      </c>
      <c r="AV833">
        <f>HYPERLINK("http://www.worldcat.org/oclc/4003519","WorldCat Record")</f>
        <v/>
      </c>
      <c r="AW833" t="inlineStr">
        <is>
          <t>797399603:eng</t>
        </is>
      </c>
      <c r="AX833" t="inlineStr">
        <is>
          <t>4003519</t>
        </is>
      </c>
      <c r="AY833" t="inlineStr">
        <is>
          <t>991005257519702656</t>
        </is>
      </c>
      <c r="AZ833" t="inlineStr">
        <is>
          <t>991005257519702656</t>
        </is>
      </c>
      <c r="BA833" t="inlineStr">
        <is>
          <t>2267747690002656</t>
        </is>
      </c>
      <c r="BB833" t="inlineStr">
        <is>
          <t>BOOK</t>
        </is>
      </c>
      <c r="BD833" t="inlineStr">
        <is>
          <t>9780122613500</t>
        </is>
      </c>
      <c r="BE833" t="inlineStr">
        <is>
          <t>32285001549103</t>
        </is>
      </c>
      <c r="BF833" t="inlineStr">
        <is>
          <t>893808085</t>
        </is>
      </c>
    </row>
    <row r="834">
      <c r="B834" t="inlineStr">
        <is>
          <t>CURAL</t>
        </is>
      </c>
      <c r="C834" t="inlineStr">
        <is>
          <t>SHELVES</t>
        </is>
      </c>
      <c r="D834" t="inlineStr">
        <is>
          <t>QP82 .E87 1980</t>
        </is>
      </c>
      <c r="E834" t="inlineStr">
        <is>
          <t>0                      QP 0082000E  87          1980</t>
        </is>
      </c>
      <c r="F834" t="inlineStr">
        <is>
          <t>Animals and environmental fitness : physiological and biochemical aspects of adaptation and ecology : proceedings of the first conference of the European Society for Comparative Physiology and Biochemistry, 27 to 31 August 1979, Liège, Belgium / conference organizer and volume editor, R. Gilles.</t>
        </is>
      </c>
      <c r="G834" t="inlineStr">
        <is>
          <t>V.1</t>
        </is>
      </c>
      <c r="H834" t="inlineStr">
        <is>
          <t>Yes</t>
        </is>
      </c>
      <c r="I834" t="inlineStr">
        <is>
          <t>1</t>
        </is>
      </c>
      <c r="J834" t="inlineStr">
        <is>
          <t>No</t>
        </is>
      </c>
      <c r="K834" t="inlineStr">
        <is>
          <t>No</t>
        </is>
      </c>
      <c r="L834" t="inlineStr">
        <is>
          <t>0</t>
        </is>
      </c>
      <c r="M834" t="inlineStr">
        <is>
          <t>European Society for Comparative Physiology and Biochemistry.</t>
        </is>
      </c>
      <c r="N834" t="inlineStr">
        <is>
          <t>Oxford ; New York : Pergamon Press, 1980.</t>
        </is>
      </c>
      <c r="O834" t="inlineStr">
        <is>
          <t>1980</t>
        </is>
      </c>
      <c r="P834" t="inlineStr">
        <is>
          <t>1st ed.</t>
        </is>
      </c>
      <c r="Q834" t="inlineStr">
        <is>
          <t>eng</t>
        </is>
      </c>
      <c r="R834" t="inlineStr">
        <is>
          <t>enk</t>
        </is>
      </c>
      <c r="T834" t="inlineStr">
        <is>
          <t xml:space="preserve">QP </t>
        </is>
      </c>
      <c r="U834" t="n">
        <v>3</v>
      </c>
      <c r="V834" t="n">
        <v>3</v>
      </c>
      <c r="W834" t="inlineStr">
        <is>
          <t>1994-02-07</t>
        </is>
      </c>
      <c r="X834" t="inlineStr">
        <is>
          <t>1994-02-07</t>
        </is>
      </c>
      <c r="Y834" t="inlineStr">
        <is>
          <t>1993-02-24</t>
        </is>
      </c>
      <c r="Z834" t="inlineStr">
        <is>
          <t>1993-02-24</t>
        </is>
      </c>
      <c r="AA834" t="n">
        <v>138</v>
      </c>
      <c r="AB834" t="n">
        <v>99</v>
      </c>
      <c r="AC834" t="n">
        <v>107</v>
      </c>
      <c r="AD834" t="n">
        <v>2</v>
      </c>
      <c r="AE834" t="n">
        <v>2</v>
      </c>
      <c r="AF834" t="n">
        <v>2</v>
      </c>
      <c r="AG834" t="n">
        <v>2</v>
      </c>
      <c r="AH834" t="n">
        <v>0</v>
      </c>
      <c r="AI834" t="n">
        <v>0</v>
      </c>
      <c r="AJ834" t="n">
        <v>1</v>
      </c>
      <c r="AK834" t="n">
        <v>1</v>
      </c>
      <c r="AL834" t="n">
        <v>1</v>
      </c>
      <c r="AM834" t="n">
        <v>1</v>
      </c>
      <c r="AN834" t="n">
        <v>1</v>
      </c>
      <c r="AO834" t="n">
        <v>1</v>
      </c>
      <c r="AP834" t="n">
        <v>0</v>
      </c>
      <c r="AQ834" t="n">
        <v>0</v>
      </c>
      <c r="AR834" t="inlineStr">
        <is>
          <t>No</t>
        </is>
      </c>
      <c r="AS834" t="inlineStr">
        <is>
          <t>Yes</t>
        </is>
      </c>
      <c r="AT834">
        <f>HYPERLINK("http://catalog.hathitrust.org/Record/000130466","HathiTrust Record")</f>
        <v/>
      </c>
      <c r="AU834">
        <f>HYPERLINK("https://creighton-primo.hosted.exlibrisgroup.com/primo-explore/search?tab=default_tab&amp;search_scope=EVERYTHING&amp;vid=01CRU&amp;lang=en_US&amp;offset=0&amp;query=any,contains,991004992689702656","Catalog Record")</f>
        <v/>
      </c>
      <c r="AV834">
        <f>HYPERLINK("http://www.worldcat.org/oclc/6487801","WorldCat Record")</f>
        <v/>
      </c>
      <c r="AW834" t="inlineStr">
        <is>
          <t>5616617031:eng</t>
        </is>
      </c>
      <c r="AX834" t="inlineStr">
        <is>
          <t>6487801</t>
        </is>
      </c>
      <c r="AY834" t="inlineStr">
        <is>
          <t>991004992689702656</t>
        </is>
      </c>
      <c r="AZ834" t="inlineStr">
        <is>
          <t>991004992689702656</t>
        </is>
      </c>
      <c r="BA834" t="inlineStr">
        <is>
          <t>2256242310002656</t>
        </is>
      </c>
      <c r="BB834" t="inlineStr">
        <is>
          <t>BOOK</t>
        </is>
      </c>
      <c r="BD834" t="inlineStr">
        <is>
          <t>9780080249384</t>
        </is>
      </c>
      <c r="BE834" t="inlineStr">
        <is>
          <t>32285001549111</t>
        </is>
      </c>
      <c r="BF834" t="inlineStr">
        <is>
          <t>893242060</t>
        </is>
      </c>
    </row>
    <row r="835">
      <c r="B835" t="inlineStr">
        <is>
          <t>CURAL</t>
        </is>
      </c>
      <c r="C835" t="inlineStr">
        <is>
          <t>SHELVES</t>
        </is>
      </c>
      <c r="D835" t="inlineStr">
        <is>
          <t>QP82 .F62</t>
        </is>
      </c>
      <c r="E835" t="inlineStr">
        <is>
          <t>0                      QP 0082000F  62</t>
        </is>
      </c>
      <c r="F835" t="inlineStr">
        <is>
          <t>Introduction to environmental physiology : environmental extremes and mammalian survival / [by] G. Edgar Folk, Jr.</t>
        </is>
      </c>
      <c r="H835" t="inlineStr">
        <is>
          <t>No</t>
        </is>
      </c>
      <c r="I835" t="inlineStr">
        <is>
          <t>1</t>
        </is>
      </c>
      <c r="J835" t="inlineStr">
        <is>
          <t>No</t>
        </is>
      </c>
      <c r="K835" t="inlineStr">
        <is>
          <t>No</t>
        </is>
      </c>
      <c r="L835" t="inlineStr">
        <is>
          <t>0</t>
        </is>
      </c>
      <c r="M835" t="inlineStr">
        <is>
          <t>Folk, G. Edgar (George Edgar), 1914-</t>
        </is>
      </c>
      <c r="N835" t="inlineStr">
        <is>
          <t>Philadelphia : Lea &amp; Febiger, 1966.</t>
        </is>
      </c>
      <c r="O835" t="inlineStr">
        <is>
          <t>1966</t>
        </is>
      </c>
      <c r="Q835" t="inlineStr">
        <is>
          <t>eng</t>
        </is>
      </c>
      <c r="R835" t="inlineStr">
        <is>
          <t>pau</t>
        </is>
      </c>
      <c r="T835" t="inlineStr">
        <is>
          <t xml:space="preserve">QP </t>
        </is>
      </c>
      <c r="U835" t="n">
        <v>5</v>
      </c>
      <c r="V835" t="n">
        <v>5</v>
      </c>
      <c r="W835" t="inlineStr">
        <is>
          <t>1998-02-09</t>
        </is>
      </c>
      <c r="X835" t="inlineStr">
        <is>
          <t>1998-02-09</t>
        </is>
      </c>
      <c r="Y835" t="inlineStr">
        <is>
          <t>1993-01-23</t>
        </is>
      </c>
      <c r="Z835" t="inlineStr">
        <is>
          <t>1993-01-23</t>
        </is>
      </c>
      <c r="AA835" t="n">
        <v>472</v>
      </c>
      <c r="AB835" t="n">
        <v>397</v>
      </c>
      <c r="AC835" t="n">
        <v>402</v>
      </c>
      <c r="AD835" t="n">
        <v>3</v>
      </c>
      <c r="AE835" t="n">
        <v>3</v>
      </c>
      <c r="AF835" t="n">
        <v>15</v>
      </c>
      <c r="AG835" t="n">
        <v>15</v>
      </c>
      <c r="AH835" t="n">
        <v>5</v>
      </c>
      <c r="AI835" t="n">
        <v>5</v>
      </c>
      <c r="AJ835" t="n">
        <v>4</v>
      </c>
      <c r="AK835" t="n">
        <v>4</v>
      </c>
      <c r="AL835" t="n">
        <v>7</v>
      </c>
      <c r="AM835" t="n">
        <v>7</v>
      </c>
      <c r="AN835" t="n">
        <v>2</v>
      </c>
      <c r="AO835" t="n">
        <v>2</v>
      </c>
      <c r="AP835" t="n">
        <v>0</v>
      </c>
      <c r="AQ835" t="n">
        <v>0</v>
      </c>
      <c r="AR835" t="inlineStr">
        <is>
          <t>No</t>
        </is>
      </c>
      <c r="AS835" t="inlineStr">
        <is>
          <t>Yes</t>
        </is>
      </c>
      <c r="AT835">
        <f>HYPERLINK("http://catalog.hathitrust.org/Record/001553413","HathiTrust Record")</f>
        <v/>
      </c>
      <c r="AU835">
        <f>HYPERLINK("https://creighton-primo.hosted.exlibrisgroup.com/primo-explore/search?tab=default_tab&amp;search_scope=EVERYTHING&amp;vid=01CRU&amp;lang=en_US&amp;offset=0&amp;query=any,contains,991002282349702656","Catalog Record")</f>
        <v/>
      </c>
      <c r="AV835">
        <f>HYPERLINK("http://www.worldcat.org/oclc/310882","WorldCat Record")</f>
        <v/>
      </c>
      <c r="AW835" t="inlineStr">
        <is>
          <t>1371391:eng</t>
        </is>
      </c>
      <c r="AX835" t="inlineStr">
        <is>
          <t>310882</t>
        </is>
      </c>
      <c r="AY835" t="inlineStr">
        <is>
          <t>991002282349702656</t>
        </is>
      </c>
      <c r="AZ835" t="inlineStr">
        <is>
          <t>991002282349702656</t>
        </is>
      </c>
      <c r="BA835" t="inlineStr">
        <is>
          <t>2257297570002656</t>
        </is>
      </c>
      <c r="BB835" t="inlineStr">
        <is>
          <t>BOOK</t>
        </is>
      </c>
      <c r="BE835" t="inlineStr">
        <is>
          <t>32285001476737</t>
        </is>
      </c>
      <c r="BF835" t="inlineStr">
        <is>
          <t>893433709</t>
        </is>
      </c>
    </row>
    <row r="836">
      <c r="B836" t="inlineStr">
        <is>
          <t>CURAL</t>
        </is>
      </c>
      <c r="C836" t="inlineStr">
        <is>
          <t>SHELVES</t>
        </is>
      </c>
      <c r="D836" t="inlineStr">
        <is>
          <t>QP82 .F62 1974</t>
        </is>
      </c>
      <c r="E836" t="inlineStr">
        <is>
          <t>0                      QP 0082000F  62          1974</t>
        </is>
      </c>
      <c r="F836" t="inlineStr">
        <is>
          <t>Textbook of environmental physiology / [by] G. Edgar Folk, Jr.</t>
        </is>
      </c>
      <c r="H836" t="inlineStr">
        <is>
          <t>No</t>
        </is>
      </c>
      <c r="I836" t="inlineStr">
        <is>
          <t>1</t>
        </is>
      </c>
      <c r="J836" t="inlineStr">
        <is>
          <t>No</t>
        </is>
      </c>
      <c r="K836" t="inlineStr">
        <is>
          <t>No</t>
        </is>
      </c>
      <c r="L836" t="inlineStr">
        <is>
          <t>0</t>
        </is>
      </c>
      <c r="M836" t="inlineStr">
        <is>
          <t>Folk, G. Edgar (George Edgar), 1914-</t>
        </is>
      </c>
      <c r="N836" t="inlineStr">
        <is>
          <t>Philadelphia : Lea &amp; Febiger, 1974.</t>
        </is>
      </c>
      <c r="O836" t="inlineStr">
        <is>
          <t>1974</t>
        </is>
      </c>
      <c r="P836" t="inlineStr">
        <is>
          <t>2d ed.</t>
        </is>
      </c>
      <c r="Q836" t="inlineStr">
        <is>
          <t>eng</t>
        </is>
      </c>
      <c r="R836" t="inlineStr">
        <is>
          <t>pau</t>
        </is>
      </c>
      <c r="T836" t="inlineStr">
        <is>
          <t xml:space="preserve">QP </t>
        </is>
      </c>
      <c r="U836" t="n">
        <v>18</v>
      </c>
      <c r="V836" t="n">
        <v>18</v>
      </c>
      <c r="W836" t="inlineStr">
        <is>
          <t>2000-11-28</t>
        </is>
      </c>
      <c r="X836" t="inlineStr">
        <is>
          <t>2000-11-28</t>
        </is>
      </c>
      <c r="Y836" t="inlineStr">
        <is>
          <t>1993-01-13</t>
        </is>
      </c>
      <c r="Z836" t="inlineStr">
        <is>
          <t>1993-01-13</t>
        </is>
      </c>
      <c r="AA836" t="n">
        <v>393</v>
      </c>
      <c r="AB836" t="n">
        <v>300</v>
      </c>
      <c r="AC836" t="n">
        <v>312</v>
      </c>
      <c r="AD836" t="n">
        <v>4</v>
      </c>
      <c r="AE836" t="n">
        <v>4</v>
      </c>
      <c r="AF836" t="n">
        <v>15</v>
      </c>
      <c r="AG836" t="n">
        <v>15</v>
      </c>
      <c r="AH836" t="n">
        <v>5</v>
      </c>
      <c r="AI836" t="n">
        <v>5</v>
      </c>
      <c r="AJ836" t="n">
        <v>3</v>
      </c>
      <c r="AK836" t="n">
        <v>3</v>
      </c>
      <c r="AL836" t="n">
        <v>7</v>
      </c>
      <c r="AM836" t="n">
        <v>7</v>
      </c>
      <c r="AN836" t="n">
        <v>3</v>
      </c>
      <c r="AO836" t="n">
        <v>3</v>
      </c>
      <c r="AP836" t="n">
        <v>0</v>
      </c>
      <c r="AQ836" t="n">
        <v>0</v>
      </c>
      <c r="AR836" t="inlineStr">
        <is>
          <t>No</t>
        </is>
      </c>
      <c r="AS836" t="inlineStr">
        <is>
          <t>Yes</t>
        </is>
      </c>
      <c r="AT836">
        <f>HYPERLINK("http://catalog.hathitrust.org/Record/001576683","HathiTrust Record")</f>
        <v/>
      </c>
      <c r="AU836">
        <f>HYPERLINK("https://creighton-primo.hosted.exlibrisgroup.com/primo-explore/search?tab=default_tab&amp;search_scope=EVERYTHING&amp;vid=01CRU&amp;lang=en_US&amp;offset=0&amp;query=any,contains,991003080849702656","Catalog Record")</f>
        <v/>
      </c>
      <c r="AV836">
        <f>HYPERLINK("http://www.worldcat.org/oclc/632531","WorldCat Record")</f>
        <v/>
      </c>
      <c r="AW836" t="inlineStr">
        <is>
          <t>1749392:eng</t>
        </is>
      </c>
      <c r="AX836" t="inlineStr">
        <is>
          <t>632531</t>
        </is>
      </c>
      <c r="AY836" t="inlineStr">
        <is>
          <t>991003080849702656</t>
        </is>
      </c>
      <c r="AZ836" t="inlineStr">
        <is>
          <t>991003080849702656</t>
        </is>
      </c>
      <c r="BA836" t="inlineStr">
        <is>
          <t>2263849760002656</t>
        </is>
      </c>
      <c r="BB836" t="inlineStr">
        <is>
          <t>BOOK</t>
        </is>
      </c>
      <c r="BD836" t="inlineStr">
        <is>
          <t>9780812104417</t>
        </is>
      </c>
      <c r="BE836" t="inlineStr">
        <is>
          <t>32285001474567</t>
        </is>
      </c>
      <c r="BF836" t="inlineStr">
        <is>
          <t>893780591</t>
        </is>
      </c>
    </row>
    <row r="837">
      <c r="B837" t="inlineStr">
        <is>
          <t>CURAL</t>
        </is>
      </c>
      <c r="C837" t="inlineStr">
        <is>
          <t>SHELVES</t>
        </is>
      </c>
      <c r="D837" t="inlineStr">
        <is>
          <t>QP82 .F62 1998</t>
        </is>
      </c>
      <c r="E837" t="inlineStr">
        <is>
          <t>0                      QP 0082000F  62          1998</t>
        </is>
      </c>
      <c r="F837" t="inlineStr">
        <is>
          <t>Principles of integrative environmental physiology / G. Edgar Folk, Jr., Marvin L. Riedesel ; Diana L. Thrift, editor.</t>
        </is>
      </c>
      <c r="H837" t="inlineStr">
        <is>
          <t>No</t>
        </is>
      </c>
      <c r="I837" t="inlineStr">
        <is>
          <t>1</t>
        </is>
      </c>
      <c r="J837" t="inlineStr">
        <is>
          <t>No</t>
        </is>
      </c>
      <c r="K837" t="inlineStr">
        <is>
          <t>No</t>
        </is>
      </c>
      <c r="L837" t="inlineStr">
        <is>
          <t>0</t>
        </is>
      </c>
      <c r="M837" t="inlineStr">
        <is>
          <t>Folk, G. Edgar (George Edgar), 1914-</t>
        </is>
      </c>
      <c r="N837" t="inlineStr">
        <is>
          <t>San Francisco : Austin &amp; Winfield Publishers, 1998.</t>
        </is>
      </c>
      <c r="O837" t="inlineStr">
        <is>
          <t>1998</t>
        </is>
      </c>
      <c r="Q837" t="inlineStr">
        <is>
          <t>eng</t>
        </is>
      </c>
      <c r="R837" t="inlineStr">
        <is>
          <t>cau</t>
        </is>
      </c>
      <c r="T837" t="inlineStr">
        <is>
          <t xml:space="preserve">QP </t>
        </is>
      </c>
      <c r="U837" t="n">
        <v>10</v>
      </c>
      <c r="V837" t="n">
        <v>10</v>
      </c>
      <c r="W837" t="inlineStr">
        <is>
          <t>2001-11-21</t>
        </is>
      </c>
      <c r="X837" t="inlineStr">
        <is>
          <t>2001-11-21</t>
        </is>
      </c>
      <c r="Y837" t="inlineStr">
        <is>
          <t>1999-07-27</t>
        </is>
      </c>
      <c r="Z837" t="inlineStr">
        <is>
          <t>1999-07-27</t>
        </is>
      </c>
      <c r="AA837" t="n">
        <v>101</v>
      </c>
      <c r="AB837" t="n">
        <v>75</v>
      </c>
      <c r="AC837" t="n">
        <v>76</v>
      </c>
      <c r="AD837" t="n">
        <v>1</v>
      </c>
      <c r="AE837" t="n">
        <v>1</v>
      </c>
      <c r="AF837" t="n">
        <v>1</v>
      </c>
      <c r="AG837" t="n">
        <v>1</v>
      </c>
      <c r="AH837" t="n">
        <v>0</v>
      </c>
      <c r="AI837" t="n">
        <v>0</v>
      </c>
      <c r="AJ837" t="n">
        <v>0</v>
      </c>
      <c r="AK837" t="n">
        <v>0</v>
      </c>
      <c r="AL837" t="n">
        <v>1</v>
      </c>
      <c r="AM837" t="n">
        <v>1</v>
      </c>
      <c r="AN837" t="n">
        <v>0</v>
      </c>
      <c r="AO837" t="n">
        <v>0</v>
      </c>
      <c r="AP837" t="n">
        <v>0</v>
      </c>
      <c r="AQ837" t="n">
        <v>0</v>
      </c>
      <c r="AR837" t="inlineStr">
        <is>
          <t>No</t>
        </is>
      </c>
      <c r="AS837" t="inlineStr">
        <is>
          <t>Yes</t>
        </is>
      </c>
      <c r="AT837">
        <f>HYPERLINK("http://catalog.hathitrust.org/Record/003332371","HathiTrust Record")</f>
        <v/>
      </c>
      <c r="AU837">
        <f>HYPERLINK("https://creighton-primo.hosted.exlibrisgroup.com/primo-explore/search?tab=default_tab&amp;search_scope=EVERYTHING&amp;vid=01CRU&amp;lang=en_US&amp;offset=0&amp;query=any,contains,991002874189702656","Catalog Record")</f>
        <v/>
      </c>
      <c r="AV837">
        <f>HYPERLINK("http://www.worldcat.org/oclc/37878701","WorldCat Record")</f>
        <v/>
      </c>
      <c r="AW837" t="inlineStr">
        <is>
          <t>685082:eng</t>
        </is>
      </c>
      <c r="AX837" t="inlineStr">
        <is>
          <t>37878701</t>
        </is>
      </c>
      <c r="AY837" t="inlineStr">
        <is>
          <t>991002874189702656</t>
        </is>
      </c>
      <c r="AZ837" t="inlineStr">
        <is>
          <t>991002874189702656</t>
        </is>
      </c>
      <c r="BA837" t="inlineStr">
        <is>
          <t>2264327640002656</t>
        </is>
      </c>
      <c r="BB837" t="inlineStr">
        <is>
          <t>BOOK</t>
        </is>
      </c>
      <c r="BD837" t="inlineStr">
        <is>
          <t>9781572921085</t>
        </is>
      </c>
      <c r="BE837" t="inlineStr">
        <is>
          <t>32285003579249</t>
        </is>
      </c>
      <c r="BF837" t="inlineStr">
        <is>
          <t>893233535</t>
        </is>
      </c>
    </row>
    <row r="838">
      <c r="B838" t="inlineStr">
        <is>
          <t>CURAL</t>
        </is>
      </c>
      <c r="C838" t="inlineStr">
        <is>
          <t>SHELVES</t>
        </is>
      </c>
      <c r="D838" t="inlineStr">
        <is>
          <t>QP82 .F74 1993</t>
        </is>
      </c>
      <c r="E838" t="inlineStr">
        <is>
          <t>0                      QP 0082000F  74          1993</t>
        </is>
      </c>
      <c r="F838" t="inlineStr">
        <is>
          <t>Human adaptation and accommodation / A. Roberto Frisancho.</t>
        </is>
      </c>
      <c r="H838" t="inlineStr">
        <is>
          <t>No</t>
        </is>
      </c>
      <c r="I838" t="inlineStr">
        <is>
          <t>1</t>
        </is>
      </c>
      <c r="J838" t="inlineStr">
        <is>
          <t>No</t>
        </is>
      </c>
      <c r="K838" t="inlineStr">
        <is>
          <t>No</t>
        </is>
      </c>
      <c r="L838" t="inlineStr">
        <is>
          <t>0</t>
        </is>
      </c>
      <c r="M838" t="inlineStr">
        <is>
          <t>Frisancho, A. Roberto, 1939-</t>
        </is>
      </c>
      <c r="N838" t="inlineStr">
        <is>
          <t>Ann Arbor : University of Michigan Press, c1993.</t>
        </is>
      </c>
      <c r="O838" t="inlineStr">
        <is>
          <t>1993</t>
        </is>
      </c>
      <c r="Q838" t="inlineStr">
        <is>
          <t>eng</t>
        </is>
      </c>
      <c r="R838" t="inlineStr">
        <is>
          <t>miu</t>
        </is>
      </c>
      <c r="T838" t="inlineStr">
        <is>
          <t xml:space="preserve">QP </t>
        </is>
      </c>
      <c r="U838" t="n">
        <v>7</v>
      </c>
      <c r="V838" t="n">
        <v>7</v>
      </c>
      <c r="W838" t="inlineStr">
        <is>
          <t>2004-03-30</t>
        </is>
      </c>
      <c r="X838" t="inlineStr">
        <is>
          <t>2004-03-30</t>
        </is>
      </c>
      <c r="Y838" t="inlineStr">
        <is>
          <t>1993-12-28</t>
        </is>
      </c>
      <c r="Z838" t="inlineStr">
        <is>
          <t>1993-12-28</t>
        </is>
      </c>
      <c r="AA838" t="n">
        <v>271</v>
      </c>
      <c r="AB838" t="n">
        <v>220</v>
      </c>
      <c r="AC838" t="n">
        <v>223</v>
      </c>
      <c r="AD838" t="n">
        <v>2</v>
      </c>
      <c r="AE838" t="n">
        <v>2</v>
      </c>
      <c r="AF838" t="n">
        <v>8</v>
      </c>
      <c r="AG838" t="n">
        <v>8</v>
      </c>
      <c r="AH838" t="n">
        <v>3</v>
      </c>
      <c r="AI838" t="n">
        <v>3</v>
      </c>
      <c r="AJ838" t="n">
        <v>2</v>
      </c>
      <c r="AK838" t="n">
        <v>2</v>
      </c>
      <c r="AL838" t="n">
        <v>3</v>
      </c>
      <c r="AM838" t="n">
        <v>3</v>
      </c>
      <c r="AN838" t="n">
        <v>1</v>
      </c>
      <c r="AO838" t="n">
        <v>1</v>
      </c>
      <c r="AP838" t="n">
        <v>0</v>
      </c>
      <c r="AQ838" t="n">
        <v>0</v>
      </c>
      <c r="AR838" t="inlineStr">
        <is>
          <t>No</t>
        </is>
      </c>
      <c r="AS838" t="inlineStr">
        <is>
          <t>Yes</t>
        </is>
      </c>
      <c r="AT838">
        <f>HYPERLINK("http://catalog.hathitrust.org/Record/002726151","HathiTrust Record")</f>
        <v/>
      </c>
      <c r="AU838">
        <f>HYPERLINK("https://creighton-primo.hosted.exlibrisgroup.com/primo-explore/search?tab=default_tab&amp;search_scope=EVERYTHING&amp;vid=01CRU&amp;lang=en_US&amp;offset=0&amp;query=any,contains,991002085549702656","Catalog Record")</f>
        <v/>
      </c>
      <c r="AV838">
        <f>HYPERLINK("http://www.worldcat.org/oclc/26763611","WorldCat Record")</f>
        <v/>
      </c>
      <c r="AW838" t="inlineStr">
        <is>
          <t>2864391317:eng</t>
        </is>
      </c>
      <c r="AX838" t="inlineStr">
        <is>
          <t>26763611</t>
        </is>
      </c>
      <c r="AY838" t="inlineStr">
        <is>
          <t>991002085549702656</t>
        </is>
      </c>
      <c r="AZ838" t="inlineStr">
        <is>
          <t>991002085549702656</t>
        </is>
      </c>
      <c r="BA838" t="inlineStr">
        <is>
          <t>2268608410002656</t>
        </is>
      </c>
      <c r="BB838" t="inlineStr">
        <is>
          <t>BOOK</t>
        </is>
      </c>
      <c r="BD838" t="inlineStr">
        <is>
          <t>9780472095117</t>
        </is>
      </c>
      <c r="BE838" t="inlineStr">
        <is>
          <t>32285001818144</t>
        </is>
      </c>
      <c r="BF838" t="inlineStr">
        <is>
          <t>893334923</t>
        </is>
      </c>
    </row>
    <row r="839">
      <c r="B839" t="inlineStr">
        <is>
          <t>CURAL</t>
        </is>
      </c>
      <c r="C839" t="inlineStr">
        <is>
          <t>SHELVES</t>
        </is>
      </c>
      <c r="D839" t="inlineStr">
        <is>
          <t>QP82 .G37</t>
        </is>
      </c>
      <c r="E839" t="inlineStr">
        <is>
          <t>0                      QP 0082000G  37</t>
        </is>
      </c>
      <c r="F839" t="inlineStr">
        <is>
          <t>Life strategies, human evolution, environmental design : toward a biological theory of health / Valerius Geist.</t>
        </is>
      </c>
      <c r="H839" t="inlineStr">
        <is>
          <t>No</t>
        </is>
      </c>
      <c r="I839" t="inlineStr">
        <is>
          <t>1</t>
        </is>
      </c>
      <c r="J839" t="inlineStr">
        <is>
          <t>No</t>
        </is>
      </c>
      <c r="K839" t="inlineStr">
        <is>
          <t>No</t>
        </is>
      </c>
      <c r="L839" t="inlineStr">
        <is>
          <t>0</t>
        </is>
      </c>
      <c r="M839" t="inlineStr">
        <is>
          <t>Geist, Valerius.</t>
        </is>
      </c>
      <c r="N839" t="inlineStr">
        <is>
          <t>New York : Springer-Verlag, c1978.</t>
        </is>
      </c>
      <c r="O839" t="inlineStr">
        <is>
          <t>1978</t>
        </is>
      </c>
      <c r="Q839" t="inlineStr">
        <is>
          <t>eng</t>
        </is>
      </c>
      <c r="R839" t="inlineStr">
        <is>
          <t>nyu</t>
        </is>
      </c>
      <c r="T839" t="inlineStr">
        <is>
          <t xml:space="preserve">QP </t>
        </is>
      </c>
      <c r="U839" t="n">
        <v>5</v>
      </c>
      <c r="V839" t="n">
        <v>5</v>
      </c>
      <c r="W839" t="inlineStr">
        <is>
          <t>1994-09-16</t>
        </is>
      </c>
      <c r="X839" t="inlineStr">
        <is>
          <t>1994-09-16</t>
        </is>
      </c>
      <c r="Y839" t="inlineStr">
        <is>
          <t>1993-02-24</t>
        </is>
      </c>
      <c r="Z839" t="inlineStr">
        <is>
          <t>1993-02-24</t>
        </is>
      </c>
      <c r="AA839" t="n">
        <v>381</v>
      </c>
      <c r="AB839" t="n">
        <v>266</v>
      </c>
      <c r="AC839" t="n">
        <v>300</v>
      </c>
      <c r="AD839" t="n">
        <v>4</v>
      </c>
      <c r="AE839" t="n">
        <v>4</v>
      </c>
      <c r="AF839" t="n">
        <v>7</v>
      </c>
      <c r="AG839" t="n">
        <v>10</v>
      </c>
      <c r="AH839" t="n">
        <v>1</v>
      </c>
      <c r="AI839" t="n">
        <v>3</v>
      </c>
      <c r="AJ839" t="n">
        <v>2</v>
      </c>
      <c r="AK839" t="n">
        <v>3</v>
      </c>
      <c r="AL839" t="n">
        <v>2</v>
      </c>
      <c r="AM839" t="n">
        <v>3</v>
      </c>
      <c r="AN839" t="n">
        <v>3</v>
      </c>
      <c r="AO839" t="n">
        <v>3</v>
      </c>
      <c r="AP839" t="n">
        <v>0</v>
      </c>
      <c r="AQ839" t="n">
        <v>0</v>
      </c>
      <c r="AR839" t="inlineStr">
        <is>
          <t>No</t>
        </is>
      </c>
      <c r="AS839" t="inlineStr">
        <is>
          <t>Yes</t>
        </is>
      </c>
      <c r="AT839">
        <f>HYPERLINK("http://catalog.hathitrust.org/Record/000256333","HathiTrust Record")</f>
        <v/>
      </c>
      <c r="AU839">
        <f>HYPERLINK("https://creighton-primo.hosted.exlibrisgroup.com/primo-explore/search?tab=default_tab&amp;search_scope=EVERYTHING&amp;vid=01CRU&amp;lang=en_US&amp;offset=0&amp;query=any,contains,991004658159702656","Catalog Record")</f>
        <v/>
      </c>
      <c r="AV839">
        <f>HYPERLINK("http://www.worldcat.org/oclc/4495874","WorldCat Record")</f>
        <v/>
      </c>
      <c r="AW839" t="inlineStr">
        <is>
          <t>892281139:eng</t>
        </is>
      </c>
      <c r="AX839" t="inlineStr">
        <is>
          <t>4495874</t>
        </is>
      </c>
      <c r="AY839" t="inlineStr">
        <is>
          <t>991004658159702656</t>
        </is>
      </c>
      <c r="AZ839" t="inlineStr">
        <is>
          <t>991004658159702656</t>
        </is>
      </c>
      <c r="BA839" t="inlineStr">
        <is>
          <t>2267959780002656</t>
        </is>
      </c>
      <c r="BB839" t="inlineStr">
        <is>
          <t>BOOK</t>
        </is>
      </c>
      <c r="BD839" t="inlineStr">
        <is>
          <t>9780387903637</t>
        </is>
      </c>
      <c r="BE839" t="inlineStr">
        <is>
          <t>32285001549129</t>
        </is>
      </c>
      <c r="BF839" t="inlineStr">
        <is>
          <t>893901488</t>
        </is>
      </c>
    </row>
    <row r="840">
      <c r="B840" t="inlineStr">
        <is>
          <t>CURAL</t>
        </is>
      </c>
      <c r="C840" t="inlineStr">
        <is>
          <t>SHELVES</t>
        </is>
      </c>
      <c r="D840" t="inlineStr">
        <is>
          <t>QP82 .L3</t>
        </is>
      </c>
      <c r="E840" t="inlineStr">
        <is>
          <t>0                      QP 0082000L  3</t>
        </is>
      </c>
      <c r="F840" t="inlineStr">
        <is>
          <t>Weather and health; an introduction to biometeorology [by] Helmut E. Landsberg.</t>
        </is>
      </c>
      <c r="H840" t="inlineStr">
        <is>
          <t>No</t>
        </is>
      </c>
      <c r="I840" t="inlineStr">
        <is>
          <t>1</t>
        </is>
      </c>
      <c r="J840" t="inlineStr">
        <is>
          <t>No</t>
        </is>
      </c>
      <c r="K840" t="inlineStr">
        <is>
          <t>No</t>
        </is>
      </c>
      <c r="L840" t="inlineStr">
        <is>
          <t>0</t>
        </is>
      </c>
      <c r="M840" t="inlineStr">
        <is>
          <t>Landsberg, Helmut Erich, 1906-1985.</t>
        </is>
      </c>
      <c r="N840" t="inlineStr">
        <is>
          <t>Garden City, N.Y., Doubleday, 1969.</t>
        </is>
      </c>
      <c r="O840" t="inlineStr">
        <is>
          <t>1969</t>
        </is>
      </c>
      <c r="P840" t="inlineStr">
        <is>
          <t>[1st ed.]</t>
        </is>
      </c>
      <c r="Q840" t="inlineStr">
        <is>
          <t>eng</t>
        </is>
      </c>
      <c r="R840" t="inlineStr">
        <is>
          <t>nyu</t>
        </is>
      </c>
      <c r="S840" t="inlineStr">
        <is>
          <t>Science study series</t>
        </is>
      </c>
      <c r="T840" t="inlineStr">
        <is>
          <t xml:space="preserve">QP </t>
        </is>
      </c>
      <c r="U840" t="n">
        <v>8</v>
      </c>
      <c r="V840" t="n">
        <v>8</v>
      </c>
      <c r="W840" t="inlineStr">
        <is>
          <t>2004-05-06</t>
        </is>
      </c>
      <c r="X840" t="inlineStr">
        <is>
          <t>2004-05-06</t>
        </is>
      </c>
      <c r="Y840" t="inlineStr">
        <is>
          <t>1997-08-04</t>
        </is>
      </c>
      <c r="Z840" t="inlineStr">
        <is>
          <t>1997-08-04</t>
        </is>
      </c>
      <c r="AA840" t="n">
        <v>645</v>
      </c>
      <c r="AB840" t="n">
        <v>584</v>
      </c>
      <c r="AC840" t="n">
        <v>621</v>
      </c>
      <c r="AD840" t="n">
        <v>7</v>
      </c>
      <c r="AE840" t="n">
        <v>7</v>
      </c>
      <c r="AF840" t="n">
        <v>16</v>
      </c>
      <c r="AG840" t="n">
        <v>18</v>
      </c>
      <c r="AH840" t="n">
        <v>5</v>
      </c>
      <c r="AI840" t="n">
        <v>7</v>
      </c>
      <c r="AJ840" t="n">
        <v>1</v>
      </c>
      <c r="AK840" t="n">
        <v>1</v>
      </c>
      <c r="AL840" t="n">
        <v>7</v>
      </c>
      <c r="AM840" t="n">
        <v>9</v>
      </c>
      <c r="AN840" t="n">
        <v>5</v>
      </c>
      <c r="AO840" t="n">
        <v>5</v>
      </c>
      <c r="AP840" t="n">
        <v>0</v>
      </c>
      <c r="AQ840" t="n">
        <v>0</v>
      </c>
      <c r="AR840" t="inlineStr">
        <is>
          <t>No</t>
        </is>
      </c>
      <c r="AS840" t="inlineStr">
        <is>
          <t>Yes</t>
        </is>
      </c>
      <c r="AT840">
        <f>HYPERLINK("http://catalog.hathitrust.org/Record/001576684","HathiTrust Record")</f>
        <v/>
      </c>
      <c r="AU840">
        <f>HYPERLINK("https://creighton-primo.hosted.exlibrisgroup.com/primo-explore/search?tab=default_tab&amp;search_scope=EVERYTHING&amp;vid=01CRU&amp;lang=en_US&amp;offset=0&amp;query=any,contains,991005433199702656","Catalog Record")</f>
        <v/>
      </c>
      <c r="AV840">
        <f>HYPERLINK("http://www.worldcat.org/oclc/1688","WorldCat Record")</f>
        <v/>
      </c>
      <c r="AW840" t="inlineStr">
        <is>
          <t>291897385:eng</t>
        </is>
      </c>
      <c r="AX840" t="inlineStr">
        <is>
          <t>1688</t>
        </is>
      </c>
      <c r="AY840" t="inlineStr">
        <is>
          <t>991005433199702656</t>
        </is>
      </c>
      <c r="AZ840" t="inlineStr">
        <is>
          <t>991005433199702656</t>
        </is>
      </c>
      <c r="BA840" t="inlineStr">
        <is>
          <t>2271286910002656</t>
        </is>
      </c>
      <c r="BB840" t="inlineStr">
        <is>
          <t>BOOK</t>
        </is>
      </c>
      <c r="BE840" t="inlineStr">
        <is>
          <t>32285003012043</t>
        </is>
      </c>
      <c r="BF840" t="inlineStr">
        <is>
          <t>893248915</t>
        </is>
      </c>
    </row>
    <row r="841">
      <c r="B841" t="inlineStr">
        <is>
          <t>CURAL</t>
        </is>
      </c>
      <c r="C841" t="inlineStr">
        <is>
          <t>SHELVES</t>
        </is>
      </c>
      <c r="D841" t="inlineStr">
        <is>
          <t>QP82 .L53 1979</t>
        </is>
      </c>
      <c r="E841" t="inlineStr">
        <is>
          <t>0                      QP 0082000L  53          1979</t>
        </is>
      </c>
      <c r="F841" t="inlineStr">
        <is>
          <t>Environmental physiology : aging, heat, and altitude : proceedings of Life, Heat, and Altitude Conference held on May 15-17, 1979 at the University of Nevada, Las Vegas, Nevada, U.S.A. / editors, Steven M. Horvath and Mohamed K. Yousef.</t>
        </is>
      </c>
      <c r="H841" t="inlineStr">
        <is>
          <t>No</t>
        </is>
      </c>
      <c r="I841" t="inlineStr">
        <is>
          <t>1</t>
        </is>
      </c>
      <c r="J841" t="inlineStr">
        <is>
          <t>No</t>
        </is>
      </c>
      <c r="K841" t="inlineStr">
        <is>
          <t>No</t>
        </is>
      </c>
      <c r="L841" t="inlineStr">
        <is>
          <t>0</t>
        </is>
      </c>
      <c r="M841" t="inlineStr">
        <is>
          <t>Life, Heat, and Altitude Conference (1979 : University of Nevada, Las Vegas)</t>
        </is>
      </c>
      <c r="N841" t="inlineStr">
        <is>
          <t>New York, N.Y. : Elsevier/North Holland, c1981.</t>
        </is>
      </c>
      <c r="O841" t="inlineStr">
        <is>
          <t>1981</t>
        </is>
      </c>
      <c r="Q841" t="inlineStr">
        <is>
          <t>eng</t>
        </is>
      </c>
      <c r="R841" t="inlineStr">
        <is>
          <t>nyu</t>
        </is>
      </c>
      <c r="T841" t="inlineStr">
        <is>
          <t xml:space="preserve">QP </t>
        </is>
      </c>
      <c r="U841" t="n">
        <v>3</v>
      </c>
      <c r="V841" t="n">
        <v>3</v>
      </c>
      <c r="W841" t="inlineStr">
        <is>
          <t>1994-10-24</t>
        </is>
      </c>
      <c r="X841" t="inlineStr">
        <is>
          <t>1994-10-24</t>
        </is>
      </c>
      <c r="Y841" t="inlineStr">
        <is>
          <t>1992-04-08</t>
        </is>
      </c>
      <c r="Z841" t="inlineStr">
        <is>
          <t>1992-04-08</t>
        </is>
      </c>
      <c r="AA841" t="n">
        <v>190</v>
      </c>
      <c r="AB841" t="n">
        <v>142</v>
      </c>
      <c r="AC841" t="n">
        <v>144</v>
      </c>
      <c r="AD841" t="n">
        <v>2</v>
      </c>
      <c r="AE841" t="n">
        <v>2</v>
      </c>
      <c r="AF841" t="n">
        <v>3</v>
      </c>
      <c r="AG841" t="n">
        <v>3</v>
      </c>
      <c r="AH841" t="n">
        <v>1</v>
      </c>
      <c r="AI841" t="n">
        <v>1</v>
      </c>
      <c r="AJ841" t="n">
        <v>0</v>
      </c>
      <c r="AK841" t="n">
        <v>0</v>
      </c>
      <c r="AL841" t="n">
        <v>2</v>
      </c>
      <c r="AM841" t="n">
        <v>2</v>
      </c>
      <c r="AN841" t="n">
        <v>1</v>
      </c>
      <c r="AO841" t="n">
        <v>1</v>
      </c>
      <c r="AP841" t="n">
        <v>0</v>
      </c>
      <c r="AQ841" t="n">
        <v>0</v>
      </c>
      <c r="AR841" t="inlineStr">
        <is>
          <t>No</t>
        </is>
      </c>
      <c r="AS841" t="inlineStr">
        <is>
          <t>Yes</t>
        </is>
      </c>
      <c r="AT841">
        <f>HYPERLINK("http://catalog.hathitrust.org/Record/002649345","HathiTrust Record")</f>
        <v/>
      </c>
      <c r="AU841">
        <f>HYPERLINK("https://creighton-primo.hosted.exlibrisgroup.com/primo-explore/search?tab=default_tab&amp;search_scope=EVERYTHING&amp;vid=01CRU&amp;lang=en_US&amp;offset=0&amp;query=any,contains,991005079119702656","Catalog Record")</f>
        <v/>
      </c>
      <c r="AV841">
        <f>HYPERLINK("http://www.worldcat.org/oclc/7168697","WorldCat Record")</f>
        <v/>
      </c>
      <c r="AW841" t="inlineStr">
        <is>
          <t>25856181:eng</t>
        </is>
      </c>
      <c r="AX841" t="inlineStr">
        <is>
          <t>7168697</t>
        </is>
      </c>
      <c r="AY841" t="inlineStr">
        <is>
          <t>991005079119702656</t>
        </is>
      </c>
      <c r="AZ841" t="inlineStr">
        <is>
          <t>991005079119702656</t>
        </is>
      </c>
      <c r="BA841" t="inlineStr">
        <is>
          <t>2270056230002656</t>
        </is>
      </c>
      <c r="BB841" t="inlineStr">
        <is>
          <t>BOOK</t>
        </is>
      </c>
      <c r="BD841" t="inlineStr">
        <is>
          <t>9780444005830</t>
        </is>
      </c>
      <c r="BE841" t="inlineStr">
        <is>
          <t>32285001056521</t>
        </is>
      </c>
      <c r="BF841" t="inlineStr">
        <is>
          <t>893694725</t>
        </is>
      </c>
    </row>
    <row r="842">
      <c r="B842" t="inlineStr">
        <is>
          <t>CURAL</t>
        </is>
      </c>
      <c r="C842" t="inlineStr">
        <is>
          <t>SHELVES</t>
        </is>
      </c>
      <c r="D842" t="inlineStr">
        <is>
          <t>QP82 .L668 1993</t>
        </is>
      </c>
      <c r="E842" t="inlineStr">
        <is>
          <t>0                      QP 0082000L  668         1993</t>
        </is>
      </c>
      <c r="F842" t="inlineStr">
        <is>
          <t>Physiological animal ecology / Gideon N. Louw.</t>
        </is>
      </c>
      <c r="H842" t="inlineStr">
        <is>
          <t>No</t>
        </is>
      </c>
      <c r="I842" t="inlineStr">
        <is>
          <t>1</t>
        </is>
      </c>
      <c r="J842" t="inlineStr">
        <is>
          <t>No</t>
        </is>
      </c>
      <c r="K842" t="inlineStr">
        <is>
          <t>No</t>
        </is>
      </c>
      <c r="L842" t="inlineStr">
        <is>
          <t>0</t>
        </is>
      </c>
      <c r="M842" t="inlineStr">
        <is>
          <t>Louw, Gideon, 1930-</t>
        </is>
      </c>
      <c r="N842" t="inlineStr">
        <is>
          <t>Harlow, Essex, England : Longman Scientific &amp; Technical ; New York, NY : Co-published in the U.S. with J. Wiley, 1993.</t>
        </is>
      </c>
      <c r="O842" t="inlineStr">
        <is>
          <t>1993</t>
        </is>
      </c>
      <c r="Q842" t="inlineStr">
        <is>
          <t>eng</t>
        </is>
      </c>
      <c r="R842" t="inlineStr">
        <is>
          <t>enk</t>
        </is>
      </c>
      <c r="T842" t="inlineStr">
        <is>
          <t xml:space="preserve">QP </t>
        </is>
      </c>
      <c r="U842" t="n">
        <v>5</v>
      </c>
      <c r="V842" t="n">
        <v>5</v>
      </c>
      <c r="W842" t="inlineStr">
        <is>
          <t>2001-02-16</t>
        </is>
      </c>
      <c r="X842" t="inlineStr">
        <is>
          <t>2001-02-16</t>
        </is>
      </c>
      <c r="Y842" t="inlineStr">
        <is>
          <t>1994-01-05</t>
        </is>
      </c>
      <c r="Z842" t="inlineStr">
        <is>
          <t>1994-01-05</t>
        </is>
      </c>
      <c r="AA842" t="n">
        <v>489</v>
      </c>
      <c r="AB842" t="n">
        <v>327</v>
      </c>
      <c r="AC842" t="n">
        <v>334</v>
      </c>
      <c r="AD842" t="n">
        <v>2</v>
      </c>
      <c r="AE842" t="n">
        <v>2</v>
      </c>
      <c r="AF842" t="n">
        <v>16</v>
      </c>
      <c r="AG842" t="n">
        <v>16</v>
      </c>
      <c r="AH842" t="n">
        <v>9</v>
      </c>
      <c r="AI842" t="n">
        <v>9</v>
      </c>
      <c r="AJ842" t="n">
        <v>4</v>
      </c>
      <c r="AK842" t="n">
        <v>4</v>
      </c>
      <c r="AL842" t="n">
        <v>6</v>
      </c>
      <c r="AM842" t="n">
        <v>6</v>
      </c>
      <c r="AN842" t="n">
        <v>1</v>
      </c>
      <c r="AO842" t="n">
        <v>1</v>
      </c>
      <c r="AP842" t="n">
        <v>0</v>
      </c>
      <c r="AQ842" t="n">
        <v>0</v>
      </c>
      <c r="AR842" t="inlineStr">
        <is>
          <t>No</t>
        </is>
      </c>
      <c r="AS842" t="inlineStr">
        <is>
          <t>Yes</t>
        </is>
      </c>
      <c r="AT842">
        <f>HYPERLINK("http://catalog.hathitrust.org/Record/002647520","HathiTrust Record")</f>
        <v/>
      </c>
      <c r="AU842">
        <f>HYPERLINK("https://creighton-primo.hosted.exlibrisgroup.com/primo-explore/search?tab=default_tab&amp;search_scope=EVERYTHING&amp;vid=01CRU&amp;lang=en_US&amp;offset=0&amp;query=any,contains,991001977019702656","Catalog Record")</f>
        <v/>
      </c>
      <c r="AV842">
        <f>HYPERLINK("http://www.worldcat.org/oclc/25051451","WorldCat Record")</f>
        <v/>
      </c>
      <c r="AW842" t="inlineStr">
        <is>
          <t>26266015:eng</t>
        </is>
      </c>
      <c r="AX842" t="inlineStr">
        <is>
          <t>25051451</t>
        </is>
      </c>
      <c r="AY842" t="inlineStr">
        <is>
          <t>991001977019702656</t>
        </is>
      </c>
      <c r="AZ842" t="inlineStr">
        <is>
          <t>991001977019702656</t>
        </is>
      </c>
      <c r="BA842" t="inlineStr">
        <is>
          <t>2268890930002656</t>
        </is>
      </c>
      <c r="BB842" t="inlineStr">
        <is>
          <t>BOOK</t>
        </is>
      </c>
      <c r="BD842" t="inlineStr">
        <is>
          <t>9780470218662</t>
        </is>
      </c>
      <c r="BE842" t="inlineStr">
        <is>
          <t>32285001819555</t>
        </is>
      </c>
      <c r="BF842" t="inlineStr">
        <is>
          <t>893872953</t>
        </is>
      </c>
    </row>
    <row r="843">
      <c r="B843" t="inlineStr">
        <is>
          <t>CURAL</t>
        </is>
      </c>
      <c r="C843" t="inlineStr">
        <is>
          <t>SHELVES</t>
        </is>
      </c>
      <c r="D843" t="inlineStr">
        <is>
          <t>QP82 .S52 1986</t>
        </is>
      </c>
      <c r="E843" t="inlineStr">
        <is>
          <t>0                      QP 0082000S  52          1986</t>
        </is>
      </c>
      <c r="F843" t="inlineStr">
        <is>
          <t>Physiological ecology of animals : an evolutionary approach / R.M. Sibly, P. Calow.</t>
        </is>
      </c>
      <c r="H843" t="inlineStr">
        <is>
          <t>No</t>
        </is>
      </c>
      <c r="I843" t="inlineStr">
        <is>
          <t>1</t>
        </is>
      </c>
      <c r="J843" t="inlineStr">
        <is>
          <t>No</t>
        </is>
      </c>
      <c r="K843" t="inlineStr">
        <is>
          <t>No</t>
        </is>
      </c>
      <c r="L843" t="inlineStr">
        <is>
          <t>0</t>
        </is>
      </c>
      <c r="M843" t="inlineStr">
        <is>
          <t>Sibly, R. M.</t>
        </is>
      </c>
      <c r="N843" t="inlineStr">
        <is>
          <t>Oxford : Blackwell Scientific, c1986.</t>
        </is>
      </c>
      <c r="O843" t="inlineStr">
        <is>
          <t>1986</t>
        </is>
      </c>
      <c r="Q843" t="inlineStr">
        <is>
          <t>eng</t>
        </is>
      </c>
      <c r="R843" t="inlineStr">
        <is>
          <t>enk</t>
        </is>
      </c>
      <c r="T843" t="inlineStr">
        <is>
          <t xml:space="preserve">QP </t>
        </is>
      </c>
      <c r="U843" t="n">
        <v>4</v>
      </c>
      <c r="V843" t="n">
        <v>4</v>
      </c>
      <c r="W843" t="inlineStr">
        <is>
          <t>2001-02-16</t>
        </is>
      </c>
      <c r="X843" t="inlineStr">
        <is>
          <t>2001-02-16</t>
        </is>
      </c>
      <c r="Y843" t="inlineStr">
        <is>
          <t>1993-02-24</t>
        </is>
      </c>
      <c r="Z843" t="inlineStr">
        <is>
          <t>1993-02-24</t>
        </is>
      </c>
      <c r="AA843" t="n">
        <v>368</v>
      </c>
      <c r="AB843" t="n">
        <v>229</v>
      </c>
      <c r="AC843" t="n">
        <v>234</v>
      </c>
      <c r="AD843" t="n">
        <v>4</v>
      </c>
      <c r="AE843" t="n">
        <v>4</v>
      </c>
      <c r="AF843" t="n">
        <v>14</v>
      </c>
      <c r="AG843" t="n">
        <v>14</v>
      </c>
      <c r="AH843" t="n">
        <v>4</v>
      </c>
      <c r="AI843" t="n">
        <v>4</v>
      </c>
      <c r="AJ843" t="n">
        <v>5</v>
      </c>
      <c r="AK843" t="n">
        <v>5</v>
      </c>
      <c r="AL843" t="n">
        <v>7</v>
      </c>
      <c r="AM843" t="n">
        <v>7</v>
      </c>
      <c r="AN843" t="n">
        <v>3</v>
      </c>
      <c r="AO843" t="n">
        <v>3</v>
      </c>
      <c r="AP843" t="n">
        <v>0</v>
      </c>
      <c r="AQ843" t="n">
        <v>0</v>
      </c>
      <c r="AR843" t="inlineStr">
        <is>
          <t>No</t>
        </is>
      </c>
      <c r="AS843" t="inlineStr">
        <is>
          <t>No</t>
        </is>
      </c>
      <c r="AU843">
        <f>HYPERLINK("https://creighton-primo.hosted.exlibrisgroup.com/primo-explore/search?tab=default_tab&amp;search_scope=EVERYTHING&amp;vid=01CRU&amp;lang=en_US&amp;offset=0&amp;query=any,contains,991000775899702656","Catalog Record")</f>
        <v/>
      </c>
      <c r="AV843">
        <f>HYPERLINK("http://www.worldcat.org/oclc/20018659","WorldCat Record")</f>
        <v/>
      </c>
      <c r="AW843" t="inlineStr">
        <is>
          <t>890320043:eng</t>
        </is>
      </c>
      <c r="AX843" t="inlineStr">
        <is>
          <t>20018659</t>
        </is>
      </c>
      <c r="AY843" t="inlineStr">
        <is>
          <t>991000775899702656</t>
        </is>
      </c>
      <c r="AZ843" t="inlineStr">
        <is>
          <t>991000775899702656</t>
        </is>
      </c>
      <c r="BA843" t="inlineStr">
        <is>
          <t>2257009650002656</t>
        </is>
      </c>
      <c r="BB843" t="inlineStr">
        <is>
          <t>BOOK</t>
        </is>
      </c>
      <c r="BD843" t="inlineStr">
        <is>
          <t>9780632014958</t>
        </is>
      </c>
      <c r="BE843" t="inlineStr">
        <is>
          <t>32285001549145</t>
        </is>
      </c>
      <c r="BF843" t="inlineStr">
        <is>
          <t>893614491</t>
        </is>
      </c>
    </row>
    <row r="844">
      <c r="B844" t="inlineStr">
        <is>
          <t>CURAL</t>
        </is>
      </c>
      <c r="C844" t="inlineStr">
        <is>
          <t>SHELVES</t>
        </is>
      </c>
      <c r="D844" t="inlineStr">
        <is>
          <t>QP82 .S56</t>
        </is>
      </c>
      <c r="E844" t="inlineStr">
        <is>
          <t>0                      QP 0082000S  56</t>
        </is>
      </c>
      <c r="F844" t="inlineStr">
        <is>
          <t>Environmental physiology / edited by N. Balfour Slonim. With twenty-two contributors.</t>
        </is>
      </c>
      <c r="H844" t="inlineStr">
        <is>
          <t>No</t>
        </is>
      </c>
      <c r="I844" t="inlineStr">
        <is>
          <t>1</t>
        </is>
      </c>
      <c r="J844" t="inlineStr">
        <is>
          <t>No</t>
        </is>
      </c>
      <c r="K844" t="inlineStr">
        <is>
          <t>No</t>
        </is>
      </c>
      <c r="L844" t="inlineStr">
        <is>
          <t>0</t>
        </is>
      </c>
      <c r="M844" t="inlineStr">
        <is>
          <t>Slonim, N. Balfour, 1923-</t>
        </is>
      </c>
      <c r="N844" t="inlineStr">
        <is>
          <t>Saint Louis : C. V. Mosby Co., 1974.</t>
        </is>
      </c>
      <c r="O844" t="inlineStr">
        <is>
          <t>1974</t>
        </is>
      </c>
      <c r="Q844" t="inlineStr">
        <is>
          <t>eng</t>
        </is>
      </c>
      <c r="R844" t="inlineStr">
        <is>
          <t>mou</t>
        </is>
      </c>
      <c r="T844" t="inlineStr">
        <is>
          <t xml:space="preserve">QP </t>
        </is>
      </c>
      <c r="U844" t="n">
        <v>5</v>
      </c>
      <c r="V844" t="n">
        <v>5</v>
      </c>
      <c r="W844" t="inlineStr">
        <is>
          <t>1994-10-24</t>
        </is>
      </c>
      <c r="X844" t="inlineStr">
        <is>
          <t>1994-10-24</t>
        </is>
      </c>
      <c r="Y844" t="inlineStr">
        <is>
          <t>1993-08-31</t>
        </is>
      </c>
      <c r="Z844" t="inlineStr">
        <is>
          <t>1993-08-31</t>
        </is>
      </c>
      <c r="AA844" t="n">
        <v>357</v>
      </c>
      <c r="AB844" t="n">
        <v>278</v>
      </c>
      <c r="AC844" t="n">
        <v>284</v>
      </c>
      <c r="AD844" t="n">
        <v>6</v>
      </c>
      <c r="AE844" t="n">
        <v>6</v>
      </c>
      <c r="AF844" t="n">
        <v>15</v>
      </c>
      <c r="AG844" t="n">
        <v>15</v>
      </c>
      <c r="AH844" t="n">
        <v>3</v>
      </c>
      <c r="AI844" t="n">
        <v>3</v>
      </c>
      <c r="AJ844" t="n">
        <v>4</v>
      </c>
      <c r="AK844" t="n">
        <v>4</v>
      </c>
      <c r="AL844" t="n">
        <v>6</v>
      </c>
      <c r="AM844" t="n">
        <v>6</v>
      </c>
      <c r="AN844" t="n">
        <v>5</v>
      </c>
      <c r="AO844" t="n">
        <v>5</v>
      </c>
      <c r="AP844" t="n">
        <v>0</v>
      </c>
      <c r="AQ844" t="n">
        <v>0</v>
      </c>
      <c r="AR844" t="inlineStr">
        <is>
          <t>No</t>
        </is>
      </c>
      <c r="AS844" t="inlineStr">
        <is>
          <t>Yes</t>
        </is>
      </c>
      <c r="AT844">
        <f>HYPERLINK("http://catalog.hathitrust.org/Record/000010255","HathiTrust Record")</f>
        <v/>
      </c>
      <c r="AU844">
        <f>HYPERLINK("https://creighton-primo.hosted.exlibrisgroup.com/primo-explore/search?tab=default_tab&amp;search_scope=EVERYTHING&amp;vid=01CRU&amp;lang=en_US&amp;offset=0&amp;query=any,contains,991003189209702656","Catalog Record")</f>
        <v/>
      </c>
      <c r="AV844">
        <f>HYPERLINK("http://www.worldcat.org/oclc/714409","WorldCat Record")</f>
        <v/>
      </c>
      <c r="AW844" t="inlineStr">
        <is>
          <t>1675798:eng</t>
        </is>
      </c>
      <c r="AX844" t="inlineStr">
        <is>
          <t>714409</t>
        </is>
      </c>
      <c r="AY844" t="inlineStr">
        <is>
          <t>991003189209702656</t>
        </is>
      </c>
      <c r="AZ844" t="inlineStr">
        <is>
          <t>991003189209702656</t>
        </is>
      </c>
      <c r="BA844" t="inlineStr">
        <is>
          <t>2256113550002656</t>
        </is>
      </c>
      <c r="BB844" t="inlineStr">
        <is>
          <t>BOOK</t>
        </is>
      </c>
      <c r="BD844" t="inlineStr">
        <is>
          <t>9780801646591</t>
        </is>
      </c>
      <c r="BE844" t="inlineStr">
        <is>
          <t>32285001762854</t>
        </is>
      </c>
      <c r="BF844" t="inlineStr">
        <is>
          <t>893416135</t>
        </is>
      </c>
    </row>
    <row r="845">
      <c r="B845" t="inlineStr">
        <is>
          <t>CURAL</t>
        </is>
      </c>
      <c r="C845" t="inlineStr">
        <is>
          <t>SHELVES</t>
        </is>
      </c>
      <c r="D845" t="inlineStr">
        <is>
          <t>QP82.2 .R3 A57 V.2</t>
        </is>
      </c>
      <c r="E845" t="inlineStr">
        <is>
          <t>0                      QP 0082200R  3                  A  57                                V.2</t>
        </is>
      </c>
      <c r="F845" t="inlineStr">
        <is>
          <t>Radiation biochemistry / by Kurt I. Altman, Georg B. Gerber [and] Shigefumi Okada.</t>
        </is>
      </c>
      <c r="G845" t="inlineStr">
        <is>
          <t>V.2*</t>
        </is>
      </c>
      <c r="H845" t="inlineStr">
        <is>
          <t>Yes</t>
        </is>
      </c>
      <c r="I845" t="inlineStr">
        <is>
          <t>1</t>
        </is>
      </c>
      <c r="J845" t="inlineStr">
        <is>
          <t>No</t>
        </is>
      </c>
      <c r="K845" t="inlineStr">
        <is>
          <t>No</t>
        </is>
      </c>
      <c r="L845" t="inlineStr">
        <is>
          <t>0</t>
        </is>
      </c>
      <c r="M845" t="inlineStr">
        <is>
          <t>Altman, Kurt I.</t>
        </is>
      </c>
      <c r="N845" t="inlineStr">
        <is>
          <t>New York : Academic Press, 1970.</t>
        </is>
      </c>
      <c r="O845" t="inlineStr">
        <is>
          <t>1970</t>
        </is>
      </c>
      <c r="Q845" t="inlineStr">
        <is>
          <t>eng</t>
        </is>
      </c>
      <c r="R845" t="inlineStr">
        <is>
          <t>nyu</t>
        </is>
      </c>
      <c r="T845" t="inlineStr">
        <is>
          <t xml:space="preserve">QP </t>
        </is>
      </c>
      <c r="U845" t="n">
        <v>1</v>
      </c>
      <c r="V845" t="n">
        <v>6</v>
      </c>
      <c r="X845" t="inlineStr">
        <is>
          <t>1999-09-21</t>
        </is>
      </c>
      <c r="Y845" t="inlineStr">
        <is>
          <t>1995-03-17</t>
        </is>
      </c>
      <c r="Z845" t="inlineStr">
        <is>
          <t>1995-03-17</t>
        </is>
      </c>
      <c r="AA845" t="n">
        <v>390</v>
      </c>
      <c r="AB845" t="n">
        <v>295</v>
      </c>
      <c r="AC845" t="n">
        <v>330</v>
      </c>
      <c r="AD845" t="n">
        <v>5</v>
      </c>
      <c r="AE845" t="n">
        <v>5</v>
      </c>
      <c r="AF845" t="n">
        <v>15</v>
      </c>
      <c r="AG845" t="n">
        <v>17</v>
      </c>
      <c r="AH845" t="n">
        <v>3</v>
      </c>
      <c r="AI845" t="n">
        <v>4</v>
      </c>
      <c r="AJ845" t="n">
        <v>4</v>
      </c>
      <c r="AK845" t="n">
        <v>5</v>
      </c>
      <c r="AL845" t="n">
        <v>9</v>
      </c>
      <c r="AM845" t="n">
        <v>9</v>
      </c>
      <c r="AN845" t="n">
        <v>4</v>
      </c>
      <c r="AO845" t="n">
        <v>4</v>
      </c>
      <c r="AP845" t="n">
        <v>0</v>
      </c>
      <c r="AQ845" t="n">
        <v>0</v>
      </c>
      <c r="AR845" t="inlineStr">
        <is>
          <t>No</t>
        </is>
      </c>
      <c r="AS845" t="inlineStr">
        <is>
          <t>Yes</t>
        </is>
      </c>
      <c r="AT845">
        <f>HYPERLINK("http://catalog.hathitrust.org/Record/000186862","HathiTrust Record")</f>
        <v/>
      </c>
      <c r="AU845">
        <f>HYPERLINK("https://creighton-primo.hosted.exlibrisgroup.com/primo-explore/search?tab=default_tab&amp;search_scope=EVERYTHING&amp;vid=01CRU&amp;lang=en_US&amp;offset=0&amp;query=any,contains,991000431699702656","Catalog Record")</f>
        <v/>
      </c>
      <c r="AV845">
        <f>HYPERLINK("http://www.worldcat.org/oclc/75885","WorldCat Record")</f>
        <v/>
      </c>
      <c r="AW845" t="inlineStr">
        <is>
          <t>4820478352:eng</t>
        </is>
      </c>
      <c r="AX845" t="inlineStr">
        <is>
          <t>75885</t>
        </is>
      </c>
      <c r="AY845" t="inlineStr">
        <is>
          <t>991000431699702656</t>
        </is>
      </c>
      <c r="AZ845" t="inlineStr">
        <is>
          <t>991000431699702656</t>
        </is>
      </c>
      <c r="BA845" t="inlineStr">
        <is>
          <t>2255781710002656</t>
        </is>
      </c>
      <c r="BB845" t="inlineStr">
        <is>
          <t>BOOK</t>
        </is>
      </c>
      <c r="BD845" t="inlineStr">
        <is>
          <t>9780120545018</t>
        </is>
      </c>
      <c r="BE845" t="inlineStr">
        <is>
          <t>32285002020468</t>
        </is>
      </c>
      <c r="BF845" t="inlineStr">
        <is>
          <t>893878022</t>
        </is>
      </c>
    </row>
    <row r="846">
      <c r="B846" t="inlineStr">
        <is>
          <t>CURAL</t>
        </is>
      </c>
      <c r="C846" t="inlineStr">
        <is>
          <t>SHELVES</t>
        </is>
      </c>
      <c r="D846" t="inlineStr">
        <is>
          <t>QP82.2.A3 A38 1982</t>
        </is>
      </c>
      <c r="E846" t="inlineStr">
        <is>
          <t>0                      QP 0082200A  3                  A  38          1982</t>
        </is>
      </c>
      <c r="F846" t="inlineStr">
        <is>
          <t>Air pollution--physiological effects / edited by James J. McGrath, Charles D. Barnes.</t>
        </is>
      </c>
      <c r="H846" t="inlineStr">
        <is>
          <t>No</t>
        </is>
      </c>
      <c r="I846" t="inlineStr">
        <is>
          <t>1</t>
        </is>
      </c>
      <c r="J846" t="inlineStr">
        <is>
          <t>No</t>
        </is>
      </c>
      <c r="K846" t="inlineStr">
        <is>
          <t>No</t>
        </is>
      </c>
      <c r="L846" t="inlineStr">
        <is>
          <t>0</t>
        </is>
      </c>
      <c r="N846" t="inlineStr">
        <is>
          <t>New York : Academic Press, 1982.</t>
        </is>
      </c>
      <c r="O846" t="inlineStr">
        <is>
          <t>1982</t>
        </is>
      </c>
      <c r="Q846" t="inlineStr">
        <is>
          <t>eng</t>
        </is>
      </c>
      <c r="R846" t="inlineStr">
        <is>
          <t>nyu</t>
        </is>
      </c>
      <c r="S846" t="inlineStr">
        <is>
          <t>Research topics in physiology</t>
        </is>
      </c>
      <c r="T846" t="inlineStr">
        <is>
          <t xml:space="preserve">QP </t>
        </is>
      </c>
      <c r="U846" t="n">
        <v>1</v>
      </c>
      <c r="V846" t="n">
        <v>1</v>
      </c>
      <c r="W846" t="inlineStr">
        <is>
          <t>1994-01-04</t>
        </is>
      </c>
      <c r="X846" t="inlineStr">
        <is>
          <t>1994-01-04</t>
        </is>
      </c>
      <c r="Y846" t="inlineStr">
        <is>
          <t>1993-02-24</t>
        </is>
      </c>
      <c r="Z846" t="inlineStr">
        <is>
          <t>1993-02-24</t>
        </is>
      </c>
      <c r="AA846" t="n">
        <v>298</v>
      </c>
      <c r="AB846" t="n">
        <v>227</v>
      </c>
      <c r="AC846" t="n">
        <v>252</v>
      </c>
      <c r="AD846" t="n">
        <v>1</v>
      </c>
      <c r="AE846" t="n">
        <v>1</v>
      </c>
      <c r="AF846" t="n">
        <v>3</v>
      </c>
      <c r="AG846" t="n">
        <v>4</v>
      </c>
      <c r="AH846" t="n">
        <v>1</v>
      </c>
      <c r="AI846" t="n">
        <v>2</v>
      </c>
      <c r="AJ846" t="n">
        <v>2</v>
      </c>
      <c r="AK846" t="n">
        <v>3</v>
      </c>
      <c r="AL846" t="n">
        <v>2</v>
      </c>
      <c r="AM846" t="n">
        <v>2</v>
      </c>
      <c r="AN846" t="n">
        <v>0</v>
      </c>
      <c r="AO846" t="n">
        <v>0</v>
      </c>
      <c r="AP846" t="n">
        <v>0</v>
      </c>
      <c r="AQ846" t="n">
        <v>0</v>
      </c>
      <c r="AR846" t="inlineStr">
        <is>
          <t>No</t>
        </is>
      </c>
      <c r="AS846" t="inlineStr">
        <is>
          <t>Yes</t>
        </is>
      </c>
      <c r="AT846">
        <f>HYPERLINK("http://catalog.hathitrust.org/Record/000310143","HathiTrust Record")</f>
        <v/>
      </c>
      <c r="AU846">
        <f>HYPERLINK("https://creighton-primo.hosted.exlibrisgroup.com/primo-explore/search?tab=default_tab&amp;search_scope=EVERYTHING&amp;vid=01CRU&amp;lang=en_US&amp;offset=0&amp;query=any,contains,991005233229702656","Catalog Record")</f>
        <v/>
      </c>
      <c r="AV846">
        <f>HYPERLINK("http://www.worldcat.org/oclc/8346272","WorldCat Record")</f>
        <v/>
      </c>
      <c r="AW846" t="inlineStr">
        <is>
          <t>355949888:eng</t>
        </is>
      </c>
      <c r="AX846" t="inlineStr">
        <is>
          <t>8346272</t>
        </is>
      </c>
      <c r="AY846" t="inlineStr">
        <is>
          <t>991005233229702656</t>
        </is>
      </c>
      <c r="AZ846" t="inlineStr">
        <is>
          <t>991005233229702656</t>
        </is>
      </c>
      <c r="BA846" t="inlineStr">
        <is>
          <t>2263308190002656</t>
        </is>
      </c>
      <c r="BB846" t="inlineStr">
        <is>
          <t>BOOK</t>
        </is>
      </c>
      <c r="BD846" t="inlineStr">
        <is>
          <t>9780124838802</t>
        </is>
      </c>
      <c r="BE846" t="inlineStr">
        <is>
          <t>32285001549152</t>
        </is>
      </c>
      <c r="BF846" t="inlineStr">
        <is>
          <t>893350949</t>
        </is>
      </c>
    </row>
    <row r="847">
      <c r="B847" t="inlineStr">
        <is>
          <t>CURAL</t>
        </is>
      </c>
      <c r="C847" t="inlineStr">
        <is>
          <t>SHELVES</t>
        </is>
      </c>
      <c r="D847" t="inlineStr">
        <is>
          <t>QP82.2.A4 B68 1985</t>
        </is>
      </c>
      <c r="E847" t="inlineStr">
        <is>
          <t>0                      QP 0082200A  4                  B  68          1985</t>
        </is>
      </c>
      <c r="F847" t="inlineStr">
        <is>
          <t>Adaptation to altitude-hypoxia in vertebrates / Pierre Bouverot.</t>
        </is>
      </c>
      <c r="H847" t="inlineStr">
        <is>
          <t>No</t>
        </is>
      </c>
      <c r="I847" t="inlineStr">
        <is>
          <t>1</t>
        </is>
      </c>
      <c r="J847" t="inlineStr">
        <is>
          <t>No</t>
        </is>
      </c>
      <c r="K847" t="inlineStr">
        <is>
          <t>No</t>
        </is>
      </c>
      <c r="L847" t="inlineStr">
        <is>
          <t>0</t>
        </is>
      </c>
      <c r="M847" t="inlineStr">
        <is>
          <t>Bouverot, Pierre, 1924-</t>
        </is>
      </c>
      <c r="N847" t="inlineStr">
        <is>
          <t>Berlin ; New York : Springer-Verlag, 1985.</t>
        </is>
      </c>
      <c r="O847" t="inlineStr">
        <is>
          <t>1985</t>
        </is>
      </c>
      <c r="Q847" t="inlineStr">
        <is>
          <t>eng</t>
        </is>
      </c>
      <c r="R847" t="inlineStr">
        <is>
          <t xml:space="preserve">gw </t>
        </is>
      </c>
      <c r="S847" t="inlineStr">
        <is>
          <t>Zoophysiology ; v. 16</t>
        </is>
      </c>
      <c r="T847" t="inlineStr">
        <is>
          <t xml:space="preserve">QP </t>
        </is>
      </c>
      <c r="U847" t="n">
        <v>3</v>
      </c>
      <c r="V847" t="n">
        <v>3</v>
      </c>
      <c r="W847" t="inlineStr">
        <is>
          <t>2003-12-11</t>
        </is>
      </c>
      <c r="X847" t="inlineStr">
        <is>
          <t>2003-12-11</t>
        </is>
      </c>
      <c r="Y847" t="inlineStr">
        <is>
          <t>1993-03-31</t>
        </is>
      </c>
      <c r="Z847" t="inlineStr">
        <is>
          <t>1993-03-31</t>
        </is>
      </c>
      <c r="AA847" t="n">
        <v>252</v>
      </c>
      <c r="AB847" t="n">
        <v>181</v>
      </c>
      <c r="AC847" t="n">
        <v>199</v>
      </c>
      <c r="AD847" t="n">
        <v>2</v>
      </c>
      <c r="AE847" t="n">
        <v>2</v>
      </c>
      <c r="AF847" t="n">
        <v>7</v>
      </c>
      <c r="AG847" t="n">
        <v>8</v>
      </c>
      <c r="AH847" t="n">
        <v>1</v>
      </c>
      <c r="AI847" t="n">
        <v>2</v>
      </c>
      <c r="AJ847" t="n">
        <v>3</v>
      </c>
      <c r="AK847" t="n">
        <v>3</v>
      </c>
      <c r="AL847" t="n">
        <v>4</v>
      </c>
      <c r="AM847" t="n">
        <v>5</v>
      </c>
      <c r="AN847" t="n">
        <v>1</v>
      </c>
      <c r="AO847" t="n">
        <v>1</v>
      </c>
      <c r="AP847" t="n">
        <v>0</v>
      </c>
      <c r="AQ847" t="n">
        <v>0</v>
      </c>
      <c r="AR847" t="inlineStr">
        <is>
          <t>No</t>
        </is>
      </c>
      <c r="AS847" t="inlineStr">
        <is>
          <t>Yes</t>
        </is>
      </c>
      <c r="AT847">
        <f>HYPERLINK("http://catalog.hathitrust.org/Record/000572549","HathiTrust Record")</f>
        <v/>
      </c>
      <c r="AU847">
        <f>HYPERLINK("https://creighton-primo.hosted.exlibrisgroup.com/primo-explore/search?tab=default_tab&amp;search_scope=EVERYTHING&amp;vid=01CRU&amp;lang=en_US&amp;offset=0&amp;query=any,contains,991000487919702656","Catalog Record")</f>
        <v/>
      </c>
      <c r="AV847">
        <f>HYPERLINK("http://www.worldcat.org/oclc/11090112","WorldCat Record")</f>
        <v/>
      </c>
      <c r="AW847" t="inlineStr">
        <is>
          <t>355675808:eng</t>
        </is>
      </c>
      <c r="AX847" t="inlineStr">
        <is>
          <t>11090112</t>
        </is>
      </c>
      <c r="AY847" t="inlineStr">
        <is>
          <t>991000487919702656</t>
        </is>
      </c>
      <c r="AZ847" t="inlineStr">
        <is>
          <t>991000487919702656</t>
        </is>
      </c>
      <c r="BA847" t="inlineStr">
        <is>
          <t>2269234430002656</t>
        </is>
      </c>
      <c r="BB847" t="inlineStr">
        <is>
          <t>BOOK</t>
        </is>
      </c>
      <c r="BD847" t="inlineStr">
        <is>
          <t>9780387136028</t>
        </is>
      </c>
      <c r="BE847" t="inlineStr">
        <is>
          <t>32285001596740</t>
        </is>
      </c>
      <c r="BF847" t="inlineStr">
        <is>
          <t>893689733</t>
        </is>
      </c>
    </row>
    <row r="848">
      <c r="B848" t="inlineStr">
        <is>
          <t>CURAL</t>
        </is>
      </c>
      <c r="C848" t="inlineStr">
        <is>
          <t>SHELVES</t>
        </is>
      </c>
      <c r="D848" t="inlineStr">
        <is>
          <t>QP82.2.A4 H517 1984</t>
        </is>
      </c>
      <c r="E848" t="inlineStr">
        <is>
          <t>0                      QP 0082200A  4                  H  517         1984</t>
        </is>
      </c>
      <c r="F848" t="inlineStr">
        <is>
          <t>High altitude and man / edited by John B. West, Sukhamay Lahiri.</t>
        </is>
      </c>
      <c r="H848" t="inlineStr">
        <is>
          <t>No</t>
        </is>
      </c>
      <c r="I848" t="inlineStr">
        <is>
          <t>1</t>
        </is>
      </c>
      <c r="J848" t="inlineStr">
        <is>
          <t>Yes</t>
        </is>
      </c>
      <c r="K848" t="inlineStr">
        <is>
          <t>No</t>
        </is>
      </c>
      <c r="L848" t="inlineStr">
        <is>
          <t>0</t>
        </is>
      </c>
      <c r="N848" t="inlineStr">
        <is>
          <t>Bethesda, Md. : American Physiological Society ; Baltimore : Distributed by Williams &amp; Wilkins Co., 1984.</t>
        </is>
      </c>
      <c r="O848" t="inlineStr">
        <is>
          <t>1984</t>
        </is>
      </c>
      <c r="Q848" t="inlineStr">
        <is>
          <t>eng</t>
        </is>
      </c>
      <c r="R848" t="inlineStr">
        <is>
          <t>mdu</t>
        </is>
      </c>
      <c r="T848" t="inlineStr">
        <is>
          <t xml:space="preserve">QP </t>
        </is>
      </c>
      <c r="U848" t="n">
        <v>5</v>
      </c>
      <c r="V848" t="n">
        <v>5</v>
      </c>
      <c r="W848" t="inlineStr">
        <is>
          <t>2004-03-30</t>
        </is>
      </c>
      <c r="X848" t="inlineStr">
        <is>
          <t>2004-03-30</t>
        </is>
      </c>
      <c r="Y848" t="inlineStr">
        <is>
          <t>1993-03-31</t>
        </is>
      </c>
      <c r="Z848" t="inlineStr">
        <is>
          <t>1993-03-31</t>
        </is>
      </c>
      <c r="AA848" t="n">
        <v>309</v>
      </c>
      <c r="AB848" t="n">
        <v>226</v>
      </c>
      <c r="AC848" t="n">
        <v>244</v>
      </c>
      <c r="AD848" t="n">
        <v>3</v>
      </c>
      <c r="AE848" t="n">
        <v>3</v>
      </c>
      <c r="AF848" t="n">
        <v>3</v>
      </c>
      <c r="AG848" t="n">
        <v>4</v>
      </c>
      <c r="AH848" t="n">
        <v>1</v>
      </c>
      <c r="AI848" t="n">
        <v>2</v>
      </c>
      <c r="AJ848" t="n">
        <v>1</v>
      </c>
      <c r="AK848" t="n">
        <v>1</v>
      </c>
      <c r="AL848" t="n">
        <v>2</v>
      </c>
      <c r="AM848" t="n">
        <v>3</v>
      </c>
      <c r="AN848" t="n">
        <v>1</v>
      </c>
      <c r="AO848" t="n">
        <v>1</v>
      </c>
      <c r="AP848" t="n">
        <v>0</v>
      </c>
      <c r="AQ848" t="n">
        <v>0</v>
      </c>
      <c r="AR848" t="inlineStr">
        <is>
          <t>No</t>
        </is>
      </c>
      <c r="AS848" t="inlineStr">
        <is>
          <t>Yes</t>
        </is>
      </c>
      <c r="AT848">
        <f>HYPERLINK("http://catalog.hathitrust.org/Record/000560545","HathiTrust Record")</f>
        <v/>
      </c>
      <c r="AU848">
        <f>HYPERLINK("https://creighton-primo.hosted.exlibrisgroup.com/primo-explore/search?tab=default_tab&amp;search_scope=EVERYTHING&amp;vid=01CRU&amp;lang=en_US&amp;offset=0&amp;query=any,contains,991000388679702656","Catalog Record")</f>
        <v/>
      </c>
      <c r="AV848">
        <f>HYPERLINK("http://www.worldcat.org/oclc/10532902","WorldCat Record")</f>
        <v/>
      </c>
      <c r="AW848" t="inlineStr">
        <is>
          <t>428747002:eng</t>
        </is>
      </c>
      <c r="AX848" t="inlineStr">
        <is>
          <t>10532902</t>
        </is>
      </c>
      <c r="AY848" t="inlineStr">
        <is>
          <t>991000388679702656</t>
        </is>
      </c>
      <c r="AZ848" t="inlineStr">
        <is>
          <t>991000388679702656</t>
        </is>
      </c>
      <c r="BA848" t="inlineStr">
        <is>
          <t>2267346830002656</t>
        </is>
      </c>
      <c r="BB848" t="inlineStr">
        <is>
          <t>BOOK</t>
        </is>
      </c>
      <c r="BD848" t="inlineStr">
        <is>
          <t>9780683089455</t>
        </is>
      </c>
      <c r="BE848" t="inlineStr">
        <is>
          <t>32285001596732</t>
        </is>
      </c>
      <c r="BF848" t="inlineStr">
        <is>
          <t>893802725</t>
        </is>
      </c>
    </row>
    <row r="849">
      <c r="B849" t="inlineStr">
        <is>
          <t>CURAL</t>
        </is>
      </c>
      <c r="C849" t="inlineStr">
        <is>
          <t>SHELVES</t>
        </is>
      </c>
      <c r="D849" t="inlineStr">
        <is>
          <t>QP82.2.A4 H52 1981</t>
        </is>
      </c>
      <c r="E849" t="inlineStr">
        <is>
          <t>0                      QP 0082200A  4                  H  52          1981</t>
        </is>
      </c>
      <c r="F849" t="inlineStr">
        <is>
          <t>High altitude physiology / edited by John B. West.</t>
        </is>
      </c>
      <c r="H849" t="inlineStr">
        <is>
          <t>No</t>
        </is>
      </c>
      <c r="I849" t="inlineStr">
        <is>
          <t>1</t>
        </is>
      </c>
      <c r="J849" t="inlineStr">
        <is>
          <t>No</t>
        </is>
      </c>
      <c r="K849" t="inlineStr">
        <is>
          <t>No</t>
        </is>
      </c>
      <c r="L849" t="inlineStr">
        <is>
          <t>0</t>
        </is>
      </c>
      <c r="N849" t="inlineStr">
        <is>
          <t>Stroudsburg, Pa. : Hutchinson Ross ; [New York] : Distributed by Academic Press, c1981.</t>
        </is>
      </c>
      <c r="O849" t="inlineStr">
        <is>
          <t>1981</t>
        </is>
      </c>
      <c r="Q849" t="inlineStr">
        <is>
          <t>eng</t>
        </is>
      </c>
      <c r="R849" t="inlineStr">
        <is>
          <t>pau</t>
        </is>
      </c>
      <c r="S849" t="inlineStr">
        <is>
          <t>Benchmark papers in human physiology ; 15</t>
        </is>
      </c>
      <c r="T849" t="inlineStr">
        <is>
          <t xml:space="preserve">QP </t>
        </is>
      </c>
      <c r="U849" t="n">
        <v>6</v>
      </c>
      <c r="V849" t="n">
        <v>6</v>
      </c>
      <c r="W849" t="inlineStr">
        <is>
          <t>2004-03-30</t>
        </is>
      </c>
      <c r="X849" t="inlineStr">
        <is>
          <t>2004-03-30</t>
        </is>
      </c>
      <c r="Y849" t="inlineStr">
        <is>
          <t>1993-02-24</t>
        </is>
      </c>
      <c r="Z849" t="inlineStr">
        <is>
          <t>1993-02-24</t>
        </is>
      </c>
      <c r="AA849" t="n">
        <v>174</v>
      </c>
      <c r="AB849" t="n">
        <v>122</v>
      </c>
      <c r="AC849" t="n">
        <v>122</v>
      </c>
      <c r="AD849" t="n">
        <v>1</v>
      </c>
      <c r="AE849" t="n">
        <v>1</v>
      </c>
      <c r="AF849" t="n">
        <v>4</v>
      </c>
      <c r="AG849" t="n">
        <v>4</v>
      </c>
      <c r="AH849" t="n">
        <v>3</v>
      </c>
      <c r="AI849" t="n">
        <v>3</v>
      </c>
      <c r="AJ849" t="n">
        <v>0</v>
      </c>
      <c r="AK849" t="n">
        <v>0</v>
      </c>
      <c r="AL849" t="n">
        <v>3</v>
      </c>
      <c r="AM849" t="n">
        <v>3</v>
      </c>
      <c r="AN849" t="n">
        <v>0</v>
      </c>
      <c r="AO849" t="n">
        <v>0</v>
      </c>
      <c r="AP849" t="n">
        <v>0</v>
      </c>
      <c r="AQ849" t="n">
        <v>0</v>
      </c>
      <c r="AR849" t="inlineStr">
        <is>
          <t>No</t>
        </is>
      </c>
      <c r="AS849" t="inlineStr">
        <is>
          <t>No</t>
        </is>
      </c>
      <c r="AU849">
        <f>HYPERLINK("https://creighton-primo.hosted.exlibrisgroup.com/primo-explore/search?tab=default_tab&amp;search_scope=EVERYTHING&amp;vid=01CRU&amp;lang=en_US&amp;offset=0&amp;query=any,contains,991005143999702656","Catalog Record")</f>
        <v/>
      </c>
      <c r="AV849">
        <f>HYPERLINK("http://www.worldcat.org/oclc/7652953","WorldCat Record")</f>
        <v/>
      </c>
      <c r="AW849" t="inlineStr">
        <is>
          <t>3857822111:eng</t>
        </is>
      </c>
      <c r="AX849" t="inlineStr">
        <is>
          <t>7652953</t>
        </is>
      </c>
      <c r="AY849" t="inlineStr">
        <is>
          <t>991005143999702656</t>
        </is>
      </c>
      <c r="AZ849" t="inlineStr">
        <is>
          <t>991005143999702656</t>
        </is>
      </c>
      <c r="BA849" t="inlineStr">
        <is>
          <t>2259206320002656</t>
        </is>
      </c>
      <c r="BB849" t="inlineStr">
        <is>
          <t>BOOK</t>
        </is>
      </c>
      <c r="BD849" t="inlineStr">
        <is>
          <t>9780879333881</t>
        </is>
      </c>
      <c r="BE849" t="inlineStr">
        <is>
          <t>32285001549160</t>
        </is>
      </c>
      <c r="BF849" t="inlineStr">
        <is>
          <t>893242280</t>
        </is>
      </c>
    </row>
    <row r="850">
      <c r="B850" t="inlineStr">
        <is>
          <t>CURAL</t>
        </is>
      </c>
      <c r="C850" t="inlineStr">
        <is>
          <t>SHELVES</t>
        </is>
      </c>
      <c r="D850" t="inlineStr">
        <is>
          <t>QP82.2.C5 R67</t>
        </is>
      </c>
      <c r="E850" t="inlineStr">
        <is>
          <t>0                      QP 0082200C  5                  R  67</t>
        </is>
      </c>
      <c r="F850" t="inlineStr">
        <is>
          <t>Weathering : how the atmosphere conditions your body, your mind, your moods--and your health / by Stephen Rosen.</t>
        </is>
      </c>
      <c r="H850" t="inlineStr">
        <is>
          <t>No</t>
        </is>
      </c>
      <c r="I850" t="inlineStr">
        <is>
          <t>1</t>
        </is>
      </c>
      <c r="J850" t="inlineStr">
        <is>
          <t>No</t>
        </is>
      </c>
      <c r="K850" t="inlineStr">
        <is>
          <t>No</t>
        </is>
      </c>
      <c r="L850" t="inlineStr">
        <is>
          <t>0</t>
        </is>
      </c>
      <c r="M850" t="inlineStr">
        <is>
          <t>Rosen, Stephen, 1934-</t>
        </is>
      </c>
      <c r="N850" t="inlineStr">
        <is>
          <t>New York : M. Evans, c1979.</t>
        </is>
      </c>
      <c r="O850" t="inlineStr">
        <is>
          <t>1979</t>
        </is>
      </c>
      <c r="Q850" t="inlineStr">
        <is>
          <t>eng</t>
        </is>
      </c>
      <c r="R850" t="inlineStr">
        <is>
          <t>nyu</t>
        </is>
      </c>
      <c r="T850" t="inlineStr">
        <is>
          <t xml:space="preserve">QP </t>
        </is>
      </c>
      <c r="U850" t="n">
        <v>2</v>
      </c>
      <c r="V850" t="n">
        <v>2</v>
      </c>
      <c r="W850" t="inlineStr">
        <is>
          <t>1999-03-03</t>
        </is>
      </c>
      <c r="X850" t="inlineStr">
        <is>
          <t>1999-03-03</t>
        </is>
      </c>
      <c r="Y850" t="inlineStr">
        <is>
          <t>1992-03-01</t>
        </is>
      </c>
      <c r="Z850" t="inlineStr">
        <is>
          <t>1992-03-01</t>
        </is>
      </c>
      <c r="AA850" t="n">
        <v>393</v>
      </c>
      <c r="AB850" t="n">
        <v>373</v>
      </c>
      <c r="AC850" t="n">
        <v>374</v>
      </c>
      <c r="AD850" t="n">
        <v>5</v>
      </c>
      <c r="AE850" t="n">
        <v>5</v>
      </c>
      <c r="AF850" t="n">
        <v>8</v>
      </c>
      <c r="AG850" t="n">
        <v>8</v>
      </c>
      <c r="AH850" t="n">
        <v>2</v>
      </c>
      <c r="AI850" t="n">
        <v>2</v>
      </c>
      <c r="AJ850" t="n">
        <v>0</v>
      </c>
      <c r="AK850" t="n">
        <v>0</v>
      </c>
      <c r="AL850" t="n">
        <v>3</v>
      </c>
      <c r="AM850" t="n">
        <v>3</v>
      </c>
      <c r="AN850" t="n">
        <v>4</v>
      </c>
      <c r="AO850" t="n">
        <v>4</v>
      </c>
      <c r="AP850" t="n">
        <v>0</v>
      </c>
      <c r="AQ850" t="n">
        <v>0</v>
      </c>
      <c r="AR850" t="inlineStr">
        <is>
          <t>No</t>
        </is>
      </c>
      <c r="AS850" t="inlineStr">
        <is>
          <t>No</t>
        </is>
      </c>
      <c r="AU850">
        <f>HYPERLINK("https://creighton-primo.hosted.exlibrisgroup.com/primo-explore/search?tab=default_tab&amp;search_scope=EVERYTHING&amp;vid=01CRU&amp;lang=en_US&amp;offset=0&amp;query=any,contains,991004667379702656","Catalog Record")</f>
        <v/>
      </c>
      <c r="AV850">
        <f>HYPERLINK("http://www.worldcat.org/oclc/4505306","WorldCat Record")</f>
        <v/>
      </c>
      <c r="AW850" t="inlineStr">
        <is>
          <t>14795031:eng</t>
        </is>
      </c>
      <c r="AX850" t="inlineStr">
        <is>
          <t>4505306</t>
        </is>
      </c>
      <c r="AY850" t="inlineStr">
        <is>
          <t>991004667379702656</t>
        </is>
      </c>
      <c r="AZ850" t="inlineStr">
        <is>
          <t>991004667379702656</t>
        </is>
      </c>
      <c r="BA850" t="inlineStr">
        <is>
          <t>2264323270002656</t>
        </is>
      </c>
      <c r="BB850" t="inlineStr">
        <is>
          <t>BOOK</t>
        </is>
      </c>
      <c r="BD850" t="inlineStr">
        <is>
          <t>9780871312679</t>
        </is>
      </c>
      <c r="BE850" t="inlineStr">
        <is>
          <t>32285000979616</t>
        </is>
      </c>
      <c r="BF850" t="inlineStr">
        <is>
          <t>893229679</t>
        </is>
      </c>
    </row>
    <row r="851">
      <c r="B851" t="inlineStr">
        <is>
          <t>CURAL</t>
        </is>
      </c>
      <c r="C851" t="inlineStr">
        <is>
          <t>SHELVES</t>
        </is>
      </c>
      <c r="D851" t="inlineStr">
        <is>
          <t>QP82.2.C6 A55 1989</t>
        </is>
      </c>
      <c r="E851" t="inlineStr">
        <is>
          <t>0                      QP 0082200C  6                  A  55          1989</t>
        </is>
      </c>
      <c r="F851" t="inlineStr">
        <is>
          <t>Animal adaptation to cold / editor, Lawrence C.H. Wang ; with contributions by J.A. Boulant ... [et al.].</t>
        </is>
      </c>
      <c r="H851" t="inlineStr">
        <is>
          <t>No</t>
        </is>
      </c>
      <c r="I851" t="inlineStr">
        <is>
          <t>1</t>
        </is>
      </c>
      <c r="J851" t="inlineStr">
        <is>
          <t>No</t>
        </is>
      </c>
      <c r="K851" t="inlineStr">
        <is>
          <t>No</t>
        </is>
      </c>
      <c r="L851" t="inlineStr">
        <is>
          <t>0</t>
        </is>
      </c>
      <c r="N851" t="inlineStr">
        <is>
          <t>Berlin ; New York : Springer-Verlag, c1989.</t>
        </is>
      </c>
      <c r="O851" t="inlineStr">
        <is>
          <t>1989</t>
        </is>
      </c>
      <c r="Q851" t="inlineStr">
        <is>
          <t>eng</t>
        </is>
      </c>
      <c r="R851" t="inlineStr">
        <is>
          <t xml:space="preserve">gw </t>
        </is>
      </c>
      <c r="S851" t="inlineStr">
        <is>
          <t>Advances in comparative and environmental physiology ; 4</t>
        </is>
      </c>
      <c r="T851" t="inlineStr">
        <is>
          <t xml:space="preserve">QP </t>
        </is>
      </c>
      <c r="U851" t="n">
        <v>8</v>
      </c>
      <c r="V851" t="n">
        <v>8</v>
      </c>
      <c r="W851" t="inlineStr">
        <is>
          <t>1994-06-13</t>
        </is>
      </c>
      <c r="X851" t="inlineStr">
        <is>
          <t>1994-06-13</t>
        </is>
      </c>
      <c r="Y851" t="inlineStr">
        <is>
          <t>1990-07-19</t>
        </is>
      </c>
      <c r="Z851" t="inlineStr">
        <is>
          <t>1990-07-19</t>
        </is>
      </c>
      <c r="AA851" t="n">
        <v>194</v>
      </c>
      <c r="AB851" t="n">
        <v>118</v>
      </c>
      <c r="AC851" t="n">
        <v>133</v>
      </c>
      <c r="AD851" t="n">
        <v>2</v>
      </c>
      <c r="AE851" t="n">
        <v>2</v>
      </c>
      <c r="AF851" t="n">
        <v>5</v>
      </c>
      <c r="AG851" t="n">
        <v>6</v>
      </c>
      <c r="AH851" t="n">
        <v>0</v>
      </c>
      <c r="AI851" t="n">
        <v>1</v>
      </c>
      <c r="AJ851" t="n">
        <v>2</v>
      </c>
      <c r="AK851" t="n">
        <v>2</v>
      </c>
      <c r="AL851" t="n">
        <v>3</v>
      </c>
      <c r="AM851" t="n">
        <v>4</v>
      </c>
      <c r="AN851" t="n">
        <v>1</v>
      </c>
      <c r="AO851" t="n">
        <v>1</v>
      </c>
      <c r="AP851" t="n">
        <v>0</v>
      </c>
      <c r="AQ851" t="n">
        <v>0</v>
      </c>
      <c r="AR851" t="inlineStr">
        <is>
          <t>No</t>
        </is>
      </c>
      <c r="AS851" t="inlineStr">
        <is>
          <t>Yes</t>
        </is>
      </c>
      <c r="AT851">
        <f>HYPERLINK("http://catalog.hathitrust.org/Record/008990384","HathiTrust Record")</f>
        <v/>
      </c>
      <c r="AU851">
        <f>HYPERLINK("https://creighton-primo.hosted.exlibrisgroup.com/primo-explore/search?tab=default_tab&amp;search_scope=EVERYTHING&amp;vid=01CRU&amp;lang=en_US&amp;offset=0&amp;query=any,contains,991001491099702656","Catalog Record")</f>
        <v/>
      </c>
      <c r="AV851">
        <f>HYPERLINK("http://www.worldcat.org/oclc/19723177","WorldCat Record")</f>
        <v/>
      </c>
      <c r="AW851" t="inlineStr">
        <is>
          <t>21486548:eng</t>
        </is>
      </c>
      <c r="AX851" t="inlineStr">
        <is>
          <t>19723177</t>
        </is>
      </c>
      <c r="AY851" t="inlineStr">
        <is>
          <t>991001491099702656</t>
        </is>
      </c>
      <c r="AZ851" t="inlineStr">
        <is>
          <t>991001491099702656</t>
        </is>
      </c>
      <c r="BA851" t="inlineStr">
        <is>
          <t>2258611970002656</t>
        </is>
      </c>
      <c r="BB851" t="inlineStr">
        <is>
          <t>BOOK</t>
        </is>
      </c>
      <c r="BD851" t="inlineStr">
        <is>
          <t>9780387503011</t>
        </is>
      </c>
      <c r="BE851" t="inlineStr">
        <is>
          <t>32285000209808</t>
        </is>
      </c>
      <c r="BF851" t="inlineStr">
        <is>
          <t>893772625</t>
        </is>
      </c>
    </row>
    <row r="852">
      <c r="B852" t="inlineStr">
        <is>
          <t>CURAL</t>
        </is>
      </c>
      <c r="C852" t="inlineStr">
        <is>
          <t>SHELVES</t>
        </is>
      </c>
      <c r="D852" t="inlineStr">
        <is>
          <t>QP82.2.C6 L54 1993</t>
        </is>
      </c>
      <c r="E852" t="inlineStr">
        <is>
          <t>0                      QP 0082200C  6                  L  54          1993</t>
        </is>
      </c>
      <c r="F852" t="inlineStr">
        <is>
          <t>Life in the cold : ecological, physiological, and molecular mechanisms / edited by Cynthia Carey ... [et al.].</t>
        </is>
      </c>
      <c r="H852" t="inlineStr">
        <is>
          <t>No</t>
        </is>
      </c>
      <c r="I852" t="inlineStr">
        <is>
          <t>1</t>
        </is>
      </c>
      <c r="J852" t="inlineStr">
        <is>
          <t>No</t>
        </is>
      </c>
      <c r="K852" t="inlineStr">
        <is>
          <t>No</t>
        </is>
      </c>
      <c r="L852" t="inlineStr">
        <is>
          <t>0</t>
        </is>
      </c>
      <c r="N852" t="inlineStr">
        <is>
          <t>Boulder : Westview Press, 1993.</t>
        </is>
      </c>
      <c r="O852" t="inlineStr">
        <is>
          <t>1993</t>
        </is>
      </c>
      <c r="Q852" t="inlineStr">
        <is>
          <t>eng</t>
        </is>
      </c>
      <c r="R852" t="inlineStr">
        <is>
          <t>cou</t>
        </is>
      </c>
      <c r="T852" t="inlineStr">
        <is>
          <t xml:space="preserve">QP </t>
        </is>
      </c>
      <c r="U852" t="n">
        <v>3</v>
      </c>
      <c r="V852" t="n">
        <v>3</v>
      </c>
      <c r="W852" t="inlineStr">
        <is>
          <t>2004-12-16</t>
        </is>
      </c>
      <c r="X852" t="inlineStr">
        <is>
          <t>2004-12-16</t>
        </is>
      </c>
      <c r="Y852" t="inlineStr">
        <is>
          <t>1994-06-07</t>
        </is>
      </c>
      <c r="Z852" t="inlineStr">
        <is>
          <t>1994-06-07</t>
        </is>
      </c>
      <c r="AA852" t="n">
        <v>156</v>
      </c>
      <c r="AB852" t="n">
        <v>124</v>
      </c>
      <c r="AC852" t="n">
        <v>142</v>
      </c>
      <c r="AD852" t="n">
        <v>1</v>
      </c>
      <c r="AE852" t="n">
        <v>1</v>
      </c>
      <c r="AF852" t="n">
        <v>2</v>
      </c>
      <c r="AG852" t="n">
        <v>2</v>
      </c>
      <c r="AH852" t="n">
        <v>0</v>
      </c>
      <c r="AI852" t="n">
        <v>0</v>
      </c>
      <c r="AJ852" t="n">
        <v>0</v>
      </c>
      <c r="AK852" t="n">
        <v>0</v>
      </c>
      <c r="AL852" t="n">
        <v>2</v>
      </c>
      <c r="AM852" t="n">
        <v>2</v>
      </c>
      <c r="AN852" t="n">
        <v>0</v>
      </c>
      <c r="AO852" t="n">
        <v>0</v>
      </c>
      <c r="AP852" t="n">
        <v>0</v>
      </c>
      <c r="AQ852" t="n">
        <v>0</v>
      </c>
      <c r="AR852" t="inlineStr">
        <is>
          <t>No</t>
        </is>
      </c>
      <c r="AS852" t="inlineStr">
        <is>
          <t>Yes</t>
        </is>
      </c>
      <c r="AT852">
        <f>HYPERLINK("http://catalog.hathitrust.org/Record/002734557","HathiTrust Record")</f>
        <v/>
      </c>
      <c r="AU852">
        <f>HYPERLINK("https://creighton-primo.hosted.exlibrisgroup.com/primo-explore/search?tab=default_tab&amp;search_scope=EVERYTHING&amp;vid=01CRU&amp;lang=en_US&amp;offset=0&amp;query=any,contains,991002203549702656","Catalog Record")</f>
        <v/>
      </c>
      <c r="AV852">
        <f>HYPERLINK("http://www.worldcat.org/oclc/28339126","WorldCat Record")</f>
        <v/>
      </c>
      <c r="AW852" t="inlineStr">
        <is>
          <t>996751726:eng</t>
        </is>
      </c>
      <c r="AX852" t="inlineStr">
        <is>
          <t>28339126</t>
        </is>
      </c>
      <c r="AY852" t="inlineStr">
        <is>
          <t>991002203549702656</t>
        </is>
      </c>
      <c r="AZ852" t="inlineStr">
        <is>
          <t>991002203549702656</t>
        </is>
      </c>
      <c r="BA852" t="inlineStr">
        <is>
          <t>2257463610002656</t>
        </is>
      </c>
      <c r="BB852" t="inlineStr">
        <is>
          <t>BOOK</t>
        </is>
      </c>
      <c r="BD852" t="inlineStr">
        <is>
          <t>9780813386454</t>
        </is>
      </c>
      <c r="BE852" t="inlineStr">
        <is>
          <t>32285001921633</t>
        </is>
      </c>
      <c r="BF852" t="inlineStr">
        <is>
          <t>893445020</t>
        </is>
      </c>
    </row>
    <row r="853">
      <c r="B853" t="inlineStr">
        <is>
          <t>CURAL</t>
        </is>
      </c>
      <c r="C853" t="inlineStr">
        <is>
          <t>SHELVES</t>
        </is>
      </c>
      <c r="D853" t="inlineStr">
        <is>
          <t>QP82.2.E43 B43 1990</t>
        </is>
      </c>
      <c r="E853" t="inlineStr">
        <is>
          <t>0                      QP 0082200E  43                 B  43          1990</t>
        </is>
      </c>
      <c r="F853" t="inlineStr">
        <is>
          <t>Cross currents : the promise of electromedicine, the perils of electropollution / Robert O. Becker.</t>
        </is>
      </c>
      <c r="H853" t="inlineStr">
        <is>
          <t>No</t>
        </is>
      </c>
      <c r="I853" t="inlineStr">
        <is>
          <t>1</t>
        </is>
      </c>
      <c r="J853" t="inlineStr">
        <is>
          <t>No</t>
        </is>
      </c>
      <c r="K853" t="inlineStr">
        <is>
          <t>No</t>
        </is>
      </c>
      <c r="L853" t="inlineStr">
        <is>
          <t>0</t>
        </is>
      </c>
      <c r="M853" t="inlineStr">
        <is>
          <t>Becker, Robert O.</t>
        </is>
      </c>
      <c r="N853" t="inlineStr">
        <is>
          <t>Los Angeles : J.P. Tarcher ; New York : Distributed by St. Martin's Press, c1990.</t>
        </is>
      </c>
      <c r="O853" t="inlineStr">
        <is>
          <t>1990</t>
        </is>
      </c>
      <c r="P853" t="inlineStr">
        <is>
          <t>1st ed.</t>
        </is>
      </c>
      <c r="Q853" t="inlineStr">
        <is>
          <t>eng</t>
        </is>
      </c>
      <c r="R853" t="inlineStr">
        <is>
          <t>cau</t>
        </is>
      </c>
      <c r="T853" t="inlineStr">
        <is>
          <t xml:space="preserve">QP </t>
        </is>
      </c>
      <c r="U853" t="n">
        <v>3</v>
      </c>
      <c r="V853" t="n">
        <v>3</v>
      </c>
      <c r="W853" t="inlineStr">
        <is>
          <t>2010-05-24</t>
        </is>
      </c>
      <c r="X853" t="inlineStr">
        <is>
          <t>2010-05-24</t>
        </is>
      </c>
      <c r="Y853" t="inlineStr">
        <is>
          <t>1991-02-22</t>
        </is>
      </c>
      <c r="Z853" t="inlineStr">
        <is>
          <t>1991-02-22</t>
        </is>
      </c>
      <c r="AA853" t="n">
        <v>560</v>
      </c>
      <c r="AB853" t="n">
        <v>509</v>
      </c>
      <c r="AC853" t="n">
        <v>520</v>
      </c>
      <c r="AD853" t="n">
        <v>2</v>
      </c>
      <c r="AE853" t="n">
        <v>2</v>
      </c>
      <c r="AF853" t="n">
        <v>12</v>
      </c>
      <c r="AG853" t="n">
        <v>12</v>
      </c>
      <c r="AH853" t="n">
        <v>2</v>
      </c>
      <c r="AI853" t="n">
        <v>2</v>
      </c>
      <c r="AJ853" t="n">
        <v>4</v>
      </c>
      <c r="AK853" t="n">
        <v>4</v>
      </c>
      <c r="AL853" t="n">
        <v>9</v>
      </c>
      <c r="AM853" t="n">
        <v>9</v>
      </c>
      <c r="AN853" t="n">
        <v>0</v>
      </c>
      <c r="AO853" t="n">
        <v>0</v>
      </c>
      <c r="AP853" t="n">
        <v>0</v>
      </c>
      <c r="AQ853" t="n">
        <v>0</v>
      </c>
      <c r="AR853" t="inlineStr">
        <is>
          <t>No</t>
        </is>
      </c>
      <c r="AS853" t="inlineStr">
        <is>
          <t>No</t>
        </is>
      </c>
      <c r="AU853">
        <f>HYPERLINK("https://creighton-primo.hosted.exlibrisgroup.com/primo-explore/search?tab=default_tab&amp;search_scope=EVERYTHING&amp;vid=01CRU&amp;lang=en_US&amp;offset=0&amp;query=any,contains,991001508209702656","Catalog Record")</f>
        <v/>
      </c>
      <c r="AV853">
        <f>HYPERLINK("http://www.worldcat.org/oclc/19849940","WorldCat Record")</f>
        <v/>
      </c>
      <c r="AW853" t="inlineStr">
        <is>
          <t>819789722:eng</t>
        </is>
      </c>
      <c r="AX853" t="inlineStr">
        <is>
          <t>19849940</t>
        </is>
      </c>
      <c r="AY853" t="inlineStr">
        <is>
          <t>991001508209702656</t>
        </is>
      </c>
      <c r="AZ853" t="inlineStr">
        <is>
          <t>991001508209702656</t>
        </is>
      </c>
      <c r="BA853" t="inlineStr">
        <is>
          <t>2266407700002656</t>
        </is>
      </c>
      <c r="BB853" t="inlineStr">
        <is>
          <t>BOOK</t>
        </is>
      </c>
      <c r="BD853" t="inlineStr">
        <is>
          <t>9780874775365</t>
        </is>
      </c>
      <c r="BE853" t="inlineStr">
        <is>
          <t>32285000490788</t>
        </is>
      </c>
      <c r="BF853" t="inlineStr">
        <is>
          <t>893346564</t>
        </is>
      </c>
    </row>
    <row r="854">
      <c r="B854" t="inlineStr">
        <is>
          <t>CURAL</t>
        </is>
      </c>
      <c r="C854" t="inlineStr">
        <is>
          <t>SHELVES</t>
        </is>
      </c>
      <c r="D854" t="inlineStr">
        <is>
          <t>QP82.2.E43 C73 1986</t>
        </is>
      </c>
      <c r="E854" t="inlineStr">
        <is>
          <t>0                      QP 0082200E  43                 C  73          1986</t>
        </is>
      </c>
      <c r="F854" t="inlineStr">
        <is>
          <t>CRC handbook of biological effects of electromagnetic fields / editors, Charles Polk and Elliot Postow.</t>
        </is>
      </c>
      <c r="H854" t="inlineStr">
        <is>
          <t>No</t>
        </is>
      </c>
      <c r="I854" t="inlineStr">
        <is>
          <t>1</t>
        </is>
      </c>
      <c r="J854" t="inlineStr">
        <is>
          <t>No</t>
        </is>
      </c>
      <c r="K854" t="inlineStr">
        <is>
          <t>No</t>
        </is>
      </c>
      <c r="L854" t="inlineStr">
        <is>
          <t>0</t>
        </is>
      </c>
      <c r="N854" t="inlineStr">
        <is>
          <t>Boca Raton, Fla. : CRC Press, c1986.</t>
        </is>
      </c>
      <c r="O854" t="inlineStr">
        <is>
          <t>1986</t>
        </is>
      </c>
      <c r="Q854" t="inlineStr">
        <is>
          <t>eng</t>
        </is>
      </c>
      <c r="R854" t="inlineStr">
        <is>
          <t>flu</t>
        </is>
      </c>
      <c r="T854" t="inlineStr">
        <is>
          <t xml:space="preserve">QP </t>
        </is>
      </c>
      <c r="U854" t="n">
        <v>9</v>
      </c>
      <c r="V854" t="n">
        <v>9</v>
      </c>
      <c r="W854" t="inlineStr">
        <is>
          <t>2002-04-11</t>
        </is>
      </c>
      <c r="X854" t="inlineStr">
        <is>
          <t>2002-04-11</t>
        </is>
      </c>
      <c r="Y854" t="inlineStr">
        <is>
          <t>1993-02-24</t>
        </is>
      </c>
      <c r="Z854" t="inlineStr">
        <is>
          <t>1993-02-24</t>
        </is>
      </c>
      <c r="AA854" t="n">
        <v>334</v>
      </c>
      <c r="AB854" t="n">
        <v>257</v>
      </c>
      <c r="AC854" t="n">
        <v>298</v>
      </c>
      <c r="AD854" t="n">
        <v>2</v>
      </c>
      <c r="AE854" t="n">
        <v>2</v>
      </c>
      <c r="AF854" t="n">
        <v>5</v>
      </c>
      <c r="AG854" t="n">
        <v>5</v>
      </c>
      <c r="AH854" t="n">
        <v>3</v>
      </c>
      <c r="AI854" t="n">
        <v>3</v>
      </c>
      <c r="AJ854" t="n">
        <v>1</v>
      </c>
      <c r="AK854" t="n">
        <v>1</v>
      </c>
      <c r="AL854" t="n">
        <v>2</v>
      </c>
      <c r="AM854" t="n">
        <v>2</v>
      </c>
      <c r="AN854" t="n">
        <v>1</v>
      </c>
      <c r="AO854" t="n">
        <v>1</v>
      </c>
      <c r="AP854" t="n">
        <v>0</v>
      </c>
      <c r="AQ854" t="n">
        <v>0</v>
      </c>
      <c r="AR854" t="inlineStr">
        <is>
          <t>No</t>
        </is>
      </c>
      <c r="AS854" t="inlineStr">
        <is>
          <t>Yes</t>
        </is>
      </c>
      <c r="AT854">
        <f>HYPERLINK("http://catalog.hathitrust.org/Record/000594923","HathiTrust Record")</f>
        <v/>
      </c>
      <c r="AU854">
        <f>HYPERLINK("https://creighton-primo.hosted.exlibrisgroup.com/primo-explore/search?tab=default_tab&amp;search_scope=EVERYTHING&amp;vid=01CRU&amp;lang=en_US&amp;offset=0&amp;query=any,contains,991000635859702656","Catalog Record")</f>
        <v/>
      </c>
      <c r="AV854">
        <f>HYPERLINK("http://www.worldcat.org/oclc/12081061","WorldCat Record")</f>
        <v/>
      </c>
      <c r="AW854" t="inlineStr">
        <is>
          <t>355829872:eng</t>
        </is>
      </c>
      <c r="AX854" t="inlineStr">
        <is>
          <t>12081061</t>
        </is>
      </c>
      <c r="AY854" t="inlineStr">
        <is>
          <t>991000635859702656</t>
        </is>
      </c>
      <c r="AZ854" t="inlineStr">
        <is>
          <t>991000635859702656</t>
        </is>
      </c>
      <c r="BA854" t="inlineStr">
        <is>
          <t>2266251440002656</t>
        </is>
      </c>
      <c r="BB854" t="inlineStr">
        <is>
          <t>BOOK</t>
        </is>
      </c>
      <c r="BD854" t="inlineStr">
        <is>
          <t>9780849332654</t>
        </is>
      </c>
      <c r="BE854" t="inlineStr">
        <is>
          <t>32285001549335</t>
        </is>
      </c>
      <c r="BF854" t="inlineStr">
        <is>
          <t>893802953</t>
        </is>
      </c>
    </row>
    <row r="855">
      <c r="B855" t="inlineStr">
        <is>
          <t>CURAL</t>
        </is>
      </c>
      <c r="C855" t="inlineStr">
        <is>
          <t>SHELVES</t>
        </is>
      </c>
      <c r="D855" t="inlineStr">
        <is>
          <t>QP82.2.E43 H36 1978</t>
        </is>
      </c>
      <c r="E855" t="inlineStr">
        <is>
          <t>0                      QP 0082200E  43                 H  36          1978</t>
        </is>
      </c>
      <c r="F855" t="inlineStr">
        <is>
          <t>Biological effects of extremely low frequency electromagnetic fields : proceedings of the eighteenth annual Hanford Life Sciences Symposium at Richland, Washington, October 16-18, 1978 / sponsored by Office of Health and Environmental Research, Assistant Secretary for Environment, U.S. Dept. of Energy and Pacific Northwest Laboratories, Battelle Memorial Institute, in cooperation with Electric Power Research Institute ; editors, Richard D. Phillips ... [et al.].</t>
        </is>
      </c>
      <c r="H855" t="inlineStr">
        <is>
          <t>No</t>
        </is>
      </c>
      <c r="I855" t="inlineStr">
        <is>
          <t>1</t>
        </is>
      </c>
      <c r="J855" t="inlineStr">
        <is>
          <t>No</t>
        </is>
      </c>
      <c r="K855" t="inlineStr">
        <is>
          <t>No</t>
        </is>
      </c>
      <c r="L855" t="inlineStr">
        <is>
          <t>0</t>
        </is>
      </c>
      <c r="M855" t="inlineStr">
        <is>
          <t>Hanford Life Sciences Symposium (18th : 1978 : Richland, Wash.)</t>
        </is>
      </c>
      <c r="N855" t="inlineStr">
        <is>
          <t>[Oak Ridge, TN] : Technical Information Center, U.S. Dept. of Energy, 1979.</t>
        </is>
      </c>
      <c r="O855" t="inlineStr">
        <is>
          <t>1979</t>
        </is>
      </c>
      <c r="Q855" t="inlineStr">
        <is>
          <t>eng</t>
        </is>
      </c>
      <c r="R855" t="inlineStr">
        <is>
          <t>tnu</t>
        </is>
      </c>
      <c r="S855" t="inlineStr">
        <is>
          <t>DOE symposium series ; 50</t>
        </is>
      </c>
      <c r="T855" t="inlineStr">
        <is>
          <t xml:space="preserve">QP </t>
        </is>
      </c>
      <c r="U855" t="n">
        <v>7</v>
      </c>
      <c r="V855" t="n">
        <v>7</v>
      </c>
      <c r="W855" t="inlineStr">
        <is>
          <t>2002-04-11</t>
        </is>
      </c>
      <c r="X855" t="inlineStr">
        <is>
          <t>2002-04-11</t>
        </is>
      </c>
      <c r="Y855" t="inlineStr">
        <is>
          <t>1992-05-11</t>
        </is>
      </c>
      <c r="Z855" t="inlineStr">
        <is>
          <t>1992-05-11</t>
        </is>
      </c>
      <c r="AA855" t="n">
        <v>116</v>
      </c>
      <c r="AB855" t="n">
        <v>101</v>
      </c>
      <c r="AC855" t="n">
        <v>108</v>
      </c>
      <c r="AD855" t="n">
        <v>1</v>
      </c>
      <c r="AE855" t="n">
        <v>1</v>
      </c>
      <c r="AF855" t="n">
        <v>1</v>
      </c>
      <c r="AG855" t="n">
        <v>1</v>
      </c>
      <c r="AH855" t="n">
        <v>1</v>
      </c>
      <c r="AI855" t="n">
        <v>1</v>
      </c>
      <c r="AJ855" t="n">
        <v>0</v>
      </c>
      <c r="AK855" t="n">
        <v>0</v>
      </c>
      <c r="AL855" t="n">
        <v>0</v>
      </c>
      <c r="AM855" t="n">
        <v>0</v>
      </c>
      <c r="AN855" t="n">
        <v>0</v>
      </c>
      <c r="AO855" t="n">
        <v>0</v>
      </c>
      <c r="AP855" t="n">
        <v>0</v>
      </c>
      <c r="AQ855" t="n">
        <v>0</v>
      </c>
      <c r="AR855" t="inlineStr">
        <is>
          <t>Yes</t>
        </is>
      </c>
      <c r="AS855" t="inlineStr">
        <is>
          <t>No</t>
        </is>
      </c>
      <c r="AT855">
        <f>HYPERLINK("http://catalog.hathitrust.org/Record/102384881","HathiTrust Record")</f>
        <v/>
      </c>
      <c r="AU855">
        <f>HYPERLINK("https://creighton-primo.hosted.exlibrisgroup.com/primo-explore/search?tab=default_tab&amp;search_scope=EVERYTHING&amp;vid=01CRU&amp;lang=en_US&amp;offset=0&amp;query=any,contains,991004838439702656","Catalog Record")</f>
        <v/>
      </c>
      <c r="AV855">
        <f>HYPERLINK("http://www.worldcat.org/oclc/5474185","WorldCat Record")</f>
        <v/>
      </c>
      <c r="AW855" t="inlineStr">
        <is>
          <t>2277486417:eng</t>
        </is>
      </c>
      <c r="AX855" t="inlineStr">
        <is>
          <t>5474185</t>
        </is>
      </c>
      <c r="AY855" t="inlineStr">
        <is>
          <t>991004838439702656</t>
        </is>
      </c>
      <c r="AZ855" t="inlineStr">
        <is>
          <t>991004838439702656</t>
        </is>
      </c>
      <c r="BA855" t="inlineStr">
        <is>
          <t>2268773980002656</t>
        </is>
      </c>
      <c r="BB855" t="inlineStr">
        <is>
          <t>BOOK</t>
        </is>
      </c>
      <c r="BD855" t="inlineStr">
        <is>
          <t>9780870791185</t>
        </is>
      </c>
      <c r="BE855" t="inlineStr">
        <is>
          <t>32285001107258</t>
        </is>
      </c>
      <c r="BF855" t="inlineStr">
        <is>
          <t>893507285</t>
        </is>
      </c>
    </row>
    <row r="856">
      <c r="B856" t="inlineStr">
        <is>
          <t>CURAL</t>
        </is>
      </c>
      <c r="C856" t="inlineStr">
        <is>
          <t>SHELVES</t>
        </is>
      </c>
      <c r="D856" t="inlineStr">
        <is>
          <t>QP82.2.H4 D55 1985</t>
        </is>
      </c>
      <c r="E856" t="inlineStr">
        <is>
          <t>0                      QP 0082200H  4                  D  55          1985</t>
        </is>
      </c>
      <c r="F856" t="inlineStr">
        <is>
          <t>The hot life of man and beast / D.B. Dill ; with a foreword by Charles G. Wilber.</t>
        </is>
      </c>
      <c r="H856" t="inlineStr">
        <is>
          <t>No</t>
        </is>
      </c>
      <c r="I856" t="inlineStr">
        <is>
          <t>1</t>
        </is>
      </c>
      <c r="J856" t="inlineStr">
        <is>
          <t>No</t>
        </is>
      </c>
      <c r="K856" t="inlineStr">
        <is>
          <t>No</t>
        </is>
      </c>
      <c r="L856" t="inlineStr">
        <is>
          <t>0</t>
        </is>
      </c>
      <c r="M856" t="inlineStr">
        <is>
          <t>Dill, David Bruce, 1891-</t>
        </is>
      </c>
      <c r="N856" t="inlineStr">
        <is>
          <t>Springfield, Ill. : Thomas, c1985.</t>
        </is>
      </c>
      <c r="O856" t="inlineStr">
        <is>
          <t>1985</t>
        </is>
      </c>
      <c r="Q856" t="inlineStr">
        <is>
          <t>eng</t>
        </is>
      </c>
      <c r="R856" t="inlineStr">
        <is>
          <t>ilu</t>
        </is>
      </c>
      <c r="S856" t="inlineStr">
        <is>
          <t>American lecture series ; publication no. 1065</t>
        </is>
      </c>
      <c r="T856" t="inlineStr">
        <is>
          <t xml:space="preserve">QP </t>
        </is>
      </c>
      <c r="U856" t="n">
        <v>3</v>
      </c>
      <c r="V856" t="n">
        <v>3</v>
      </c>
      <c r="W856" t="inlineStr">
        <is>
          <t>1994-10-28</t>
        </is>
      </c>
      <c r="X856" t="inlineStr">
        <is>
          <t>1994-10-28</t>
        </is>
      </c>
      <c r="Y856" t="inlineStr">
        <is>
          <t>1993-03-02</t>
        </is>
      </c>
      <c r="Z856" t="inlineStr">
        <is>
          <t>1993-03-02</t>
        </is>
      </c>
      <c r="AA856" t="n">
        <v>129</v>
      </c>
      <c r="AB856" t="n">
        <v>112</v>
      </c>
      <c r="AC856" t="n">
        <v>114</v>
      </c>
      <c r="AD856" t="n">
        <v>1</v>
      </c>
      <c r="AE856" t="n">
        <v>1</v>
      </c>
      <c r="AF856" t="n">
        <v>1</v>
      </c>
      <c r="AG856" t="n">
        <v>1</v>
      </c>
      <c r="AH856" t="n">
        <v>0</v>
      </c>
      <c r="AI856" t="n">
        <v>0</v>
      </c>
      <c r="AJ856" t="n">
        <v>1</v>
      </c>
      <c r="AK856" t="n">
        <v>1</v>
      </c>
      <c r="AL856" t="n">
        <v>1</v>
      </c>
      <c r="AM856" t="n">
        <v>1</v>
      </c>
      <c r="AN856" t="n">
        <v>0</v>
      </c>
      <c r="AO856" t="n">
        <v>0</v>
      </c>
      <c r="AP856" t="n">
        <v>0</v>
      </c>
      <c r="AQ856" t="n">
        <v>0</v>
      </c>
      <c r="AR856" t="inlineStr">
        <is>
          <t>No</t>
        </is>
      </c>
      <c r="AS856" t="inlineStr">
        <is>
          <t>Yes</t>
        </is>
      </c>
      <c r="AT856">
        <f>HYPERLINK("http://catalog.hathitrust.org/Record/000618513","HathiTrust Record")</f>
        <v/>
      </c>
      <c r="AU856">
        <f>HYPERLINK("https://creighton-primo.hosted.exlibrisgroup.com/primo-explore/search?tab=default_tab&amp;search_scope=EVERYTHING&amp;vid=01CRU&amp;lang=en_US&amp;offset=0&amp;query=any,contains,991000542229702656","Catalog Record")</f>
        <v/>
      </c>
      <c r="AV856">
        <f>HYPERLINK("http://www.worldcat.org/oclc/11496601","WorldCat Record")</f>
        <v/>
      </c>
      <c r="AW856" t="inlineStr">
        <is>
          <t>4239239:eng</t>
        </is>
      </c>
      <c r="AX856" t="inlineStr">
        <is>
          <t>11496601</t>
        </is>
      </c>
      <c r="AY856" t="inlineStr">
        <is>
          <t>991000542229702656</t>
        </is>
      </c>
      <c r="AZ856" t="inlineStr">
        <is>
          <t>991000542229702656</t>
        </is>
      </c>
      <c r="BA856" t="inlineStr">
        <is>
          <t>2260692440002656</t>
        </is>
      </c>
      <c r="BB856" t="inlineStr">
        <is>
          <t>BOOK</t>
        </is>
      </c>
      <c r="BD856" t="inlineStr">
        <is>
          <t>9780398051068</t>
        </is>
      </c>
      <c r="BE856" t="inlineStr">
        <is>
          <t>32285001541803</t>
        </is>
      </c>
      <c r="BF856" t="inlineStr">
        <is>
          <t>893808736</t>
        </is>
      </c>
    </row>
    <row r="857">
      <c r="B857" t="inlineStr">
        <is>
          <t>CURAL</t>
        </is>
      </c>
      <c r="C857" t="inlineStr">
        <is>
          <t>SHELVES</t>
        </is>
      </c>
      <c r="D857" t="inlineStr">
        <is>
          <t>QP82.2.M3 B56 1978</t>
        </is>
      </c>
      <c r="E857" t="inlineStr">
        <is>
          <t>0                      QP 0082200M  3                  B  56          1978</t>
        </is>
      </c>
      <c r="F857" t="inlineStr">
        <is>
          <t>Magnetic field effect on biological systems : based on the Proceedings of the Biomagnetic Effects Workshop held at Lawrence Berkeley Laboratory, University of California, on April 6-7, 1978 / Tom S. Tenforde, editor.</t>
        </is>
      </c>
      <c r="H857" t="inlineStr">
        <is>
          <t>No</t>
        </is>
      </c>
      <c r="I857" t="inlineStr">
        <is>
          <t>1</t>
        </is>
      </c>
      <c r="J857" t="inlineStr">
        <is>
          <t>No</t>
        </is>
      </c>
      <c r="K857" t="inlineStr">
        <is>
          <t>No</t>
        </is>
      </c>
      <c r="L857" t="inlineStr">
        <is>
          <t>0</t>
        </is>
      </c>
      <c r="M857" t="inlineStr">
        <is>
          <t>Biomagnetic Effects Workshop (1978 : University of California, Berkeley)</t>
        </is>
      </c>
      <c r="N857" t="inlineStr">
        <is>
          <t>New York : Plenum Press, c1979.</t>
        </is>
      </c>
      <c r="O857" t="inlineStr">
        <is>
          <t>1979</t>
        </is>
      </c>
      <c r="Q857" t="inlineStr">
        <is>
          <t>eng</t>
        </is>
      </c>
      <c r="R857" t="inlineStr">
        <is>
          <t>nyu</t>
        </is>
      </c>
      <c r="T857" t="inlineStr">
        <is>
          <t xml:space="preserve">QP </t>
        </is>
      </c>
      <c r="U857" t="n">
        <v>4</v>
      </c>
      <c r="V857" t="n">
        <v>4</v>
      </c>
      <c r="W857" t="inlineStr">
        <is>
          <t>2002-04-11</t>
        </is>
      </c>
      <c r="X857" t="inlineStr">
        <is>
          <t>2002-04-11</t>
        </is>
      </c>
      <c r="Y857" t="inlineStr">
        <is>
          <t>1993-02-24</t>
        </is>
      </c>
      <c r="Z857" t="inlineStr">
        <is>
          <t>1993-02-24</t>
        </is>
      </c>
      <c r="AA857" t="n">
        <v>303</v>
      </c>
      <c r="AB857" t="n">
        <v>235</v>
      </c>
      <c r="AC857" t="n">
        <v>250</v>
      </c>
      <c r="AD857" t="n">
        <v>4</v>
      </c>
      <c r="AE857" t="n">
        <v>4</v>
      </c>
      <c r="AF857" t="n">
        <v>8</v>
      </c>
      <c r="AG857" t="n">
        <v>8</v>
      </c>
      <c r="AH857" t="n">
        <v>1</v>
      </c>
      <c r="AI857" t="n">
        <v>1</v>
      </c>
      <c r="AJ857" t="n">
        <v>3</v>
      </c>
      <c r="AK857" t="n">
        <v>3</v>
      </c>
      <c r="AL857" t="n">
        <v>1</v>
      </c>
      <c r="AM857" t="n">
        <v>1</v>
      </c>
      <c r="AN857" t="n">
        <v>3</v>
      </c>
      <c r="AO857" t="n">
        <v>3</v>
      </c>
      <c r="AP857" t="n">
        <v>0</v>
      </c>
      <c r="AQ857" t="n">
        <v>0</v>
      </c>
      <c r="AR857" t="inlineStr">
        <is>
          <t>No</t>
        </is>
      </c>
      <c r="AS857" t="inlineStr">
        <is>
          <t>Yes</t>
        </is>
      </c>
      <c r="AT857">
        <f>HYPERLINK("http://catalog.hathitrust.org/Record/000020067","HathiTrust Record")</f>
        <v/>
      </c>
      <c r="AU857">
        <f>HYPERLINK("https://creighton-primo.hosted.exlibrisgroup.com/primo-explore/search?tab=default_tab&amp;search_scope=EVERYTHING&amp;vid=01CRU&amp;lang=en_US&amp;offset=0&amp;query=any,contains,991004824889702656","Catalog Record")</f>
        <v/>
      </c>
      <c r="AV857">
        <f>HYPERLINK("http://www.worldcat.org/oclc/5353070","WorldCat Record")</f>
        <v/>
      </c>
      <c r="AW857" t="inlineStr">
        <is>
          <t>496869035:eng</t>
        </is>
      </c>
      <c r="AX857" t="inlineStr">
        <is>
          <t>5353070</t>
        </is>
      </c>
      <c r="AY857" t="inlineStr">
        <is>
          <t>991004824889702656</t>
        </is>
      </c>
      <c r="AZ857" t="inlineStr">
        <is>
          <t>991004824889702656</t>
        </is>
      </c>
      <c r="BA857" t="inlineStr">
        <is>
          <t>2259516890002656</t>
        </is>
      </c>
      <c r="BB857" t="inlineStr">
        <is>
          <t>BOOK</t>
        </is>
      </c>
      <c r="BD857" t="inlineStr">
        <is>
          <t>9780306403125</t>
        </is>
      </c>
      <c r="BE857" t="inlineStr">
        <is>
          <t>32285001549350</t>
        </is>
      </c>
      <c r="BF857" t="inlineStr">
        <is>
          <t>893688206</t>
        </is>
      </c>
    </row>
    <row r="858">
      <c r="B858" t="inlineStr">
        <is>
          <t>CURAL</t>
        </is>
      </c>
      <c r="C858" t="inlineStr">
        <is>
          <t>SHELVES</t>
        </is>
      </c>
      <c r="D858" t="inlineStr">
        <is>
          <t>QP82.2.M3 D37</t>
        </is>
      </c>
      <c r="E858" t="inlineStr">
        <is>
          <t>0                      QP 0082200M  3                  D  37</t>
        </is>
      </c>
      <c r="F858" t="inlineStr">
        <is>
          <t>Magnetism and its effects on the living system / by Albert Roy Davis and Walter C. Rawls, Jr.</t>
        </is>
      </c>
      <c r="H858" t="inlineStr">
        <is>
          <t>No</t>
        </is>
      </c>
      <c r="I858" t="inlineStr">
        <is>
          <t>1</t>
        </is>
      </c>
      <c r="J858" t="inlineStr">
        <is>
          <t>No</t>
        </is>
      </c>
      <c r="K858" t="inlineStr">
        <is>
          <t>No</t>
        </is>
      </c>
      <c r="L858" t="inlineStr">
        <is>
          <t>0</t>
        </is>
      </c>
      <c r="M858" t="inlineStr">
        <is>
          <t>Davis, Albert Roy.</t>
        </is>
      </c>
      <c r="N858" t="inlineStr">
        <is>
          <t>Hicksville, N.Y. : Exposition Press, [1974]</t>
        </is>
      </c>
      <c r="O858" t="inlineStr">
        <is>
          <t>1974</t>
        </is>
      </c>
      <c r="P858" t="inlineStr">
        <is>
          <t>1st ed.</t>
        </is>
      </c>
      <c r="Q858" t="inlineStr">
        <is>
          <t>eng</t>
        </is>
      </c>
      <c r="R858" t="inlineStr">
        <is>
          <t>nyu</t>
        </is>
      </c>
      <c r="S858" t="inlineStr">
        <is>
          <t>An Exposition-university book</t>
        </is>
      </c>
      <c r="T858" t="inlineStr">
        <is>
          <t xml:space="preserve">QP </t>
        </is>
      </c>
      <c r="U858" t="n">
        <v>5</v>
      </c>
      <c r="V858" t="n">
        <v>5</v>
      </c>
      <c r="W858" t="inlineStr">
        <is>
          <t>2002-04-11</t>
        </is>
      </c>
      <c r="X858" t="inlineStr">
        <is>
          <t>2002-04-11</t>
        </is>
      </c>
      <c r="Y858" t="inlineStr">
        <is>
          <t>1992-04-22</t>
        </is>
      </c>
      <c r="Z858" t="inlineStr">
        <is>
          <t>1992-04-22</t>
        </is>
      </c>
      <c r="AA858" t="n">
        <v>149</v>
      </c>
      <c r="AB858" t="n">
        <v>135</v>
      </c>
      <c r="AC858" t="n">
        <v>154</v>
      </c>
      <c r="AD858" t="n">
        <v>1</v>
      </c>
      <c r="AE858" t="n">
        <v>1</v>
      </c>
      <c r="AF858" t="n">
        <v>4</v>
      </c>
      <c r="AG858" t="n">
        <v>4</v>
      </c>
      <c r="AH858" t="n">
        <v>1</v>
      </c>
      <c r="AI858" t="n">
        <v>1</v>
      </c>
      <c r="AJ858" t="n">
        <v>1</v>
      </c>
      <c r="AK858" t="n">
        <v>1</v>
      </c>
      <c r="AL858" t="n">
        <v>3</v>
      </c>
      <c r="AM858" t="n">
        <v>3</v>
      </c>
      <c r="AN858" t="n">
        <v>0</v>
      </c>
      <c r="AO858" t="n">
        <v>0</v>
      </c>
      <c r="AP858" t="n">
        <v>0</v>
      </c>
      <c r="AQ858" t="n">
        <v>0</v>
      </c>
      <c r="AR858" t="inlineStr">
        <is>
          <t>No</t>
        </is>
      </c>
      <c r="AS858" t="inlineStr">
        <is>
          <t>Yes</t>
        </is>
      </c>
      <c r="AT858">
        <f>HYPERLINK("http://catalog.hathitrust.org/Record/004286808","HathiTrust Record")</f>
        <v/>
      </c>
      <c r="AU858">
        <f>HYPERLINK("https://creighton-primo.hosted.exlibrisgroup.com/primo-explore/search?tab=default_tab&amp;search_scope=EVERYTHING&amp;vid=01CRU&amp;lang=en_US&amp;offset=0&amp;query=any,contains,991003549789702656","Catalog Record")</f>
        <v/>
      </c>
      <c r="AV858">
        <f>HYPERLINK("http://www.worldcat.org/oclc/1118171","WorldCat Record")</f>
        <v/>
      </c>
      <c r="AW858" t="inlineStr">
        <is>
          <t>2014263:eng</t>
        </is>
      </c>
      <c r="AX858" t="inlineStr">
        <is>
          <t>1118171</t>
        </is>
      </c>
      <c r="AY858" t="inlineStr">
        <is>
          <t>991003549789702656</t>
        </is>
      </c>
      <c r="AZ858" t="inlineStr">
        <is>
          <t>991003549789702656</t>
        </is>
      </c>
      <c r="BA858" t="inlineStr">
        <is>
          <t>2256944670002656</t>
        </is>
      </c>
      <c r="BB858" t="inlineStr">
        <is>
          <t>BOOK</t>
        </is>
      </c>
      <c r="BD858" t="inlineStr">
        <is>
          <t>9780682480871</t>
        </is>
      </c>
      <c r="BE858" t="inlineStr">
        <is>
          <t>32285001063436</t>
        </is>
      </c>
      <c r="BF858" t="inlineStr">
        <is>
          <t>893416504</t>
        </is>
      </c>
    </row>
    <row r="859">
      <c r="B859" t="inlineStr">
        <is>
          <t>CURAL</t>
        </is>
      </c>
      <c r="C859" t="inlineStr">
        <is>
          <t>SHELVES</t>
        </is>
      </c>
      <c r="D859" t="inlineStr">
        <is>
          <t>QP82.2.M3 S53</t>
        </is>
      </c>
      <c r="E859" t="inlineStr">
        <is>
          <t>0                      QP 0082200M  3                  S  53</t>
        </is>
      </c>
      <c r="F859" t="inlineStr">
        <is>
          <t>Biological effects of electric and magnetic fields of extremely low frequency / Asher R. Sheppard, Merril Eisenbud.</t>
        </is>
      </c>
      <c r="H859" t="inlineStr">
        <is>
          <t>No</t>
        </is>
      </c>
      <c r="I859" t="inlineStr">
        <is>
          <t>1</t>
        </is>
      </c>
      <c r="J859" t="inlineStr">
        <is>
          <t>No</t>
        </is>
      </c>
      <c r="K859" t="inlineStr">
        <is>
          <t>No</t>
        </is>
      </c>
      <c r="L859" t="inlineStr">
        <is>
          <t>0</t>
        </is>
      </c>
      <c r="M859" t="inlineStr">
        <is>
          <t>Sheppard, Asher R.</t>
        </is>
      </c>
      <c r="N859" t="inlineStr">
        <is>
          <t>New York : New York University Press, 1977.</t>
        </is>
      </c>
      <c r="O859" t="inlineStr">
        <is>
          <t>1977</t>
        </is>
      </c>
      <c r="Q859" t="inlineStr">
        <is>
          <t>eng</t>
        </is>
      </c>
      <c r="R859" t="inlineStr">
        <is>
          <t>nyu</t>
        </is>
      </c>
      <c r="T859" t="inlineStr">
        <is>
          <t xml:space="preserve">QP </t>
        </is>
      </c>
      <c r="U859" t="n">
        <v>4</v>
      </c>
      <c r="V859" t="n">
        <v>4</v>
      </c>
      <c r="W859" t="inlineStr">
        <is>
          <t>1997-11-17</t>
        </is>
      </c>
      <c r="X859" t="inlineStr">
        <is>
          <t>1997-11-17</t>
        </is>
      </c>
      <c r="Y859" t="inlineStr">
        <is>
          <t>1992-04-22</t>
        </is>
      </c>
      <c r="Z859" t="inlineStr">
        <is>
          <t>1992-04-22</t>
        </is>
      </c>
      <c r="AA859" t="n">
        <v>390</v>
      </c>
      <c r="AB859" t="n">
        <v>337</v>
      </c>
      <c r="AC859" t="n">
        <v>338</v>
      </c>
      <c r="AD859" t="n">
        <v>4</v>
      </c>
      <c r="AE859" t="n">
        <v>4</v>
      </c>
      <c r="AF859" t="n">
        <v>11</v>
      </c>
      <c r="AG859" t="n">
        <v>11</v>
      </c>
      <c r="AH859" t="n">
        <v>1</v>
      </c>
      <c r="AI859" t="n">
        <v>1</v>
      </c>
      <c r="AJ859" t="n">
        <v>5</v>
      </c>
      <c r="AK859" t="n">
        <v>5</v>
      </c>
      <c r="AL859" t="n">
        <v>5</v>
      </c>
      <c r="AM859" t="n">
        <v>5</v>
      </c>
      <c r="AN859" t="n">
        <v>3</v>
      </c>
      <c r="AO859" t="n">
        <v>3</v>
      </c>
      <c r="AP859" t="n">
        <v>0</v>
      </c>
      <c r="AQ859" t="n">
        <v>0</v>
      </c>
      <c r="AR859" t="inlineStr">
        <is>
          <t>No</t>
        </is>
      </c>
      <c r="AS859" t="inlineStr">
        <is>
          <t>Yes</t>
        </is>
      </c>
      <c r="AT859">
        <f>HYPERLINK("http://catalog.hathitrust.org/Record/000251769","HathiTrust Record")</f>
        <v/>
      </c>
      <c r="AU859">
        <f>HYPERLINK("https://creighton-primo.hosted.exlibrisgroup.com/primo-explore/search?tab=default_tab&amp;search_scope=EVERYTHING&amp;vid=01CRU&amp;lang=en_US&amp;offset=0&amp;query=any,contains,991004319219702656","Catalog Record")</f>
        <v/>
      </c>
      <c r="AV859">
        <f>HYPERLINK("http://www.worldcat.org/oclc/3016601","WorldCat Record")</f>
        <v/>
      </c>
      <c r="AW859" t="inlineStr">
        <is>
          <t>7112337:eng</t>
        </is>
      </c>
      <c r="AX859" t="inlineStr">
        <is>
          <t>3016601</t>
        </is>
      </c>
      <c r="AY859" t="inlineStr">
        <is>
          <t>991004319219702656</t>
        </is>
      </c>
      <c r="AZ859" t="inlineStr">
        <is>
          <t>991004319219702656</t>
        </is>
      </c>
      <c r="BA859" t="inlineStr">
        <is>
          <t>2271401240002656</t>
        </is>
      </c>
      <c r="BB859" t="inlineStr">
        <is>
          <t>BOOK</t>
        </is>
      </c>
      <c r="BD859" t="inlineStr">
        <is>
          <t>9780814725627</t>
        </is>
      </c>
      <c r="BE859" t="inlineStr">
        <is>
          <t>32285001063428</t>
        </is>
      </c>
      <c r="BF859" t="inlineStr">
        <is>
          <t>893429919</t>
        </is>
      </c>
    </row>
    <row r="860">
      <c r="B860" t="inlineStr">
        <is>
          <t>CURAL</t>
        </is>
      </c>
      <c r="C860" t="inlineStr">
        <is>
          <t>SHELVES</t>
        </is>
      </c>
      <c r="D860" t="inlineStr">
        <is>
          <t>QP82.2.N6 L63 1986</t>
        </is>
      </c>
      <c r="E860" t="inlineStr">
        <is>
          <t>0                      QP 0082200N  6                  L  63          1986</t>
        </is>
      </c>
      <c r="F860" t="inlineStr">
        <is>
          <t>Noise and human efficiency / by Michael Loeb.</t>
        </is>
      </c>
      <c r="H860" t="inlineStr">
        <is>
          <t>No</t>
        </is>
      </c>
      <c r="I860" t="inlineStr">
        <is>
          <t>1</t>
        </is>
      </c>
      <c r="J860" t="inlineStr">
        <is>
          <t>No</t>
        </is>
      </c>
      <c r="K860" t="inlineStr">
        <is>
          <t>No</t>
        </is>
      </c>
      <c r="L860" t="inlineStr">
        <is>
          <t>0</t>
        </is>
      </c>
      <c r="M860" t="inlineStr">
        <is>
          <t>Loeb, Michel.</t>
        </is>
      </c>
      <c r="N860" t="inlineStr">
        <is>
          <t>Chichester [W. Sussex] ; New York : Wiley, c1986.</t>
        </is>
      </c>
      <c r="O860" t="inlineStr">
        <is>
          <t>1986</t>
        </is>
      </c>
      <c r="Q860" t="inlineStr">
        <is>
          <t>eng</t>
        </is>
      </c>
      <c r="R860" t="inlineStr">
        <is>
          <t>enk</t>
        </is>
      </c>
      <c r="S860" t="inlineStr">
        <is>
          <t>Wiley series on studies in human performance</t>
        </is>
      </c>
      <c r="T860" t="inlineStr">
        <is>
          <t xml:space="preserve">QP </t>
        </is>
      </c>
      <c r="U860" t="n">
        <v>2</v>
      </c>
      <c r="V860" t="n">
        <v>2</v>
      </c>
      <c r="W860" t="inlineStr">
        <is>
          <t>2003-09-30</t>
        </is>
      </c>
      <c r="X860" t="inlineStr">
        <is>
          <t>2003-09-30</t>
        </is>
      </c>
      <c r="Y860" t="inlineStr">
        <is>
          <t>1993-02-24</t>
        </is>
      </c>
      <c r="Z860" t="inlineStr">
        <is>
          <t>1993-02-24</t>
        </is>
      </c>
      <c r="AA860" t="n">
        <v>353</v>
      </c>
      <c r="AB860" t="n">
        <v>242</v>
      </c>
      <c r="AC860" t="n">
        <v>244</v>
      </c>
      <c r="AD860" t="n">
        <v>1</v>
      </c>
      <c r="AE860" t="n">
        <v>1</v>
      </c>
      <c r="AF860" t="n">
        <v>8</v>
      </c>
      <c r="AG860" t="n">
        <v>8</v>
      </c>
      <c r="AH860" t="n">
        <v>3</v>
      </c>
      <c r="AI860" t="n">
        <v>3</v>
      </c>
      <c r="AJ860" t="n">
        <v>2</v>
      </c>
      <c r="AK860" t="n">
        <v>2</v>
      </c>
      <c r="AL860" t="n">
        <v>5</v>
      </c>
      <c r="AM860" t="n">
        <v>5</v>
      </c>
      <c r="AN860" t="n">
        <v>0</v>
      </c>
      <c r="AO860" t="n">
        <v>0</v>
      </c>
      <c r="AP860" t="n">
        <v>0</v>
      </c>
      <c r="AQ860" t="n">
        <v>0</v>
      </c>
      <c r="AR860" t="inlineStr">
        <is>
          <t>No</t>
        </is>
      </c>
      <c r="AS860" t="inlineStr">
        <is>
          <t>Yes</t>
        </is>
      </c>
      <c r="AT860">
        <f>HYPERLINK("http://catalog.hathitrust.org/Record/000634056","HathiTrust Record")</f>
        <v/>
      </c>
      <c r="AU860">
        <f>HYPERLINK("https://creighton-primo.hosted.exlibrisgroup.com/primo-explore/search?tab=default_tab&amp;search_scope=EVERYTHING&amp;vid=01CRU&amp;lang=en_US&amp;offset=0&amp;query=any,contains,991000668599702656","Catalog Record")</f>
        <v/>
      </c>
      <c r="AV860">
        <f>HYPERLINK("http://www.worldcat.org/oclc/12311995","WorldCat Record")</f>
        <v/>
      </c>
      <c r="AW860" t="inlineStr">
        <is>
          <t>4930486:eng</t>
        </is>
      </c>
      <c r="AX860" t="inlineStr">
        <is>
          <t>12311995</t>
        </is>
      </c>
      <c r="AY860" t="inlineStr">
        <is>
          <t>991000668599702656</t>
        </is>
      </c>
      <c r="AZ860" t="inlineStr">
        <is>
          <t>991000668599702656</t>
        </is>
      </c>
      <c r="BA860" t="inlineStr">
        <is>
          <t>2271899890002656</t>
        </is>
      </c>
      <c r="BB860" t="inlineStr">
        <is>
          <t>BOOK</t>
        </is>
      </c>
      <c r="BD860" t="inlineStr">
        <is>
          <t>9780471102878</t>
        </is>
      </c>
      <c r="BE860" t="inlineStr">
        <is>
          <t>32285001549368</t>
        </is>
      </c>
      <c r="BF860" t="inlineStr">
        <is>
          <t>893871878</t>
        </is>
      </c>
    </row>
    <row r="861">
      <c r="B861" t="inlineStr">
        <is>
          <t>CURAL</t>
        </is>
      </c>
      <c r="C861" t="inlineStr">
        <is>
          <t>SHELVES</t>
        </is>
      </c>
      <c r="D861" t="inlineStr">
        <is>
          <t>QP82.2.N6 P47</t>
        </is>
      </c>
      <c r="E861" t="inlineStr">
        <is>
          <t>0                      QP 0082200N  6                  P  47</t>
        </is>
      </c>
      <c r="F861" t="inlineStr">
        <is>
          <t>Physiological effects of noise / edited by Bruce L. Welch and Annemarie S. Welch.</t>
        </is>
      </c>
      <c r="H861" t="inlineStr">
        <is>
          <t>No</t>
        </is>
      </c>
      <c r="I861" t="inlineStr">
        <is>
          <t>1</t>
        </is>
      </c>
      <c r="J861" t="inlineStr">
        <is>
          <t>No</t>
        </is>
      </c>
      <c r="K861" t="inlineStr">
        <is>
          <t>No</t>
        </is>
      </c>
      <c r="L861" t="inlineStr">
        <is>
          <t>0</t>
        </is>
      </c>
      <c r="N861" t="inlineStr">
        <is>
          <t>New York : Plenum Press, 1970.</t>
        </is>
      </c>
      <c r="O861" t="inlineStr">
        <is>
          <t>1970</t>
        </is>
      </c>
      <c r="Q861" t="inlineStr">
        <is>
          <t>eng</t>
        </is>
      </c>
      <c r="R861" t="inlineStr">
        <is>
          <t>nyu</t>
        </is>
      </c>
      <c r="T861" t="inlineStr">
        <is>
          <t xml:space="preserve">QP </t>
        </is>
      </c>
      <c r="U861" t="n">
        <v>3</v>
      </c>
      <c r="V861" t="n">
        <v>3</v>
      </c>
      <c r="W861" t="inlineStr">
        <is>
          <t>1998-03-31</t>
        </is>
      </c>
      <c r="X861" t="inlineStr">
        <is>
          <t>1998-03-31</t>
        </is>
      </c>
      <c r="Y861" t="inlineStr">
        <is>
          <t>1990-03-07</t>
        </is>
      </c>
      <c r="Z861" t="inlineStr">
        <is>
          <t>1990-03-07</t>
        </is>
      </c>
      <c r="AA861" t="n">
        <v>569</v>
      </c>
      <c r="AB861" t="n">
        <v>477</v>
      </c>
      <c r="AC861" t="n">
        <v>480</v>
      </c>
      <c r="AD861" t="n">
        <v>6</v>
      </c>
      <c r="AE861" t="n">
        <v>6</v>
      </c>
      <c r="AF861" t="n">
        <v>21</v>
      </c>
      <c r="AG861" t="n">
        <v>21</v>
      </c>
      <c r="AH861" t="n">
        <v>8</v>
      </c>
      <c r="AI861" t="n">
        <v>8</v>
      </c>
      <c r="AJ861" t="n">
        <v>3</v>
      </c>
      <c r="AK861" t="n">
        <v>3</v>
      </c>
      <c r="AL861" t="n">
        <v>8</v>
      </c>
      <c r="AM861" t="n">
        <v>8</v>
      </c>
      <c r="AN861" t="n">
        <v>5</v>
      </c>
      <c r="AO861" t="n">
        <v>5</v>
      </c>
      <c r="AP861" t="n">
        <v>0</v>
      </c>
      <c r="AQ861" t="n">
        <v>0</v>
      </c>
      <c r="AR861" t="inlineStr">
        <is>
          <t>No</t>
        </is>
      </c>
      <c r="AS861" t="inlineStr">
        <is>
          <t>Yes</t>
        </is>
      </c>
      <c r="AT861">
        <f>HYPERLINK("http://catalog.hathitrust.org/Record/009495403","HathiTrust Record")</f>
        <v/>
      </c>
      <c r="AU861">
        <f>HYPERLINK("https://creighton-primo.hosted.exlibrisgroup.com/primo-explore/search?tab=default_tab&amp;search_scope=EVERYTHING&amp;vid=01CRU&amp;lang=en_US&amp;offset=0&amp;query=any,contains,991000658339702656","Catalog Record")</f>
        <v/>
      </c>
      <c r="AV861">
        <f>HYPERLINK("http://www.worldcat.org/oclc/116510","WorldCat Record")</f>
        <v/>
      </c>
      <c r="AW861" t="inlineStr">
        <is>
          <t>3855349601:eng</t>
        </is>
      </c>
      <c r="AX861" t="inlineStr">
        <is>
          <t>116510</t>
        </is>
      </c>
      <c r="AY861" t="inlineStr">
        <is>
          <t>991000658339702656</t>
        </is>
      </c>
      <c r="AZ861" t="inlineStr">
        <is>
          <t>991000658339702656</t>
        </is>
      </c>
      <c r="BA861" t="inlineStr">
        <is>
          <t>2260500740002656</t>
        </is>
      </c>
      <c r="BB861" t="inlineStr">
        <is>
          <t>BOOK</t>
        </is>
      </c>
      <c r="BD861" t="inlineStr">
        <is>
          <t>9780306305030</t>
        </is>
      </c>
      <c r="BE861" t="inlineStr">
        <is>
          <t>32285000080555</t>
        </is>
      </c>
      <c r="BF861" t="inlineStr">
        <is>
          <t>893778117</t>
        </is>
      </c>
    </row>
    <row r="862">
      <c r="B862" t="inlineStr">
        <is>
          <t>CURAL</t>
        </is>
      </c>
      <c r="C862" t="inlineStr">
        <is>
          <t>SHELVES</t>
        </is>
      </c>
      <c r="D862" t="inlineStr">
        <is>
          <t>QP82.2.N6 S95 1977</t>
        </is>
      </c>
      <c r="E862" t="inlineStr">
        <is>
          <t>0                      QP 0082200N  6                  S  95          1977</t>
        </is>
      </c>
      <c r="F862" t="inlineStr">
        <is>
          <t>Effects of noise on wildlife / edited by John L. Fletcher, R. G. Busnel. --</t>
        </is>
      </c>
      <c r="H862" t="inlineStr">
        <is>
          <t>No</t>
        </is>
      </c>
      <c r="I862" t="inlineStr">
        <is>
          <t>1</t>
        </is>
      </c>
      <c r="J862" t="inlineStr">
        <is>
          <t>No</t>
        </is>
      </c>
      <c r="K862" t="inlineStr">
        <is>
          <t>No</t>
        </is>
      </c>
      <c r="L862" t="inlineStr">
        <is>
          <t>0</t>
        </is>
      </c>
      <c r="M862" t="inlineStr">
        <is>
          <t>Symposium on the Effects of Noise on Wildlife (1977 : Madrid, Spain)</t>
        </is>
      </c>
      <c r="N862" t="inlineStr">
        <is>
          <t>New York : Academic Press, 1978.</t>
        </is>
      </c>
      <c r="O862" t="inlineStr">
        <is>
          <t>1978</t>
        </is>
      </c>
      <c r="Q862" t="inlineStr">
        <is>
          <t>eng</t>
        </is>
      </c>
      <c r="R862" t="inlineStr">
        <is>
          <t>nyu</t>
        </is>
      </c>
      <c r="T862" t="inlineStr">
        <is>
          <t xml:space="preserve">QP </t>
        </is>
      </c>
      <c r="U862" t="n">
        <v>2</v>
      </c>
      <c r="V862" t="n">
        <v>2</v>
      </c>
      <c r="W862" t="inlineStr">
        <is>
          <t>1993-04-08</t>
        </is>
      </c>
      <c r="X862" t="inlineStr">
        <is>
          <t>1993-04-08</t>
        </is>
      </c>
      <c r="Y862" t="inlineStr">
        <is>
          <t>1993-02-24</t>
        </is>
      </c>
      <c r="Z862" t="inlineStr">
        <is>
          <t>1993-02-24</t>
        </is>
      </c>
      <c r="AA862" t="n">
        <v>379</v>
      </c>
      <c r="AB862" t="n">
        <v>280</v>
      </c>
      <c r="AC862" t="n">
        <v>325</v>
      </c>
      <c r="AD862" t="n">
        <v>3</v>
      </c>
      <c r="AE862" t="n">
        <v>3</v>
      </c>
      <c r="AF862" t="n">
        <v>5</v>
      </c>
      <c r="AG862" t="n">
        <v>8</v>
      </c>
      <c r="AH862" t="n">
        <v>2</v>
      </c>
      <c r="AI862" t="n">
        <v>4</v>
      </c>
      <c r="AJ862" t="n">
        <v>1</v>
      </c>
      <c r="AK862" t="n">
        <v>3</v>
      </c>
      <c r="AL862" t="n">
        <v>0</v>
      </c>
      <c r="AM862" t="n">
        <v>0</v>
      </c>
      <c r="AN862" t="n">
        <v>2</v>
      </c>
      <c r="AO862" t="n">
        <v>2</v>
      </c>
      <c r="AP862" t="n">
        <v>0</v>
      </c>
      <c r="AQ862" t="n">
        <v>0</v>
      </c>
      <c r="AR862" t="inlineStr">
        <is>
          <t>Yes</t>
        </is>
      </c>
      <c r="AS862" t="inlineStr">
        <is>
          <t>No</t>
        </is>
      </c>
      <c r="AT862">
        <f>HYPERLINK("http://catalog.hathitrust.org/Record/000135222","HathiTrust Record")</f>
        <v/>
      </c>
      <c r="AU862">
        <f>HYPERLINK("https://creighton-primo.hosted.exlibrisgroup.com/primo-explore/search?tab=default_tab&amp;search_scope=EVERYTHING&amp;vid=01CRU&amp;lang=en_US&amp;offset=0&amp;query=any,contains,991004525509702656","Catalog Record")</f>
        <v/>
      </c>
      <c r="AV862">
        <f>HYPERLINK("http://www.worldcat.org/oclc/3843380","WorldCat Record")</f>
        <v/>
      </c>
      <c r="AW862" t="inlineStr">
        <is>
          <t>353578935:eng</t>
        </is>
      </c>
      <c r="AX862" t="inlineStr">
        <is>
          <t>3843380</t>
        </is>
      </c>
      <c r="AY862" t="inlineStr">
        <is>
          <t>991004525509702656</t>
        </is>
      </c>
      <c r="AZ862" t="inlineStr">
        <is>
          <t>991004525509702656</t>
        </is>
      </c>
      <c r="BA862" t="inlineStr">
        <is>
          <t>2266424910002656</t>
        </is>
      </c>
      <c r="BB862" t="inlineStr">
        <is>
          <t>BOOK</t>
        </is>
      </c>
      <c r="BD862" t="inlineStr">
        <is>
          <t>9780122605505</t>
        </is>
      </c>
      <c r="BE862" t="inlineStr">
        <is>
          <t>32285001549376</t>
        </is>
      </c>
      <c r="BF862" t="inlineStr">
        <is>
          <t>893612459</t>
        </is>
      </c>
    </row>
    <row r="863">
      <c r="B863" t="inlineStr">
        <is>
          <t>CURAL</t>
        </is>
      </c>
      <c r="C863" t="inlineStr">
        <is>
          <t>SHELVES</t>
        </is>
      </c>
      <c r="D863" t="inlineStr">
        <is>
          <t>QP82.2.P4 C67 1984</t>
        </is>
      </c>
      <c r="E863" t="inlineStr">
        <is>
          <t>0                      QP 0082200P  4                  C  67          1984</t>
        </is>
      </c>
      <c r="F863" t="inlineStr">
        <is>
          <t>The biochemical mode of action of pesticides / J.R. Corbett, K. Wright, and A.C. Baillie.</t>
        </is>
      </c>
      <c r="H863" t="inlineStr">
        <is>
          <t>No</t>
        </is>
      </c>
      <c r="I863" t="inlineStr">
        <is>
          <t>1</t>
        </is>
      </c>
      <c r="J863" t="inlineStr">
        <is>
          <t>No</t>
        </is>
      </c>
      <c r="K863" t="inlineStr">
        <is>
          <t>No</t>
        </is>
      </c>
      <c r="L863" t="inlineStr">
        <is>
          <t>0</t>
        </is>
      </c>
      <c r="M863" t="inlineStr">
        <is>
          <t>Corbett, J. R. (John Roger), 1938-</t>
        </is>
      </c>
      <c r="N863" t="inlineStr">
        <is>
          <t>London ; Orlando, Fla. : Academic Press, 1984.</t>
        </is>
      </c>
      <c r="O863" t="inlineStr">
        <is>
          <t>1984</t>
        </is>
      </c>
      <c r="P863" t="inlineStr">
        <is>
          <t>2nd ed.</t>
        </is>
      </c>
      <c r="Q863" t="inlineStr">
        <is>
          <t>eng</t>
        </is>
      </c>
      <c r="R863" t="inlineStr">
        <is>
          <t>enk</t>
        </is>
      </c>
      <c r="T863" t="inlineStr">
        <is>
          <t xml:space="preserve">QP </t>
        </is>
      </c>
      <c r="U863" t="n">
        <v>3</v>
      </c>
      <c r="V863" t="n">
        <v>3</v>
      </c>
      <c r="W863" t="inlineStr">
        <is>
          <t>1994-05-01</t>
        </is>
      </c>
      <c r="X863" t="inlineStr">
        <is>
          <t>1994-05-01</t>
        </is>
      </c>
      <c r="Y863" t="inlineStr">
        <is>
          <t>1992-11-17</t>
        </is>
      </c>
      <c r="Z863" t="inlineStr">
        <is>
          <t>1992-11-17</t>
        </is>
      </c>
      <c r="AA863" t="n">
        <v>306</v>
      </c>
      <c r="AB863" t="n">
        <v>197</v>
      </c>
      <c r="AC863" t="n">
        <v>411</v>
      </c>
      <c r="AD863" t="n">
        <v>3</v>
      </c>
      <c r="AE863" t="n">
        <v>4</v>
      </c>
      <c r="AF863" t="n">
        <v>7</v>
      </c>
      <c r="AG863" t="n">
        <v>14</v>
      </c>
      <c r="AH863" t="n">
        <v>1</v>
      </c>
      <c r="AI863" t="n">
        <v>4</v>
      </c>
      <c r="AJ863" t="n">
        <v>3</v>
      </c>
      <c r="AK863" t="n">
        <v>3</v>
      </c>
      <c r="AL863" t="n">
        <v>3</v>
      </c>
      <c r="AM863" t="n">
        <v>8</v>
      </c>
      <c r="AN863" t="n">
        <v>2</v>
      </c>
      <c r="AO863" t="n">
        <v>3</v>
      </c>
      <c r="AP863" t="n">
        <v>0</v>
      </c>
      <c r="AQ863" t="n">
        <v>0</v>
      </c>
      <c r="AR863" t="inlineStr">
        <is>
          <t>No</t>
        </is>
      </c>
      <c r="AS863" t="inlineStr">
        <is>
          <t>Yes</t>
        </is>
      </c>
      <c r="AT863">
        <f>HYPERLINK("http://catalog.hathitrust.org/Record/000439179","HathiTrust Record")</f>
        <v/>
      </c>
      <c r="AU863">
        <f>HYPERLINK("https://creighton-primo.hosted.exlibrisgroup.com/primo-explore/search?tab=default_tab&amp;search_scope=EVERYTHING&amp;vid=01CRU&amp;lang=en_US&amp;offset=0&amp;query=any,contains,991000443089702656","Catalog Record")</f>
        <v/>
      </c>
      <c r="AV863">
        <f>HYPERLINK("http://www.worldcat.org/oclc/10837889","WorldCat Record")</f>
        <v/>
      </c>
      <c r="AW863" t="inlineStr">
        <is>
          <t>1934182:eng</t>
        </is>
      </c>
      <c r="AX863" t="inlineStr">
        <is>
          <t>10837889</t>
        </is>
      </c>
      <c r="AY863" t="inlineStr">
        <is>
          <t>991000443089702656</t>
        </is>
      </c>
      <c r="AZ863" t="inlineStr">
        <is>
          <t>991000443089702656</t>
        </is>
      </c>
      <c r="BA863" t="inlineStr">
        <is>
          <t>2268274450002656</t>
        </is>
      </c>
      <c r="BB863" t="inlineStr">
        <is>
          <t>BOOK</t>
        </is>
      </c>
      <c r="BD863" t="inlineStr">
        <is>
          <t>9780121878603</t>
        </is>
      </c>
      <c r="BE863" t="inlineStr">
        <is>
          <t>32285001405587</t>
        </is>
      </c>
      <c r="BF863" t="inlineStr">
        <is>
          <t>893777932</t>
        </is>
      </c>
    </row>
    <row r="864">
      <c r="B864" t="inlineStr">
        <is>
          <t>CURAL</t>
        </is>
      </c>
      <c r="C864" t="inlineStr">
        <is>
          <t>SHELVES</t>
        </is>
      </c>
      <c r="D864" t="inlineStr">
        <is>
          <t>QP82.2.P6 P64</t>
        </is>
      </c>
      <c r="E864" t="inlineStr">
        <is>
          <t>0                      QP 0082200P  6                  P  64</t>
        </is>
      </c>
      <c r="F864" t="inlineStr">
        <is>
          <t>Pollution and physiology of marine organisms / edited by F. John Vernberg, Winona B. Vernberg. --</t>
        </is>
      </c>
      <c r="H864" t="inlineStr">
        <is>
          <t>No</t>
        </is>
      </c>
      <c r="I864" t="inlineStr">
        <is>
          <t>1</t>
        </is>
      </c>
      <c r="J864" t="inlineStr">
        <is>
          <t>No</t>
        </is>
      </c>
      <c r="K864" t="inlineStr">
        <is>
          <t>No</t>
        </is>
      </c>
      <c r="L864" t="inlineStr">
        <is>
          <t>0</t>
        </is>
      </c>
      <c r="N864" t="inlineStr">
        <is>
          <t>New York : Academic Press, 1974.</t>
        </is>
      </c>
      <c r="O864" t="inlineStr">
        <is>
          <t>1974</t>
        </is>
      </c>
      <c r="Q864" t="inlineStr">
        <is>
          <t>eng</t>
        </is>
      </c>
      <c r="R864" t="inlineStr">
        <is>
          <t>nyu</t>
        </is>
      </c>
      <c r="T864" t="inlineStr">
        <is>
          <t xml:space="preserve">QP </t>
        </is>
      </c>
      <c r="U864" t="n">
        <v>10</v>
      </c>
      <c r="V864" t="n">
        <v>10</v>
      </c>
      <c r="W864" t="inlineStr">
        <is>
          <t>2000-02-20</t>
        </is>
      </c>
      <c r="X864" t="inlineStr">
        <is>
          <t>2000-02-20</t>
        </is>
      </c>
      <c r="Y864" t="inlineStr">
        <is>
          <t>1992-12-18</t>
        </is>
      </c>
      <c r="Z864" t="inlineStr">
        <is>
          <t>1992-12-18</t>
        </is>
      </c>
      <c r="AA864" t="n">
        <v>428</v>
      </c>
      <c r="AB864" t="n">
        <v>303</v>
      </c>
      <c r="AC864" t="n">
        <v>347</v>
      </c>
      <c r="AD864" t="n">
        <v>3</v>
      </c>
      <c r="AE864" t="n">
        <v>3</v>
      </c>
      <c r="AF864" t="n">
        <v>9</v>
      </c>
      <c r="AG864" t="n">
        <v>11</v>
      </c>
      <c r="AH864" t="n">
        <v>2</v>
      </c>
      <c r="AI864" t="n">
        <v>3</v>
      </c>
      <c r="AJ864" t="n">
        <v>3</v>
      </c>
      <c r="AK864" t="n">
        <v>4</v>
      </c>
      <c r="AL864" t="n">
        <v>4</v>
      </c>
      <c r="AM864" t="n">
        <v>4</v>
      </c>
      <c r="AN864" t="n">
        <v>2</v>
      </c>
      <c r="AO864" t="n">
        <v>2</v>
      </c>
      <c r="AP864" t="n">
        <v>0</v>
      </c>
      <c r="AQ864" t="n">
        <v>0</v>
      </c>
      <c r="AR864" t="inlineStr">
        <is>
          <t>No</t>
        </is>
      </c>
      <c r="AS864" t="inlineStr">
        <is>
          <t>Yes</t>
        </is>
      </c>
      <c r="AT864">
        <f>HYPERLINK("http://catalog.hathitrust.org/Record/002076361","HathiTrust Record")</f>
        <v/>
      </c>
      <c r="AU864">
        <f>HYPERLINK("https://creighton-primo.hosted.exlibrisgroup.com/primo-explore/search?tab=default_tab&amp;search_scope=EVERYTHING&amp;vid=01CRU&amp;lang=en_US&amp;offset=0&amp;query=any,contains,991004389059702656","Catalog Record")</f>
        <v/>
      </c>
      <c r="AV864">
        <f>HYPERLINK("http://www.worldcat.org/oclc/1104341","WorldCat Record")</f>
        <v/>
      </c>
      <c r="AW864" t="inlineStr">
        <is>
          <t>603776725:eng</t>
        </is>
      </c>
      <c r="AX864" t="inlineStr">
        <is>
          <t>1104341</t>
        </is>
      </c>
      <c r="AY864" t="inlineStr">
        <is>
          <t>991004389059702656</t>
        </is>
      </c>
      <c r="AZ864" t="inlineStr">
        <is>
          <t>991004389059702656</t>
        </is>
      </c>
      <c r="BA864" t="inlineStr">
        <is>
          <t>2272392510002656</t>
        </is>
      </c>
      <c r="BB864" t="inlineStr">
        <is>
          <t>BOOK</t>
        </is>
      </c>
      <c r="BD864" t="inlineStr">
        <is>
          <t>9780127182506</t>
        </is>
      </c>
      <c r="BE864" t="inlineStr">
        <is>
          <t>32285001444594</t>
        </is>
      </c>
      <c r="BF864" t="inlineStr">
        <is>
          <t>893904838</t>
        </is>
      </c>
    </row>
    <row r="865">
      <c r="B865" t="inlineStr">
        <is>
          <t>CURAL</t>
        </is>
      </c>
      <c r="C865" t="inlineStr">
        <is>
          <t>SHELVES</t>
        </is>
      </c>
      <c r="D865" t="inlineStr">
        <is>
          <t>QP82.2.P7 B4</t>
        </is>
      </c>
      <c r="E865" t="inlineStr">
        <is>
          <t>0                      QP 0082200P  7                  B  4</t>
        </is>
      </c>
      <c r="F865" t="inlineStr">
        <is>
          <t>The physiology and medicine of diving and compressed air work. Edited by P. B. Bennett and D. H. Elliott.</t>
        </is>
      </c>
      <c r="H865" t="inlineStr">
        <is>
          <t>No</t>
        </is>
      </c>
      <c r="I865" t="inlineStr">
        <is>
          <t>1</t>
        </is>
      </c>
      <c r="J865" t="inlineStr">
        <is>
          <t>Yes</t>
        </is>
      </c>
      <c r="K865" t="inlineStr">
        <is>
          <t>No</t>
        </is>
      </c>
      <c r="L865" t="inlineStr">
        <is>
          <t>0</t>
        </is>
      </c>
      <c r="M865" t="inlineStr">
        <is>
          <t>Bennett, Peter B.</t>
        </is>
      </c>
      <c r="N865" t="inlineStr">
        <is>
          <t>Baltimore, Williams &amp; Wilkins [1969]</t>
        </is>
      </c>
      <c r="O865" t="inlineStr">
        <is>
          <t>1969</t>
        </is>
      </c>
      <c r="Q865" t="inlineStr">
        <is>
          <t>eng</t>
        </is>
      </c>
      <c r="R865" t="inlineStr">
        <is>
          <t>mdu</t>
        </is>
      </c>
      <c r="T865" t="inlineStr">
        <is>
          <t xml:space="preserve">QP </t>
        </is>
      </c>
      <c r="U865" t="n">
        <v>2</v>
      </c>
      <c r="V865" t="n">
        <v>2</v>
      </c>
      <c r="W865" t="inlineStr">
        <is>
          <t>2003-09-18</t>
        </is>
      </c>
      <c r="X865" t="inlineStr">
        <is>
          <t>2003-09-18</t>
        </is>
      </c>
      <c r="Y865" t="inlineStr">
        <is>
          <t>1997-08-04</t>
        </is>
      </c>
      <c r="Z865" t="inlineStr">
        <is>
          <t>1997-08-04</t>
        </is>
      </c>
      <c r="AA865" t="n">
        <v>127</v>
      </c>
      <c r="AB865" t="n">
        <v>117</v>
      </c>
      <c r="AC865" t="n">
        <v>198</v>
      </c>
      <c r="AD865" t="n">
        <v>3</v>
      </c>
      <c r="AE865" t="n">
        <v>4</v>
      </c>
      <c r="AF865" t="n">
        <v>5</v>
      </c>
      <c r="AG865" t="n">
        <v>6</v>
      </c>
      <c r="AH865" t="n">
        <v>1</v>
      </c>
      <c r="AI865" t="n">
        <v>1</v>
      </c>
      <c r="AJ865" t="n">
        <v>0</v>
      </c>
      <c r="AK865" t="n">
        <v>0</v>
      </c>
      <c r="AL865" t="n">
        <v>3</v>
      </c>
      <c r="AM865" t="n">
        <v>3</v>
      </c>
      <c r="AN865" t="n">
        <v>1</v>
      </c>
      <c r="AO865" t="n">
        <v>2</v>
      </c>
      <c r="AP865" t="n">
        <v>0</v>
      </c>
      <c r="AQ865" t="n">
        <v>0</v>
      </c>
      <c r="AR865" t="inlineStr">
        <is>
          <t>No</t>
        </is>
      </c>
      <c r="AS865" t="inlineStr">
        <is>
          <t>No</t>
        </is>
      </c>
      <c r="AU865">
        <f>HYPERLINK("https://creighton-primo.hosted.exlibrisgroup.com/primo-explore/search?tab=default_tab&amp;search_scope=EVERYTHING&amp;vid=01CRU&amp;lang=en_US&amp;offset=0&amp;query=any,contains,991000073209702656","Catalog Record")</f>
        <v/>
      </c>
      <c r="AV865">
        <f>HYPERLINK("http://www.worldcat.org/oclc/29156","WorldCat Record")</f>
        <v/>
      </c>
      <c r="AW865" t="inlineStr">
        <is>
          <t>104062314:eng</t>
        </is>
      </c>
      <c r="AX865" t="inlineStr">
        <is>
          <t>29156</t>
        </is>
      </c>
      <c r="AY865" t="inlineStr">
        <is>
          <t>991000073209702656</t>
        </is>
      </c>
      <c r="AZ865" t="inlineStr">
        <is>
          <t>991000073209702656</t>
        </is>
      </c>
      <c r="BA865" t="inlineStr">
        <is>
          <t>2266340400002656</t>
        </is>
      </c>
      <c r="BB865" t="inlineStr">
        <is>
          <t>BOOK</t>
        </is>
      </c>
      <c r="BD865" t="inlineStr">
        <is>
          <t>9780702002748</t>
        </is>
      </c>
      <c r="BE865" t="inlineStr">
        <is>
          <t>32285003012100</t>
        </is>
      </c>
      <c r="BF865" t="inlineStr">
        <is>
          <t>893607592</t>
        </is>
      </c>
    </row>
    <row r="866">
      <c r="B866" t="inlineStr">
        <is>
          <t>CURAL</t>
        </is>
      </c>
      <c r="C866" t="inlineStr">
        <is>
          <t>SHELVES</t>
        </is>
      </c>
      <c r="D866" t="inlineStr">
        <is>
          <t>QP82.2.R3 A57</t>
        </is>
      </c>
      <c r="E866" t="inlineStr">
        <is>
          <t>0                      QP 0082200R  3                  A  57</t>
        </is>
      </c>
      <c r="F866" t="inlineStr">
        <is>
          <t>Radiation biochemistry / by Kurt I. Altman, Georg B. Gerber [and] Shigefumi Okada.</t>
        </is>
      </c>
      <c r="H866" t="inlineStr">
        <is>
          <t>Yes</t>
        </is>
      </c>
      <c r="I866" t="inlineStr">
        <is>
          <t>1</t>
        </is>
      </c>
      <c r="J866" t="inlineStr">
        <is>
          <t>Yes</t>
        </is>
      </c>
      <c r="K866" t="inlineStr">
        <is>
          <t>No</t>
        </is>
      </c>
      <c r="L866" t="inlineStr">
        <is>
          <t>0</t>
        </is>
      </c>
      <c r="M866" t="inlineStr">
        <is>
          <t>Altman, Kurt I.</t>
        </is>
      </c>
      <c r="N866" t="inlineStr">
        <is>
          <t>New York : Academic Press, 1970.</t>
        </is>
      </c>
      <c r="O866" t="inlineStr">
        <is>
          <t>1970</t>
        </is>
      </c>
      <c r="Q866" t="inlineStr">
        <is>
          <t>eng</t>
        </is>
      </c>
      <c r="R866" t="inlineStr">
        <is>
          <t>nyu</t>
        </is>
      </c>
      <c r="T866" t="inlineStr">
        <is>
          <t xml:space="preserve">QP </t>
        </is>
      </c>
      <c r="U866" t="n">
        <v>5</v>
      </c>
      <c r="V866" t="n">
        <v>6</v>
      </c>
      <c r="W866" t="inlineStr">
        <is>
          <t>1999-09-21</t>
        </is>
      </c>
      <c r="X866" t="inlineStr">
        <is>
          <t>1999-09-21</t>
        </is>
      </c>
      <c r="Y866" t="inlineStr">
        <is>
          <t>1994-11-28</t>
        </is>
      </c>
      <c r="Z866" t="inlineStr">
        <is>
          <t>1995-03-17</t>
        </is>
      </c>
      <c r="AA866" t="n">
        <v>390</v>
      </c>
      <c r="AB866" t="n">
        <v>295</v>
      </c>
      <c r="AC866" t="n">
        <v>330</v>
      </c>
      <c r="AD866" t="n">
        <v>5</v>
      </c>
      <c r="AE866" t="n">
        <v>5</v>
      </c>
      <c r="AF866" t="n">
        <v>15</v>
      </c>
      <c r="AG866" t="n">
        <v>17</v>
      </c>
      <c r="AH866" t="n">
        <v>3</v>
      </c>
      <c r="AI866" t="n">
        <v>4</v>
      </c>
      <c r="AJ866" t="n">
        <v>4</v>
      </c>
      <c r="AK866" t="n">
        <v>5</v>
      </c>
      <c r="AL866" t="n">
        <v>9</v>
      </c>
      <c r="AM866" t="n">
        <v>9</v>
      </c>
      <c r="AN866" t="n">
        <v>4</v>
      </c>
      <c r="AO866" t="n">
        <v>4</v>
      </c>
      <c r="AP866" t="n">
        <v>0</v>
      </c>
      <c r="AQ866" t="n">
        <v>0</v>
      </c>
      <c r="AR866" t="inlineStr">
        <is>
          <t>No</t>
        </is>
      </c>
      <c r="AS866" t="inlineStr">
        <is>
          <t>Yes</t>
        </is>
      </c>
      <c r="AT866">
        <f>HYPERLINK("http://catalog.hathitrust.org/Record/000186862","HathiTrust Record")</f>
        <v/>
      </c>
      <c r="AU866">
        <f>HYPERLINK("https://creighton-primo.hosted.exlibrisgroup.com/primo-explore/search?tab=default_tab&amp;search_scope=EVERYTHING&amp;vid=01CRU&amp;lang=en_US&amp;offset=0&amp;query=any,contains,991000431699702656","Catalog Record")</f>
        <v/>
      </c>
      <c r="AV866">
        <f>HYPERLINK("http://www.worldcat.org/oclc/75885","WorldCat Record")</f>
        <v/>
      </c>
      <c r="AW866" t="inlineStr">
        <is>
          <t>4820478352:eng</t>
        </is>
      </c>
      <c r="AX866" t="inlineStr">
        <is>
          <t>75885</t>
        </is>
      </c>
      <c r="AY866" t="inlineStr">
        <is>
          <t>991000431699702656</t>
        </is>
      </c>
      <c r="AZ866" t="inlineStr">
        <is>
          <t>991000431699702656</t>
        </is>
      </c>
      <c r="BA866" t="inlineStr">
        <is>
          <t>2255781710002656</t>
        </is>
      </c>
      <c r="BB866" t="inlineStr">
        <is>
          <t>BOOK</t>
        </is>
      </c>
      <c r="BD866" t="inlineStr">
        <is>
          <t>9780120545018</t>
        </is>
      </c>
      <c r="BE866" t="inlineStr">
        <is>
          <t>32285001967511</t>
        </is>
      </c>
      <c r="BF866" t="inlineStr">
        <is>
          <t>893903001</t>
        </is>
      </c>
    </row>
    <row r="867">
      <c r="B867" t="inlineStr">
        <is>
          <t>CURAL</t>
        </is>
      </c>
      <c r="C867" t="inlineStr">
        <is>
          <t>SHELVES</t>
        </is>
      </c>
      <c r="D867" t="inlineStr">
        <is>
          <t>QP82.2.R3 T3 1986</t>
        </is>
      </c>
      <c r="E867" t="inlineStr">
        <is>
          <t>0                      QP 0082200R  3                  T  3           1986</t>
        </is>
      </c>
      <c r="F867" t="inlineStr">
        <is>
          <t>The quality factor in radiation protection : report of a joint task group of the ICRP and the ICRU to the ICRP and the ICRU.</t>
        </is>
      </c>
      <c r="H867" t="inlineStr">
        <is>
          <t>No</t>
        </is>
      </c>
      <c r="I867" t="inlineStr">
        <is>
          <t>1</t>
        </is>
      </c>
      <c r="J867" t="inlineStr">
        <is>
          <t>No</t>
        </is>
      </c>
      <c r="K867" t="inlineStr">
        <is>
          <t>No</t>
        </is>
      </c>
      <c r="L867" t="inlineStr">
        <is>
          <t>0</t>
        </is>
      </c>
      <c r="M867" t="inlineStr">
        <is>
          <t>Task Group on Radiation Protection Quantities.</t>
        </is>
      </c>
      <c r="N867" t="inlineStr">
        <is>
          <t>Bethesda, Md., U.S.A. : International Commission on Radiation Units and Measurements, [1986]</t>
        </is>
      </c>
      <c r="O867" t="inlineStr">
        <is>
          <t>1986</t>
        </is>
      </c>
      <c r="Q867" t="inlineStr">
        <is>
          <t>eng</t>
        </is>
      </c>
      <c r="R867" t="inlineStr">
        <is>
          <t>mdu</t>
        </is>
      </c>
      <c r="S867" t="inlineStr">
        <is>
          <t>ICRU report ; 40</t>
        </is>
      </c>
      <c r="T867" t="inlineStr">
        <is>
          <t xml:space="preserve">QP </t>
        </is>
      </c>
      <c r="U867" t="n">
        <v>2</v>
      </c>
      <c r="V867" t="n">
        <v>2</v>
      </c>
      <c r="W867" t="inlineStr">
        <is>
          <t>2002-04-11</t>
        </is>
      </c>
      <c r="X867" t="inlineStr">
        <is>
          <t>2002-04-11</t>
        </is>
      </c>
      <c r="Y867" t="inlineStr">
        <is>
          <t>1993-08-20</t>
        </is>
      </c>
      <c r="Z867" t="inlineStr">
        <is>
          <t>1993-08-20</t>
        </is>
      </c>
      <c r="AA867" t="n">
        <v>75</v>
      </c>
      <c r="AB867" t="n">
        <v>55</v>
      </c>
      <c r="AC867" t="n">
        <v>57</v>
      </c>
      <c r="AD867" t="n">
        <v>1</v>
      </c>
      <c r="AE867" t="n">
        <v>1</v>
      </c>
      <c r="AF867" t="n">
        <v>0</v>
      </c>
      <c r="AG867" t="n">
        <v>0</v>
      </c>
      <c r="AH867" t="n">
        <v>0</v>
      </c>
      <c r="AI867" t="n">
        <v>0</v>
      </c>
      <c r="AJ867" t="n">
        <v>0</v>
      </c>
      <c r="AK867" t="n">
        <v>0</v>
      </c>
      <c r="AL867" t="n">
        <v>0</v>
      </c>
      <c r="AM867" t="n">
        <v>0</v>
      </c>
      <c r="AN867" t="n">
        <v>0</v>
      </c>
      <c r="AO867" t="n">
        <v>0</v>
      </c>
      <c r="AP867" t="n">
        <v>0</v>
      </c>
      <c r="AQ867" t="n">
        <v>0</v>
      </c>
      <c r="AR867" t="inlineStr">
        <is>
          <t>No</t>
        </is>
      </c>
      <c r="AS867" t="inlineStr">
        <is>
          <t>Yes</t>
        </is>
      </c>
      <c r="AT867">
        <f>HYPERLINK("http://catalog.hathitrust.org/Record/009464901","HathiTrust Record")</f>
        <v/>
      </c>
      <c r="AU867">
        <f>HYPERLINK("https://creighton-primo.hosted.exlibrisgroup.com/primo-explore/search?tab=default_tab&amp;search_scope=EVERYTHING&amp;vid=01CRU&amp;lang=en_US&amp;offset=0&amp;query=any,contains,991000794549702656","Catalog Record")</f>
        <v/>
      </c>
      <c r="AV867">
        <f>HYPERLINK("http://www.worldcat.org/oclc/13184417","WorldCat Record")</f>
        <v/>
      </c>
      <c r="AW867" t="inlineStr">
        <is>
          <t>793767438:eng</t>
        </is>
      </c>
      <c r="AX867" t="inlineStr">
        <is>
          <t>13184417</t>
        </is>
      </c>
      <c r="AY867" t="inlineStr">
        <is>
          <t>991000794549702656</t>
        </is>
      </c>
      <c r="AZ867" t="inlineStr">
        <is>
          <t>991000794549702656</t>
        </is>
      </c>
      <c r="BA867" t="inlineStr">
        <is>
          <t>2254893040002656</t>
        </is>
      </c>
      <c r="BB867" t="inlineStr">
        <is>
          <t>BOOK</t>
        </is>
      </c>
      <c r="BD867" t="inlineStr">
        <is>
          <t>9780913394342</t>
        </is>
      </c>
      <c r="BE867" t="inlineStr">
        <is>
          <t>32285001760601</t>
        </is>
      </c>
      <c r="BF867" t="inlineStr">
        <is>
          <t>893683754</t>
        </is>
      </c>
    </row>
    <row r="868">
      <c r="B868" t="inlineStr">
        <is>
          <t>CURAL</t>
        </is>
      </c>
      <c r="C868" t="inlineStr">
        <is>
          <t>SHELVES</t>
        </is>
      </c>
      <c r="D868" t="inlineStr">
        <is>
          <t>QP82.2.S8 A33 1987</t>
        </is>
      </c>
      <c r="E868" t="inlineStr">
        <is>
          <t>0                      QP 0082200S  8                  A  33          1987</t>
        </is>
      </c>
      <c r="F868" t="inlineStr">
        <is>
          <t>Adaptive physiology to stressful environments / editors, Shlomo Samueloff, Mohamed K. Yousef.</t>
        </is>
      </c>
      <c r="H868" t="inlineStr">
        <is>
          <t>No</t>
        </is>
      </c>
      <c r="I868" t="inlineStr">
        <is>
          <t>1</t>
        </is>
      </c>
      <c r="J868" t="inlineStr">
        <is>
          <t>No</t>
        </is>
      </c>
      <c r="K868" t="inlineStr">
        <is>
          <t>No</t>
        </is>
      </c>
      <c r="L868" t="inlineStr">
        <is>
          <t>0</t>
        </is>
      </c>
      <c r="N868" t="inlineStr">
        <is>
          <t>Boca Raton, Fla. : CRC Press, c1987.</t>
        </is>
      </c>
      <c r="O868" t="inlineStr">
        <is>
          <t>1987</t>
        </is>
      </c>
      <c r="Q868" t="inlineStr">
        <is>
          <t>eng</t>
        </is>
      </c>
      <c r="R868" t="inlineStr">
        <is>
          <t>flu</t>
        </is>
      </c>
      <c r="T868" t="inlineStr">
        <is>
          <t xml:space="preserve">QP </t>
        </is>
      </c>
      <c r="U868" t="n">
        <v>11</v>
      </c>
      <c r="V868" t="n">
        <v>11</v>
      </c>
      <c r="W868" t="inlineStr">
        <is>
          <t>1995-09-29</t>
        </is>
      </c>
      <c r="X868" t="inlineStr">
        <is>
          <t>1995-09-29</t>
        </is>
      </c>
      <c r="Y868" t="inlineStr">
        <is>
          <t>1993-02-24</t>
        </is>
      </c>
      <c r="Z868" t="inlineStr">
        <is>
          <t>1993-02-24</t>
        </is>
      </c>
      <c r="AA868" t="n">
        <v>216</v>
      </c>
      <c r="AB868" t="n">
        <v>157</v>
      </c>
      <c r="AC868" t="n">
        <v>159</v>
      </c>
      <c r="AD868" t="n">
        <v>2</v>
      </c>
      <c r="AE868" t="n">
        <v>2</v>
      </c>
      <c r="AF868" t="n">
        <v>7</v>
      </c>
      <c r="AG868" t="n">
        <v>7</v>
      </c>
      <c r="AH868" t="n">
        <v>3</v>
      </c>
      <c r="AI868" t="n">
        <v>3</v>
      </c>
      <c r="AJ868" t="n">
        <v>1</v>
      </c>
      <c r="AK868" t="n">
        <v>1</v>
      </c>
      <c r="AL868" t="n">
        <v>2</v>
      </c>
      <c r="AM868" t="n">
        <v>2</v>
      </c>
      <c r="AN868" t="n">
        <v>1</v>
      </c>
      <c r="AO868" t="n">
        <v>1</v>
      </c>
      <c r="AP868" t="n">
        <v>0</v>
      </c>
      <c r="AQ868" t="n">
        <v>0</v>
      </c>
      <c r="AR868" t="inlineStr">
        <is>
          <t>No</t>
        </is>
      </c>
      <c r="AS868" t="inlineStr">
        <is>
          <t>Yes</t>
        </is>
      </c>
      <c r="AT868">
        <f>HYPERLINK("http://catalog.hathitrust.org/Record/000846279","HathiTrust Record")</f>
        <v/>
      </c>
      <c r="AU868">
        <f>HYPERLINK("https://creighton-primo.hosted.exlibrisgroup.com/primo-explore/search?tab=default_tab&amp;search_scope=EVERYTHING&amp;vid=01CRU&amp;lang=en_US&amp;offset=0&amp;query=any,contains,991001096729702656","Catalog Record")</f>
        <v/>
      </c>
      <c r="AV868">
        <f>HYPERLINK("http://www.worldcat.org/oclc/16276043","WorldCat Record")</f>
        <v/>
      </c>
      <c r="AW868" t="inlineStr">
        <is>
          <t>356173343:eng</t>
        </is>
      </c>
      <c r="AX868" t="inlineStr">
        <is>
          <t>16276043</t>
        </is>
      </c>
      <c r="AY868" t="inlineStr">
        <is>
          <t>991001096729702656</t>
        </is>
      </c>
      <c r="AZ868" t="inlineStr">
        <is>
          <t>991001096729702656</t>
        </is>
      </c>
      <c r="BA868" t="inlineStr">
        <is>
          <t>2262279830002656</t>
        </is>
      </c>
      <c r="BB868" t="inlineStr">
        <is>
          <t>BOOK</t>
        </is>
      </c>
      <c r="BD868" t="inlineStr">
        <is>
          <t>9780849364587</t>
        </is>
      </c>
      <c r="BE868" t="inlineStr">
        <is>
          <t>32285001549392</t>
        </is>
      </c>
      <c r="BF868" t="inlineStr">
        <is>
          <t>893872273</t>
        </is>
      </c>
    </row>
    <row r="869">
      <c r="B869" t="inlineStr">
        <is>
          <t>CURAL</t>
        </is>
      </c>
      <c r="C869" t="inlineStr">
        <is>
          <t>SHELVES</t>
        </is>
      </c>
      <c r="D869" t="inlineStr">
        <is>
          <t>QP82.2.S8 G65 1995</t>
        </is>
      </c>
      <c r="E869" t="inlineStr">
        <is>
          <t>0                      QP 0082200S  8                  G  65          1995</t>
        </is>
      </c>
      <c r="F869" t="inlineStr">
        <is>
          <t>Stress, catecholamines, and cardiovascular disease / David S. Goldstein.</t>
        </is>
      </c>
      <c r="H869" t="inlineStr">
        <is>
          <t>No</t>
        </is>
      </c>
      <c r="I869" t="inlineStr">
        <is>
          <t>1</t>
        </is>
      </c>
      <c r="J869" t="inlineStr">
        <is>
          <t>No</t>
        </is>
      </c>
      <c r="K869" t="inlineStr">
        <is>
          <t>No</t>
        </is>
      </c>
      <c r="L869" t="inlineStr">
        <is>
          <t>0</t>
        </is>
      </c>
      <c r="M869" t="inlineStr">
        <is>
          <t>Goldstein, David S., 1948-</t>
        </is>
      </c>
      <c r="N869" t="inlineStr">
        <is>
          <t>New York : Oxford University Press, 1995.</t>
        </is>
      </c>
      <c r="O869" t="inlineStr">
        <is>
          <t>1995</t>
        </is>
      </c>
      <c r="Q869" t="inlineStr">
        <is>
          <t>eng</t>
        </is>
      </c>
      <c r="R869" t="inlineStr">
        <is>
          <t>nyu</t>
        </is>
      </c>
      <c r="T869" t="inlineStr">
        <is>
          <t xml:space="preserve">QP </t>
        </is>
      </c>
      <c r="U869" t="n">
        <v>14</v>
      </c>
      <c r="V869" t="n">
        <v>14</v>
      </c>
      <c r="W869" t="inlineStr">
        <is>
          <t>2005-12-20</t>
        </is>
      </c>
      <c r="X869" t="inlineStr">
        <is>
          <t>2005-12-20</t>
        </is>
      </c>
      <c r="Y869" t="inlineStr">
        <is>
          <t>1996-06-04</t>
        </is>
      </c>
      <c r="Z869" t="inlineStr">
        <is>
          <t>1996-06-04</t>
        </is>
      </c>
      <c r="AA869" t="n">
        <v>207</v>
      </c>
      <c r="AB869" t="n">
        <v>166</v>
      </c>
      <c r="AC869" t="n">
        <v>175</v>
      </c>
      <c r="AD869" t="n">
        <v>2</v>
      </c>
      <c r="AE869" t="n">
        <v>2</v>
      </c>
      <c r="AF869" t="n">
        <v>6</v>
      </c>
      <c r="AG869" t="n">
        <v>6</v>
      </c>
      <c r="AH869" t="n">
        <v>3</v>
      </c>
      <c r="AI869" t="n">
        <v>3</v>
      </c>
      <c r="AJ869" t="n">
        <v>0</v>
      </c>
      <c r="AK869" t="n">
        <v>0</v>
      </c>
      <c r="AL869" t="n">
        <v>4</v>
      </c>
      <c r="AM869" t="n">
        <v>4</v>
      </c>
      <c r="AN869" t="n">
        <v>1</v>
      </c>
      <c r="AO869" t="n">
        <v>1</v>
      </c>
      <c r="AP869" t="n">
        <v>0</v>
      </c>
      <c r="AQ869" t="n">
        <v>0</v>
      </c>
      <c r="AR869" t="inlineStr">
        <is>
          <t>No</t>
        </is>
      </c>
      <c r="AS869" t="inlineStr">
        <is>
          <t>Yes</t>
        </is>
      </c>
      <c r="AT869">
        <f>HYPERLINK("http://catalog.hathitrust.org/Record/002975986","HathiTrust Record")</f>
        <v/>
      </c>
      <c r="AU869">
        <f>HYPERLINK("https://creighton-primo.hosted.exlibrisgroup.com/primo-explore/search?tab=default_tab&amp;search_scope=EVERYTHING&amp;vid=01CRU&amp;lang=en_US&amp;offset=0&amp;query=any,contains,991002351569702656","Catalog Record")</f>
        <v/>
      </c>
      <c r="AV869">
        <f>HYPERLINK("http://www.worldcat.org/oclc/30623935","WorldCat Record")</f>
        <v/>
      </c>
      <c r="AW869" t="inlineStr">
        <is>
          <t>32669157:eng</t>
        </is>
      </c>
      <c r="AX869" t="inlineStr">
        <is>
          <t>30623935</t>
        </is>
      </c>
      <c r="AY869" t="inlineStr">
        <is>
          <t>991002351569702656</t>
        </is>
      </c>
      <c r="AZ869" t="inlineStr">
        <is>
          <t>991002351569702656</t>
        </is>
      </c>
      <c r="BA869" t="inlineStr">
        <is>
          <t>2260644380002656</t>
        </is>
      </c>
      <c r="BB869" t="inlineStr">
        <is>
          <t>BOOK</t>
        </is>
      </c>
      <c r="BD869" t="inlineStr">
        <is>
          <t>9780195065381</t>
        </is>
      </c>
      <c r="BE869" t="inlineStr">
        <is>
          <t>32285002186871</t>
        </is>
      </c>
      <c r="BF869" t="inlineStr">
        <is>
          <t>893322828</t>
        </is>
      </c>
    </row>
    <row r="870">
      <c r="B870" t="inlineStr">
        <is>
          <t>CURAL</t>
        </is>
      </c>
      <c r="C870" t="inlineStr">
        <is>
          <t>SHELVES</t>
        </is>
      </c>
      <c r="D870" t="inlineStr">
        <is>
          <t>QP82.2.S8 M38 2002</t>
        </is>
      </c>
      <c r="E870" t="inlineStr">
        <is>
          <t>0                      QP 0082200S  8                  M  38          2002</t>
        </is>
      </c>
      <c r="F870" t="inlineStr">
        <is>
          <t>The end of stress as we know it / Bruce S. McEwen, with Elizabeth Norton Lasley.</t>
        </is>
      </c>
      <c r="H870" t="inlineStr">
        <is>
          <t>No</t>
        </is>
      </c>
      <c r="I870" t="inlineStr">
        <is>
          <t>1</t>
        </is>
      </c>
      <c r="J870" t="inlineStr">
        <is>
          <t>No</t>
        </is>
      </c>
      <c r="K870" t="inlineStr">
        <is>
          <t>No</t>
        </is>
      </c>
      <c r="L870" t="inlineStr">
        <is>
          <t>0</t>
        </is>
      </c>
      <c r="M870" t="inlineStr">
        <is>
          <t>McEwen, Bruce S.</t>
        </is>
      </c>
      <c r="N870" t="inlineStr">
        <is>
          <t>Washington, D.C. : Joseph Henry Press, c2002.</t>
        </is>
      </c>
      <c r="O870" t="inlineStr">
        <is>
          <t>2002</t>
        </is>
      </c>
      <c r="Q870" t="inlineStr">
        <is>
          <t>eng</t>
        </is>
      </c>
      <c r="R870" t="inlineStr">
        <is>
          <t>dcu</t>
        </is>
      </c>
      <c r="T870" t="inlineStr">
        <is>
          <t xml:space="preserve">QP </t>
        </is>
      </c>
      <c r="U870" t="n">
        <v>7</v>
      </c>
      <c r="V870" t="n">
        <v>7</v>
      </c>
      <c r="W870" t="inlineStr">
        <is>
          <t>2006-10-08</t>
        </is>
      </c>
      <c r="X870" t="inlineStr">
        <is>
          <t>2006-10-08</t>
        </is>
      </c>
      <c r="Y870" t="inlineStr">
        <is>
          <t>2003-02-06</t>
        </is>
      </c>
      <c r="Z870" t="inlineStr">
        <is>
          <t>2003-02-06</t>
        </is>
      </c>
      <c r="AA870" t="n">
        <v>895</v>
      </c>
      <c r="AB870" t="n">
        <v>827</v>
      </c>
      <c r="AC870" t="n">
        <v>1368</v>
      </c>
      <c r="AD870" t="n">
        <v>6</v>
      </c>
      <c r="AE870" t="n">
        <v>30</v>
      </c>
      <c r="AF870" t="n">
        <v>20</v>
      </c>
      <c r="AG870" t="n">
        <v>37</v>
      </c>
      <c r="AH870" t="n">
        <v>6</v>
      </c>
      <c r="AI870" t="n">
        <v>11</v>
      </c>
      <c r="AJ870" t="n">
        <v>5</v>
      </c>
      <c r="AK870" t="n">
        <v>6</v>
      </c>
      <c r="AL870" t="n">
        <v>11</v>
      </c>
      <c r="AM870" t="n">
        <v>13</v>
      </c>
      <c r="AN870" t="n">
        <v>3</v>
      </c>
      <c r="AO870" t="n">
        <v>14</v>
      </c>
      <c r="AP870" t="n">
        <v>0</v>
      </c>
      <c r="AQ870" t="n">
        <v>0</v>
      </c>
      <c r="AR870" t="inlineStr">
        <is>
          <t>No</t>
        </is>
      </c>
      <c r="AS870" t="inlineStr">
        <is>
          <t>No</t>
        </is>
      </c>
      <c r="AU870">
        <f>HYPERLINK("https://creighton-primo.hosted.exlibrisgroup.com/primo-explore/search?tab=default_tab&amp;search_scope=EVERYTHING&amp;vid=01CRU&amp;lang=en_US&amp;offset=0&amp;query=any,contains,991003967509702656","Catalog Record")</f>
        <v/>
      </c>
      <c r="AV870">
        <f>HYPERLINK("http://www.worldcat.org/oclc/49639058","WorldCat Record")</f>
        <v/>
      </c>
      <c r="AW870" t="inlineStr">
        <is>
          <t>1065044:eng</t>
        </is>
      </c>
      <c r="AX870" t="inlineStr">
        <is>
          <t>49639058</t>
        </is>
      </c>
      <c r="AY870" t="inlineStr">
        <is>
          <t>991003967509702656</t>
        </is>
      </c>
      <c r="AZ870" t="inlineStr">
        <is>
          <t>991003967509702656</t>
        </is>
      </c>
      <c r="BA870" t="inlineStr">
        <is>
          <t>2266708300002656</t>
        </is>
      </c>
      <c r="BB870" t="inlineStr">
        <is>
          <t>BOOK</t>
        </is>
      </c>
      <c r="BD870" t="inlineStr">
        <is>
          <t>9780309076401</t>
        </is>
      </c>
      <c r="BE870" t="inlineStr">
        <is>
          <t>32285004697578</t>
        </is>
      </c>
      <c r="BF870" t="inlineStr">
        <is>
          <t>893593116</t>
        </is>
      </c>
    </row>
    <row r="871">
      <c r="B871" t="inlineStr">
        <is>
          <t>CURAL</t>
        </is>
      </c>
      <c r="C871" t="inlineStr">
        <is>
          <t>SHELVES</t>
        </is>
      </c>
      <c r="D871" t="inlineStr">
        <is>
          <t>QP82.2.S8 S44</t>
        </is>
      </c>
      <c r="E871" t="inlineStr">
        <is>
          <t>0                      QP 0082200S  8                  S  44</t>
        </is>
      </c>
      <c r="F871" t="inlineStr">
        <is>
          <t>The stress of life / Hans Selye.</t>
        </is>
      </c>
      <c r="H871" t="inlineStr">
        <is>
          <t>No</t>
        </is>
      </c>
      <c r="I871" t="inlineStr">
        <is>
          <t>1</t>
        </is>
      </c>
      <c r="J871" t="inlineStr">
        <is>
          <t>Yes</t>
        </is>
      </c>
      <c r="K871" t="inlineStr">
        <is>
          <t>Yes</t>
        </is>
      </c>
      <c r="L871" t="inlineStr">
        <is>
          <t>0</t>
        </is>
      </c>
      <c r="M871" t="inlineStr">
        <is>
          <t>Selye, Hans, 1907-1982.</t>
        </is>
      </c>
      <c r="N871" t="inlineStr">
        <is>
          <t>New York : McGraw-Hill, [1956]</t>
        </is>
      </c>
      <c r="O871" t="inlineStr">
        <is>
          <t>1956</t>
        </is>
      </c>
      <c r="Q871" t="inlineStr">
        <is>
          <t>eng</t>
        </is>
      </c>
      <c r="R871" t="inlineStr">
        <is>
          <t>nyu</t>
        </is>
      </c>
      <c r="T871" t="inlineStr">
        <is>
          <t xml:space="preserve">QP </t>
        </is>
      </c>
      <c r="U871" t="n">
        <v>6</v>
      </c>
      <c r="V871" t="n">
        <v>13</v>
      </c>
      <c r="W871" t="inlineStr">
        <is>
          <t>2010-05-10</t>
        </is>
      </c>
      <c r="X871" t="inlineStr">
        <is>
          <t>2010-05-10</t>
        </is>
      </c>
      <c r="Y871" t="inlineStr">
        <is>
          <t>1992-02-07</t>
        </is>
      </c>
      <c r="Z871" t="inlineStr">
        <is>
          <t>1992-02-07</t>
        </is>
      </c>
      <c r="AA871" t="n">
        <v>1099</v>
      </c>
      <c r="AB871" t="n">
        <v>961</v>
      </c>
      <c r="AC871" t="n">
        <v>1774</v>
      </c>
      <c r="AD871" t="n">
        <v>12</v>
      </c>
      <c r="AE871" t="n">
        <v>18</v>
      </c>
      <c r="AF871" t="n">
        <v>41</v>
      </c>
      <c r="AG871" t="n">
        <v>58</v>
      </c>
      <c r="AH871" t="n">
        <v>14</v>
      </c>
      <c r="AI871" t="n">
        <v>23</v>
      </c>
      <c r="AJ871" t="n">
        <v>8</v>
      </c>
      <c r="AK871" t="n">
        <v>10</v>
      </c>
      <c r="AL871" t="n">
        <v>19</v>
      </c>
      <c r="AM871" t="n">
        <v>25</v>
      </c>
      <c r="AN871" t="n">
        <v>8</v>
      </c>
      <c r="AO871" t="n">
        <v>11</v>
      </c>
      <c r="AP871" t="n">
        <v>1</v>
      </c>
      <c r="AQ871" t="n">
        <v>1</v>
      </c>
      <c r="AR871" t="inlineStr">
        <is>
          <t>No</t>
        </is>
      </c>
      <c r="AS871" t="inlineStr">
        <is>
          <t>No</t>
        </is>
      </c>
      <c r="AT871">
        <f>HYPERLINK("http://catalog.hathitrust.org/Record/001553450","HathiTrust Record")</f>
        <v/>
      </c>
      <c r="AU871">
        <f>HYPERLINK("https://creighton-primo.hosted.exlibrisgroup.com/primo-explore/search?tab=default_tab&amp;search_scope=EVERYTHING&amp;vid=01CRU&amp;lang=en_US&amp;offset=0&amp;query=any,contains,991001788349702656","Catalog Record")</f>
        <v/>
      </c>
      <c r="AV871">
        <f>HYPERLINK("http://www.worldcat.org/oclc/525839","WorldCat Record")</f>
        <v/>
      </c>
      <c r="AW871" t="inlineStr">
        <is>
          <t>406399:eng</t>
        </is>
      </c>
      <c r="AX871" t="inlineStr">
        <is>
          <t>525839</t>
        </is>
      </c>
      <c r="AY871" t="inlineStr">
        <is>
          <t>991001788349702656</t>
        </is>
      </c>
      <c r="AZ871" t="inlineStr">
        <is>
          <t>991001788349702656</t>
        </is>
      </c>
      <c r="BA871" t="inlineStr">
        <is>
          <t>2262401520002656</t>
        </is>
      </c>
      <c r="BB871" t="inlineStr">
        <is>
          <t>BOOK</t>
        </is>
      </c>
      <c r="BE871" t="inlineStr">
        <is>
          <t>32285000943034</t>
        </is>
      </c>
      <c r="BF871" t="inlineStr">
        <is>
          <t>893621625</t>
        </is>
      </c>
    </row>
    <row r="872">
      <c r="B872" t="inlineStr">
        <is>
          <t>CURAL</t>
        </is>
      </c>
      <c r="C872" t="inlineStr">
        <is>
          <t>SHELVES</t>
        </is>
      </c>
      <c r="D872" t="inlineStr">
        <is>
          <t>QP82.2.S8 S44 1976</t>
        </is>
      </c>
      <c r="E872" t="inlineStr">
        <is>
          <t>0                      QP 0082200S  8                  S  44          1976</t>
        </is>
      </c>
      <c r="F872" t="inlineStr">
        <is>
          <t>The stress of life / by Hans Selye.</t>
        </is>
      </c>
      <c r="H872" t="inlineStr">
        <is>
          <t>No</t>
        </is>
      </c>
      <c r="I872" t="inlineStr">
        <is>
          <t>1</t>
        </is>
      </c>
      <c r="J872" t="inlineStr">
        <is>
          <t>No</t>
        </is>
      </c>
      <c r="K872" t="inlineStr">
        <is>
          <t>Yes</t>
        </is>
      </c>
      <c r="L872" t="inlineStr">
        <is>
          <t>0</t>
        </is>
      </c>
      <c r="M872" t="inlineStr">
        <is>
          <t>Selye, Hans, 1907-1982.</t>
        </is>
      </c>
      <c r="N872" t="inlineStr">
        <is>
          <t>New York : McGraw-Hill, c1976.</t>
        </is>
      </c>
      <c r="O872" t="inlineStr">
        <is>
          <t>1976</t>
        </is>
      </c>
      <c r="P872" t="inlineStr">
        <is>
          <t>Rev. ed.</t>
        </is>
      </c>
      <c r="Q872" t="inlineStr">
        <is>
          <t>eng</t>
        </is>
      </c>
      <c r="R872" t="inlineStr">
        <is>
          <t>nyu</t>
        </is>
      </c>
      <c r="T872" t="inlineStr">
        <is>
          <t xml:space="preserve">QP </t>
        </is>
      </c>
      <c r="U872" t="n">
        <v>6</v>
      </c>
      <c r="V872" t="n">
        <v>6</v>
      </c>
      <c r="W872" t="inlineStr">
        <is>
          <t>1994-01-04</t>
        </is>
      </c>
      <c r="X872" t="inlineStr">
        <is>
          <t>1994-01-04</t>
        </is>
      </c>
      <c r="Y872" t="inlineStr">
        <is>
          <t>1992-01-06</t>
        </is>
      </c>
      <c r="Z872" t="inlineStr">
        <is>
          <t>1992-01-06</t>
        </is>
      </c>
      <c r="AA872" t="n">
        <v>797</v>
      </c>
      <c r="AB872" t="n">
        <v>669</v>
      </c>
      <c r="AC872" t="n">
        <v>1774</v>
      </c>
      <c r="AD872" t="n">
        <v>7</v>
      </c>
      <c r="AE872" t="n">
        <v>18</v>
      </c>
      <c r="AF872" t="n">
        <v>19</v>
      </c>
      <c r="AG872" t="n">
        <v>58</v>
      </c>
      <c r="AH872" t="n">
        <v>5</v>
      </c>
      <c r="AI872" t="n">
        <v>23</v>
      </c>
      <c r="AJ872" t="n">
        <v>2</v>
      </c>
      <c r="AK872" t="n">
        <v>10</v>
      </c>
      <c r="AL872" t="n">
        <v>10</v>
      </c>
      <c r="AM872" t="n">
        <v>25</v>
      </c>
      <c r="AN872" t="n">
        <v>4</v>
      </c>
      <c r="AO872" t="n">
        <v>11</v>
      </c>
      <c r="AP872" t="n">
        <v>0</v>
      </c>
      <c r="AQ872" t="n">
        <v>1</v>
      </c>
      <c r="AR872" t="inlineStr">
        <is>
          <t>No</t>
        </is>
      </c>
      <c r="AS872" t="inlineStr">
        <is>
          <t>Yes</t>
        </is>
      </c>
      <c r="AT872">
        <f>HYPERLINK("http://catalog.hathitrust.org/Record/000706689","HathiTrust Record")</f>
        <v/>
      </c>
      <c r="AU872">
        <f>HYPERLINK("https://creighton-primo.hosted.exlibrisgroup.com/primo-explore/search?tab=default_tab&amp;search_scope=EVERYTHING&amp;vid=01CRU&amp;lang=en_US&amp;offset=0&amp;query=any,contains,991004014319702656","Catalog Record")</f>
        <v/>
      </c>
      <c r="AV872">
        <f>HYPERLINK("http://www.worldcat.org/oclc/2101821","WorldCat Record")</f>
        <v/>
      </c>
      <c r="AW872" t="inlineStr">
        <is>
          <t>406399:eng</t>
        </is>
      </c>
      <c r="AX872" t="inlineStr">
        <is>
          <t>2101821</t>
        </is>
      </c>
      <c r="AY872" t="inlineStr">
        <is>
          <t>991004014319702656</t>
        </is>
      </c>
      <c r="AZ872" t="inlineStr">
        <is>
          <t>991004014319702656</t>
        </is>
      </c>
      <c r="BA872" t="inlineStr">
        <is>
          <t>2272019030002656</t>
        </is>
      </c>
      <c r="BB872" t="inlineStr">
        <is>
          <t>BOOK</t>
        </is>
      </c>
      <c r="BD872" t="inlineStr">
        <is>
          <t>9780070562080</t>
        </is>
      </c>
      <c r="BE872" t="inlineStr">
        <is>
          <t>32285000883271</t>
        </is>
      </c>
      <c r="BF872" t="inlineStr">
        <is>
          <t>893435762</t>
        </is>
      </c>
    </row>
    <row r="873">
      <c r="B873" t="inlineStr">
        <is>
          <t>CURAL</t>
        </is>
      </c>
      <c r="C873" t="inlineStr">
        <is>
          <t>SHELVES</t>
        </is>
      </c>
      <c r="D873" t="inlineStr">
        <is>
          <t>QP82.2.S8 S46</t>
        </is>
      </c>
      <c r="E873" t="inlineStr">
        <is>
          <t>0                      QP 0082200S  8                  S  46</t>
        </is>
      </c>
      <c r="F873" t="inlineStr">
        <is>
          <t>Selye's guide to stress research / edited by Hans Selye.</t>
        </is>
      </c>
      <c r="G873" t="inlineStr">
        <is>
          <t>V. 3</t>
        </is>
      </c>
      <c r="H873" t="inlineStr">
        <is>
          <t>Yes</t>
        </is>
      </c>
      <c r="I873" t="inlineStr">
        <is>
          <t>1</t>
        </is>
      </c>
      <c r="J873" t="inlineStr">
        <is>
          <t>No</t>
        </is>
      </c>
      <c r="K873" t="inlineStr">
        <is>
          <t>No</t>
        </is>
      </c>
      <c r="L873" t="inlineStr">
        <is>
          <t>0</t>
        </is>
      </c>
      <c r="N873" t="inlineStr">
        <is>
          <t>New York : Van Nostrand Reinhold, 1979.</t>
        </is>
      </c>
      <c r="O873" t="inlineStr">
        <is>
          <t>1979</t>
        </is>
      </c>
      <c r="Q873" t="inlineStr">
        <is>
          <t>eng</t>
        </is>
      </c>
      <c r="R873" t="inlineStr">
        <is>
          <t>nyu</t>
        </is>
      </c>
      <c r="T873" t="inlineStr">
        <is>
          <t xml:space="preserve">QP </t>
        </is>
      </c>
      <c r="U873" t="n">
        <v>7</v>
      </c>
      <c r="V873" t="n">
        <v>19</v>
      </c>
      <c r="W873" t="inlineStr">
        <is>
          <t>1997-08-10</t>
        </is>
      </c>
      <c r="X873" t="inlineStr">
        <is>
          <t>1997-08-10</t>
        </is>
      </c>
      <c r="Y873" t="inlineStr">
        <is>
          <t>1993-02-24</t>
        </is>
      </c>
      <c r="Z873" t="inlineStr">
        <is>
          <t>1993-02-24</t>
        </is>
      </c>
      <c r="AA873" t="n">
        <v>540</v>
      </c>
      <c r="AB873" t="n">
        <v>452</v>
      </c>
      <c r="AC873" t="n">
        <v>475</v>
      </c>
      <c r="AD873" t="n">
        <v>5</v>
      </c>
      <c r="AE873" t="n">
        <v>5</v>
      </c>
      <c r="AF873" t="n">
        <v>28</v>
      </c>
      <c r="AG873" t="n">
        <v>28</v>
      </c>
      <c r="AH873" t="n">
        <v>11</v>
      </c>
      <c r="AI873" t="n">
        <v>11</v>
      </c>
      <c r="AJ873" t="n">
        <v>7</v>
      </c>
      <c r="AK873" t="n">
        <v>7</v>
      </c>
      <c r="AL873" t="n">
        <v>12</v>
      </c>
      <c r="AM873" t="n">
        <v>12</v>
      </c>
      <c r="AN873" t="n">
        <v>4</v>
      </c>
      <c r="AO873" t="n">
        <v>4</v>
      </c>
      <c r="AP873" t="n">
        <v>0</v>
      </c>
      <c r="AQ873" t="n">
        <v>0</v>
      </c>
      <c r="AR873" t="inlineStr">
        <is>
          <t>No</t>
        </is>
      </c>
      <c r="AS873" t="inlineStr">
        <is>
          <t>Yes</t>
        </is>
      </c>
      <c r="AT873">
        <f>HYPERLINK("http://catalog.hathitrust.org/Record/000708336","HathiTrust Record")</f>
        <v/>
      </c>
      <c r="AU873">
        <f>HYPERLINK("https://creighton-primo.hosted.exlibrisgroup.com/primo-explore/search?tab=default_tab&amp;search_scope=EVERYTHING&amp;vid=01CRU&amp;lang=en_US&amp;offset=0&amp;query=any,contains,991005253029702656","Catalog Record")</f>
        <v/>
      </c>
      <c r="AV873">
        <f>HYPERLINK("http://www.worldcat.org/oclc/5264478","WorldCat Record")</f>
        <v/>
      </c>
      <c r="AW873" t="inlineStr">
        <is>
          <t>351306000:eng</t>
        </is>
      </c>
      <c r="AX873" t="inlineStr">
        <is>
          <t>5264478</t>
        </is>
      </c>
      <c r="AY873" t="inlineStr">
        <is>
          <t>991005253029702656</t>
        </is>
      </c>
      <c r="AZ873" t="inlineStr">
        <is>
          <t>991005253029702656</t>
        </is>
      </c>
      <c r="BA873" t="inlineStr">
        <is>
          <t>2259062960002656</t>
        </is>
      </c>
      <c r="BB873" t="inlineStr">
        <is>
          <t>BOOK</t>
        </is>
      </c>
      <c r="BD873" t="inlineStr">
        <is>
          <t>9780442274832</t>
        </is>
      </c>
      <c r="BE873" t="inlineStr">
        <is>
          <t>32285001549434</t>
        </is>
      </c>
      <c r="BF873" t="inlineStr">
        <is>
          <t>893619695</t>
        </is>
      </c>
    </row>
    <row r="874">
      <c r="B874" t="inlineStr">
        <is>
          <t>CURAL</t>
        </is>
      </c>
      <c r="C874" t="inlineStr">
        <is>
          <t>SHELVES</t>
        </is>
      </c>
      <c r="D874" t="inlineStr">
        <is>
          <t>QP82.2.S8 S46</t>
        </is>
      </c>
      <c r="E874" t="inlineStr">
        <is>
          <t>0                      QP 0082200S  8                  S  46</t>
        </is>
      </c>
      <c r="F874" t="inlineStr">
        <is>
          <t>Selye's guide to stress research / edited by Hans Selye.</t>
        </is>
      </c>
      <c r="G874" t="inlineStr">
        <is>
          <t>V. 1</t>
        </is>
      </c>
      <c r="H874" t="inlineStr">
        <is>
          <t>Yes</t>
        </is>
      </c>
      <c r="I874" t="inlineStr">
        <is>
          <t>1</t>
        </is>
      </c>
      <c r="J874" t="inlineStr">
        <is>
          <t>No</t>
        </is>
      </c>
      <c r="K874" t="inlineStr">
        <is>
          <t>No</t>
        </is>
      </c>
      <c r="L874" t="inlineStr">
        <is>
          <t>0</t>
        </is>
      </c>
      <c r="N874" t="inlineStr">
        <is>
          <t>New York : Van Nostrand Reinhold, 1979.</t>
        </is>
      </c>
      <c r="O874" t="inlineStr">
        <is>
          <t>1979</t>
        </is>
      </c>
      <c r="Q874" t="inlineStr">
        <is>
          <t>eng</t>
        </is>
      </c>
      <c r="R874" t="inlineStr">
        <is>
          <t>nyu</t>
        </is>
      </c>
      <c r="T874" t="inlineStr">
        <is>
          <t xml:space="preserve">QP </t>
        </is>
      </c>
      <c r="U874" t="n">
        <v>9</v>
      </c>
      <c r="V874" t="n">
        <v>19</v>
      </c>
      <c r="W874" t="inlineStr">
        <is>
          <t>1997-04-09</t>
        </is>
      </c>
      <c r="X874" t="inlineStr">
        <is>
          <t>1997-08-10</t>
        </is>
      </c>
      <c r="Y874" t="inlineStr">
        <is>
          <t>1993-02-24</t>
        </is>
      </c>
      <c r="Z874" t="inlineStr">
        <is>
          <t>1993-02-24</t>
        </is>
      </c>
      <c r="AA874" t="n">
        <v>540</v>
      </c>
      <c r="AB874" t="n">
        <v>452</v>
      </c>
      <c r="AC874" t="n">
        <v>475</v>
      </c>
      <c r="AD874" t="n">
        <v>5</v>
      </c>
      <c r="AE874" t="n">
        <v>5</v>
      </c>
      <c r="AF874" t="n">
        <v>28</v>
      </c>
      <c r="AG874" t="n">
        <v>28</v>
      </c>
      <c r="AH874" t="n">
        <v>11</v>
      </c>
      <c r="AI874" t="n">
        <v>11</v>
      </c>
      <c r="AJ874" t="n">
        <v>7</v>
      </c>
      <c r="AK874" t="n">
        <v>7</v>
      </c>
      <c r="AL874" t="n">
        <v>12</v>
      </c>
      <c r="AM874" t="n">
        <v>12</v>
      </c>
      <c r="AN874" t="n">
        <v>4</v>
      </c>
      <c r="AO874" t="n">
        <v>4</v>
      </c>
      <c r="AP874" t="n">
        <v>0</v>
      </c>
      <c r="AQ874" t="n">
        <v>0</v>
      </c>
      <c r="AR874" t="inlineStr">
        <is>
          <t>No</t>
        </is>
      </c>
      <c r="AS874" t="inlineStr">
        <is>
          <t>Yes</t>
        </is>
      </c>
      <c r="AT874">
        <f>HYPERLINK("http://catalog.hathitrust.org/Record/000708336","HathiTrust Record")</f>
        <v/>
      </c>
      <c r="AU874">
        <f>HYPERLINK("https://creighton-primo.hosted.exlibrisgroup.com/primo-explore/search?tab=default_tab&amp;search_scope=EVERYTHING&amp;vid=01CRU&amp;lang=en_US&amp;offset=0&amp;query=any,contains,991005253029702656","Catalog Record")</f>
        <v/>
      </c>
      <c r="AV874">
        <f>HYPERLINK("http://www.worldcat.org/oclc/5264478","WorldCat Record")</f>
        <v/>
      </c>
      <c r="AW874" t="inlineStr">
        <is>
          <t>351306000:eng</t>
        </is>
      </c>
      <c r="AX874" t="inlineStr">
        <is>
          <t>5264478</t>
        </is>
      </c>
      <c r="AY874" t="inlineStr">
        <is>
          <t>991005253029702656</t>
        </is>
      </c>
      <c r="AZ874" t="inlineStr">
        <is>
          <t>991005253029702656</t>
        </is>
      </c>
      <c r="BA874" t="inlineStr">
        <is>
          <t>2259062960002656</t>
        </is>
      </c>
      <c r="BB874" t="inlineStr">
        <is>
          <t>BOOK</t>
        </is>
      </c>
      <c r="BD874" t="inlineStr">
        <is>
          <t>9780442274832</t>
        </is>
      </c>
      <c r="BE874" t="inlineStr">
        <is>
          <t>32285001549418</t>
        </is>
      </c>
      <c r="BF874" t="inlineStr">
        <is>
          <t>893594724</t>
        </is>
      </c>
    </row>
    <row r="875">
      <c r="B875" t="inlineStr">
        <is>
          <t>CURAL</t>
        </is>
      </c>
      <c r="C875" t="inlineStr">
        <is>
          <t>SHELVES</t>
        </is>
      </c>
      <c r="D875" t="inlineStr">
        <is>
          <t>QP82.2.S8 S46</t>
        </is>
      </c>
      <c r="E875" t="inlineStr">
        <is>
          <t>0                      QP 0082200S  8                  S  46</t>
        </is>
      </c>
      <c r="F875" t="inlineStr">
        <is>
          <t>Selye's guide to stress research / edited by Hans Selye.</t>
        </is>
      </c>
      <c r="G875" t="inlineStr">
        <is>
          <t>V. 2</t>
        </is>
      </c>
      <c r="H875" t="inlineStr">
        <is>
          <t>Yes</t>
        </is>
      </c>
      <c r="I875" t="inlineStr">
        <is>
          <t>1</t>
        </is>
      </c>
      <c r="J875" t="inlineStr">
        <is>
          <t>No</t>
        </is>
      </c>
      <c r="K875" t="inlineStr">
        <is>
          <t>No</t>
        </is>
      </c>
      <c r="L875" t="inlineStr">
        <is>
          <t>0</t>
        </is>
      </c>
      <c r="N875" t="inlineStr">
        <is>
          <t>New York : Van Nostrand Reinhold, 1979.</t>
        </is>
      </c>
      <c r="O875" t="inlineStr">
        <is>
          <t>1979</t>
        </is>
      </c>
      <c r="Q875" t="inlineStr">
        <is>
          <t>eng</t>
        </is>
      </c>
      <c r="R875" t="inlineStr">
        <is>
          <t>nyu</t>
        </is>
      </c>
      <c r="T875" t="inlineStr">
        <is>
          <t xml:space="preserve">QP </t>
        </is>
      </c>
      <c r="U875" t="n">
        <v>3</v>
      </c>
      <c r="V875" t="n">
        <v>19</v>
      </c>
      <c r="X875" t="inlineStr">
        <is>
          <t>1997-08-10</t>
        </is>
      </c>
      <c r="Y875" t="inlineStr">
        <is>
          <t>1993-02-24</t>
        </is>
      </c>
      <c r="Z875" t="inlineStr">
        <is>
          <t>1993-02-24</t>
        </is>
      </c>
      <c r="AA875" t="n">
        <v>540</v>
      </c>
      <c r="AB875" t="n">
        <v>452</v>
      </c>
      <c r="AC875" t="n">
        <v>475</v>
      </c>
      <c r="AD875" t="n">
        <v>5</v>
      </c>
      <c r="AE875" t="n">
        <v>5</v>
      </c>
      <c r="AF875" t="n">
        <v>28</v>
      </c>
      <c r="AG875" t="n">
        <v>28</v>
      </c>
      <c r="AH875" t="n">
        <v>11</v>
      </c>
      <c r="AI875" t="n">
        <v>11</v>
      </c>
      <c r="AJ875" t="n">
        <v>7</v>
      </c>
      <c r="AK875" t="n">
        <v>7</v>
      </c>
      <c r="AL875" t="n">
        <v>12</v>
      </c>
      <c r="AM875" t="n">
        <v>12</v>
      </c>
      <c r="AN875" t="n">
        <v>4</v>
      </c>
      <c r="AO875" t="n">
        <v>4</v>
      </c>
      <c r="AP875" t="n">
        <v>0</v>
      </c>
      <c r="AQ875" t="n">
        <v>0</v>
      </c>
      <c r="AR875" t="inlineStr">
        <is>
          <t>No</t>
        </is>
      </c>
      <c r="AS875" t="inlineStr">
        <is>
          <t>Yes</t>
        </is>
      </c>
      <c r="AT875">
        <f>HYPERLINK("http://catalog.hathitrust.org/Record/000708336","HathiTrust Record")</f>
        <v/>
      </c>
      <c r="AU875">
        <f>HYPERLINK("https://creighton-primo.hosted.exlibrisgroup.com/primo-explore/search?tab=default_tab&amp;search_scope=EVERYTHING&amp;vid=01CRU&amp;lang=en_US&amp;offset=0&amp;query=any,contains,991005253029702656","Catalog Record")</f>
        <v/>
      </c>
      <c r="AV875">
        <f>HYPERLINK("http://www.worldcat.org/oclc/5264478","WorldCat Record")</f>
        <v/>
      </c>
      <c r="AW875" t="inlineStr">
        <is>
          <t>351306000:eng</t>
        </is>
      </c>
      <c r="AX875" t="inlineStr">
        <is>
          <t>5264478</t>
        </is>
      </c>
      <c r="AY875" t="inlineStr">
        <is>
          <t>991005253029702656</t>
        </is>
      </c>
      <c r="AZ875" t="inlineStr">
        <is>
          <t>991005253029702656</t>
        </is>
      </c>
      <c r="BA875" t="inlineStr">
        <is>
          <t>2259062960002656</t>
        </is>
      </c>
      <c r="BB875" t="inlineStr">
        <is>
          <t>BOOK</t>
        </is>
      </c>
      <c r="BD875" t="inlineStr">
        <is>
          <t>9780442274832</t>
        </is>
      </c>
      <c r="BE875" t="inlineStr">
        <is>
          <t>32285001549426</t>
        </is>
      </c>
      <c r="BF875" t="inlineStr">
        <is>
          <t>893613395</t>
        </is>
      </c>
    </row>
    <row r="876">
      <c r="B876" t="inlineStr">
        <is>
          <t>CURAL</t>
        </is>
      </c>
      <c r="C876" t="inlineStr">
        <is>
          <t>SHELVES</t>
        </is>
      </c>
      <c r="D876" t="inlineStr">
        <is>
          <t>QP82.2.T4 T45</t>
        </is>
      </c>
      <c r="E876" t="inlineStr">
        <is>
          <t>0                      QP 0082200T  4                  T  45</t>
        </is>
      </c>
      <c r="F876" t="inlineStr">
        <is>
          <t>Temperature and life / [edited] by H. Precht [and others] with contributions by K. Brück [and others.</t>
        </is>
      </c>
      <c r="H876" t="inlineStr">
        <is>
          <t>No</t>
        </is>
      </c>
      <c r="I876" t="inlineStr">
        <is>
          <t>1</t>
        </is>
      </c>
      <c r="J876" t="inlineStr">
        <is>
          <t>No</t>
        </is>
      </c>
      <c r="K876" t="inlineStr">
        <is>
          <t>No</t>
        </is>
      </c>
      <c r="L876" t="inlineStr">
        <is>
          <t>0</t>
        </is>
      </c>
      <c r="N876" t="inlineStr">
        <is>
          <t>Berlin ; New York : Springer-Verlag, 1973.</t>
        </is>
      </c>
      <c r="O876" t="inlineStr">
        <is>
          <t>1973</t>
        </is>
      </c>
      <c r="P876" t="inlineStr">
        <is>
          <t>Rev. ed.]</t>
        </is>
      </c>
      <c r="Q876" t="inlineStr">
        <is>
          <t>eng</t>
        </is>
      </c>
      <c r="R876" t="inlineStr">
        <is>
          <t xml:space="preserve">gw </t>
        </is>
      </c>
      <c r="T876" t="inlineStr">
        <is>
          <t xml:space="preserve">QP </t>
        </is>
      </c>
      <c r="U876" t="n">
        <v>2</v>
      </c>
      <c r="V876" t="n">
        <v>2</v>
      </c>
      <c r="W876" t="inlineStr">
        <is>
          <t>1994-03-18</t>
        </is>
      </c>
      <c r="X876" t="inlineStr">
        <is>
          <t>1994-03-18</t>
        </is>
      </c>
      <c r="Y876" t="inlineStr">
        <is>
          <t>1992-08-13</t>
        </is>
      </c>
      <c r="Z876" t="inlineStr">
        <is>
          <t>1992-08-13</t>
        </is>
      </c>
      <c r="AA876" t="n">
        <v>405</v>
      </c>
      <c r="AB876" t="n">
        <v>300</v>
      </c>
      <c r="AC876" t="n">
        <v>326</v>
      </c>
      <c r="AD876" t="n">
        <v>3</v>
      </c>
      <c r="AE876" t="n">
        <v>3</v>
      </c>
      <c r="AF876" t="n">
        <v>12</v>
      </c>
      <c r="AG876" t="n">
        <v>12</v>
      </c>
      <c r="AH876" t="n">
        <v>2</v>
      </c>
      <c r="AI876" t="n">
        <v>2</v>
      </c>
      <c r="AJ876" t="n">
        <v>3</v>
      </c>
      <c r="AK876" t="n">
        <v>3</v>
      </c>
      <c r="AL876" t="n">
        <v>6</v>
      </c>
      <c r="AM876" t="n">
        <v>6</v>
      </c>
      <c r="AN876" t="n">
        <v>2</v>
      </c>
      <c r="AO876" t="n">
        <v>2</v>
      </c>
      <c r="AP876" t="n">
        <v>0</v>
      </c>
      <c r="AQ876" t="n">
        <v>0</v>
      </c>
      <c r="AR876" t="inlineStr">
        <is>
          <t>No</t>
        </is>
      </c>
      <c r="AS876" t="inlineStr">
        <is>
          <t>Yes</t>
        </is>
      </c>
      <c r="AT876">
        <f>HYPERLINK("http://catalog.hathitrust.org/Record/000030084","HathiTrust Record")</f>
        <v/>
      </c>
      <c r="AU876">
        <f>HYPERLINK("https://creighton-primo.hosted.exlibrisgroup.com/primo-explore/search?tab=default_tab&amp;search_scope=EVERYTHING&amp;vid=01CRU&amp;lang=en_US&amp;offset=0&amp;query=any,contains,991003323509702656","Catalog Record")</f>
        <v/>
      </c>
      <c r="AV876">
        <f>HYPERLINK("http://www.worldcat.org/oclc/852284","WorldCat Record")</f>
        <v/>
      </c>
      <c r="AW876" t="inlineStr">
        <is>
          <t>480736219:eng</t>
        </is>
      </c>
      <c r="AX876" t="inlineStr">
        <is>
          <t>852284</t>
        </is>
      </c>
      <c r="AY876" t="inlineStr">
        <is>
          <t>991003323509702656</t>
        </is>
      </c>
      <c r="AZ876" t="inlineStr">
        <is>
          <t>991003323509702656</t>
        </is>
      </c>
      <c r="BA876" t="inlineStr">
        <is>
          <t>2266405470002656</t>
        </is>
      </c>
      <c r="BB876" t="inlineStr">
        <is>
          <t>BOOK</t>
        </is>
      </c>
      <c r="BD876" t="inlineStr">
        <is>
          <t>9780387064413</t>
        </is>
      </c>
      <c r="BE876" t="inlineStr">
        <is>
          <t>32285001243749</t>
        </is>
      </c>
      <c r="BF876" t="inlineStr">
        <is>
          <t>893505473</t>
        </is>
      </c>
    </row>
    <row r="877">
      <c r="B877" t="inlineStr">
        <is>
          <t>CURAL</t>
        </is>
      </c>
      <c r="C877" t="inlineStr">
        <is>
          <t>SHELVES</t>
        </is>
      </c>
      <c r="D877" t="inlineStr">
        <is>
          <t>QP82.2.U4 U8 1993</t>
        </is>
      </c>
      <c r="E877" t="inlineStr">
        <is>
          <t>0                      QP 0082200U  4                  U  8           1993</t>
        </is>
      </c>
      <c r="F877" t="inlineStr">
        <is>
          <t>UV-B radiation and ozone depletion : effects on humans, animals, plants, microorganisms, and materials / edited by Manfred Tevini.</t>
        </is>
      </c>
      <c r="H877" t="inlineStr">
        <is>
          <t>No</t>
        </is>
      </c>
      <c r="I877" t="inlineStr">
        <is>
          <t>1</t>
        </is>
      </c>
      <c r="J877" t="inlineStr">
        <is>
          <t>No</t>
        </is>
      </c>
      <c r="K877" t="inlineStr">
        <is>
          <t>No</t>
        </is>
      </c>
      <c r="L877" t="inlineStr">
        <is>
          <t>0</t>
        </is>
      </c>
      <c r="N877" t="inlineStr">
        <is>
          <t>Boca Raton : Lewis Publishers, c1993.</t>
        </is>
      </c>
      <c r="O877" t="inlineStr">
        <is>
          <t>1993</t>
        </is>
      </c>
      <c r="Q877" t="inlineStr">
        <is>
          <t>eng</t>
        </is>
      </c>
      <c r="R877" t="inlineStr">
        <is>
          <t>flu</t>
        </is>
      </c>
      <c r="T877" t="inlineStr">
        <is>
          <t xml:space="preserve">QP </t>
        </is>
      </c>
      <c r="U877" t="n">
        <v>20</v>
      </c>
      <c r="V877" t="n">
        <v>20</v>
      </c>
      <c r="W877" t="inlineStr">
        <is>
          <t>2006-02-07</t>
        </is>
      </c>
      <c r="X877" t="inlineStr">
        <is>
          <t>2006-02-07</t>
        </is>
      </c>
      <c r="Y877" t="inlineStr">
        <is>
          <t>1994-04-13</t>
        </is>
      </c>
      <c r="Z877" t="inlineStr">
        <is>
          <t>1994-04-13</t>
        </is>
      </c>
      <c r="AA877" t="n">
        <v>198</v>
      </c>
      <c r="AB877" t="n">
        <v>129</v>
      </c>
      <c r="AC877" t="n">
        <v>130</v>
      </c>
      <c r="AD877" t="n">
        <v>3</v>
      </c>
      <c r="AE877" t="n">
        <v>3</v>
      </c>
      <c r="AF877" t="n">
        <v>5</v>
      </c>
      <c r="AG877" t="n">
        <v>5</v>
      </c>
      <c r="AH877" t="n">
        <v>0</v>
      </c>
      <c r="AI877" t="n">
        <v>0</v>
      </c>
      <c r="AJ877" t="n">
        <v>2</v>
      </c>
      <c r="AK877" t="n">
        <v>2</v>
      </c>
      <c r="AL877" t="n">
        <v>2</v>
      </c>
      <c r="AM877" t="n">
        <v>2</v>
      </c>
      <c r="AN877" t="n">
        <v>2</v>
      </c>
      <c r="AO877" t="n">
        <v>2</v>
      </c>
      <c r="AP877" t="n">
        <v>0</v>
      </c>
      <c r="AQ877" t="n">
        <v>0</v>
      </c>
      <c r="AR877" t="inlineStr">
        <is>
          <t>No</t>
        </is>
      </c>
      <c r="AS877" t="inlineStr">
        <is>
          <t>Yes</t>
        </is>
      </c>
      <c r="AT877">
        <f>HYPERLINK("http://catalog.hathitrust.org/Record/002710513","HathiTrust Record")</f>
        <v/>
      </c>
      <c r="AU877">
        <f>HYPERLINK("https://creighton-primo.hosted.exlibrisgroup.com/primo-explore/search?tab=default_tab&amp;search_scope=EVERYTHING&amp;vid=01CRU&amp;lang=en_US&amp;offset=0&amp;query=any,contains,991002106929702656","Catalog Record")</f>
        <v/>
      </c>
      <c r="AV877">
        <f>HYPERLINK("http://www.worldcat.org/oclc/27014125","WorldCat Record")</f>
        <v/>
      </c>
      <c r="AW877" t="inlineStr">
        <is>
          <t>908376776:eng</t>
        </is>
      </c>
      <c r="AX877" t="inlineStr">
        <is>
          <t>27014125</t>
        </is>
      </c>
      <c r="AY877" t="inlineStr">
        <is>
          <t>991002106929702656</t>
        </is>
      </c>
      <c r="AZ877" t="inlineStr">
        <is>
          <t>991002106929702656</t>
        </is>
      </c>
      <c r="BA877" t="inlineStr">
        <is>
          <t>2257983470002656</t>
        </is>
      </c>
      <c r="BB877" t="inlineStr">
        <is>
          <t>BOOK</t>
        </is>
      </c>
      <c r="BD877" t="inlineStr">
        <is>
          <t>9780873719117</t>
        </is>
      </c>
      <c r="BE877" t="inlineStr">
        <is>
          <t>32285001859890</t>
        </is>
      </c>
      <c r="BF877" t="inlineStr">
        <is>
          <t>893866814</t>
        </is>
      </c>
    </row>
    <row r="878">
      <c r="B878" t="inlineStr">
        <is>
          <t>CURAL</t>
        </is>
      </c>
      <c r="C878" t="inlineStr">
        <is>
          <t>SHELVES</t>
        </is>
      </c>
      <c r="D878" t="inlineStr">
        <is>
          <t>QP82.L5 H86 1990</t>
        </is>
      </c>
      <c r="E878" t="inlineStr">
        <is>
          <t>0                      QP 0082000L  5                  H  86          1990</t>
        </is>
      </c>
      <c r="F878" t="inlineStr">
        <is>
          <t>The light book : how natural and artificial light affect our health, mood, and behavior / Jane Wegscheider Hyman.</t>
        </is>
      </c>
      <c r="H878" t="inlineStr">
        <is>
          <t>No</t>
        </is>
      </c>
      <c r="I878" t="inlineStr">
        <is>
          <t>1</t>
        </is>
      </c>
      <c r="J878" t="inlineStr">
        <is>
          <t>No</t>
        </is>
      </c>
      <c r="K878" t="inlineStr">
        <is>
          <t>No</t>
        </is>
      </c>
      <c r="L878" t="inlineStr">
        <is>
          <t>0</t>
        </is>
      </c>
      <c r="M878" t="inlineStr">
        <is>
          <t>Hyman, Jane Wegscheider.</t>
        </is>
      </c>
      <c r="N878" t="inlineStr">
        <is>
          <t>Los Angeles : J.P. Tarcher, Inc., 1990.</t>
        </is>
      </c>
      <c r="O878" t="inlineStr">
        <is>
          <t>1990</t>
        </is>
      </c>
      <c r="P878" t="inlineStr">
        <is>
          <t>1st ed.</t>
        </is>
      </c>
      <c r="Q878" t="inlineStr">
        <is>
          <t>eng</t>
        </is>
      </c>
      <c r="R878" t="inlineStr">
        <is>
          <t>cau</t>
        </is>
      </c>
      <c r="T878" t="inlineStr">
        <is>
          <t xml:space="preserve">QP </t>
        </is>
      </c>
      <c r="U878" t="n">
        <v>43</v>
      </c>
      <c r="V878" t="n">
        <v>43</v>
      </c>
      <c r="W878" t="inlineStr">
        <is>
          <t>2006-11-28</t>
        </is>
      </c>
      <c r="X878" t="inlineStr">
        <is>
          <t>2006-11-28</t>
        </is>
      </c>
      <c r="Y878" t="inlineStr">
        <is>
          <t>1990-12-04</t>
        </is>
      </c>
      <c r="Z878" t="inlineStr">
        <is>
          <t>1990-12-04</t>
        </is>
      </c>
      <c r="AA878" t="n">
        <v>833</v>
      </c>
      <c r="AB878" t="n">
        <v>789</v>
      </c>
      <c r="AC878" t="n">
        <v>840</v>
      </c>
      <c r="AD878" t="n">
        <v>5</v>
      </c>
      <c r="AE878" t="n">
        <v>5</v>
      </c>
      <c r="AF878" t="n">
        <v>16</v>
      </c>
      <c r="AG878" t="n">
        <v>16</v>
      </c>
      <c r="AH878" t="n">
        <v>5</v>
      </c>
      <c r="AI878" t="n">
        <v>5</v>
      </c>
      <c r="AJ878" t="n">
        <v>4</v>
      </c>
      <c r="AK878" t="n">
        <v>4</v>
      </c>
      <c r="AL878" t="n">
        <v>6</v>
      </c>
      <c r="AM878" t="n">
        <v>6</v>
      </c>
      <c r="AN878" t="n">
        <v>4</v>
      </c>
      <c r="AO878" t="n">
        <v>4</v>
      </c>
      <c r="AP878" t="n">
        <v>0</v>
      </c>
      <c r="AQ878" t="n">
        <v>0</v>
      </c>
      <c r="AR878" t="inlineStr">
        <is>
          <t>No</t>
        </is>
      </c>
      <c r="AS878" t="inlineStr">
        <is>
          <t>Yes</t>
        </is>
      </c>
      <c r="AT878">
        <f>HYPERLINK("http://catalog.hathitrust.org/Record/004493470","HathiTrust Record")</f>
        <v/>
      </c>
      <c r="AU878">
        <f>HYPERLINK("https://creighton-primo.hosted.exlibrisgroup.com/primo-explore/search?tab=default_tab&amp;search_scope=EVERYTHING&amp;vid=01CRU&amp;lang=en_US&amp;offset=0&amp;query=any,contains,991001616599702656","Catalog Record")</f>
        <v/>
      </c>
      <c r="AV878">
        <f>HYPERLINK("http://www.worldcat.org/oclc/20796749","WorldCat Record")</f>
        <v/>
      </c>
      <c r="AW878" t="inlineStr">
        <is>
          <t>1020763305:eng</t>
        </is>
      </c>
      <c r="AX878" t="inlineStr">
        <is>
          <t>20796749</t>
        </is>
      </c>
      <c r="AY878" t="inlineStr">
        <is>
          <t>991001616599702656</t>
        </is>
      </c>
      <c r="AZ878" t="inlineStr">
        <is>
          <t>991001616599702656</t>
        </is>
      </c>
      <c r="BA878" t="inlineStr">
        <is>
          <t>2259993280002656</t>
        </is>
      </c>
      <c r="BB878" t="inlineStr">
        <is>
          <t>BOOK</t>
        </is>
      </c>
      <c r="BD878" t="inlineStr">
        <is>
          <t>9780874775594</t>
        </is>
      </c>
      <c r="BE878" t="inlineStr">
        <is>
          <t>32285000358084</t>
        </is>
      </c>
      <c r="BF878" t="inlineStr">
        <is>
          <t>893340546</t>
        </is>
      </c>
    </row>
    <row r="879">
      <c r="B879" t="inlineStr">
        <is>
          <t>CURAL</t>
        </is>
      </c>
      <c r="C879" t="inlineStr">
        <is>
          <t>SHELVES</t>
        </is>
      </c>
      <c r="D879" t="inlineStr">
        <is>
          <t>QP84 .C53</t>
        </is>
      </c>
      <c r="E879" t="inlineStr">
        <is>
          <t>0                      QP 0084000C  53</t>
        </is>
      </c>
      <c r="F879" t="inlineStr">
        <is>
          <t>Rhythmic activity in animal physiology and behaviour / J.L. Cloudsley-Thompson.</t>
        </is>
      </c>
      <c r="H879" t="inlineStr">
        <is>
          <t>No</t>
        </is>
      </c>
      <c r="I879" t="inlineStr">
        <is>
          <t>1</t>
        </is>
      </c>
      <c r="J879" t="inlineStr">
        <is>
          <t>No</t>
        </is>
      </c>
      <c r="K879" t="inlineStr">
        <is>
          <t>No</t>
        </is>
      </c>
      <c r="L879" t="inlineStr">
        <is>
          <t>0</t>
        </is>
      </c>
      <c r="M879" t="inlineStr">
        <is>
          <t>Cloudsley-Thompson, J. L.</t>
        </is>
      </c>
      <c r="N879" t="inlineStr">
        <is>
          <t>New York : Academic Press, 1961.</t>
        </is>
      </c>
      <c r="O879" t="inlineStr">
        <is>
          <t>1961</t>
        </is>
      </c>
      <c r="Q879" t="inlineStr">
        <is>
          <t>eng</t>
        </is>
      </c>
      <c r="R879" t="inlineStr">
        <is>
          <t>nyu</t>
        </is>
      </c>
      <c r="S879" t="inlineStr">
        <is>
          <t>Theoretical and experimental biology ; v. 1</t>
        </is>
      </c>
      <c r="T879" t="inlineStr">
        <is>
          <t xml:space="preserve">QP </t>
        </is>
      </c>
      <c r="U879" t="n">
        <v>1</v>
      </c>
      <c r="V879" t="n">
        <v>1</v>
      </c>
      <c r="W879" t="inlineStr">
        <is>
          <t>2003-12-02</t>
        </is>
      </c>
      <c r="X879" t="inlineStr">
        <is>
          <t>2003-12-02</t>
        </is>
      </c>
      <c r="Y879" t="inlineStr">
        <is>
          <t>2000-02-02</t>
        </is>
      </c>
      <c r="Z879" t="inlineStr">
        <is>
          <t>2000-02-02</t>
        </is>
      </c>
      <c r="AA879" t="n">
        <v>678</v>
      </c>
      <c r="AB879" t="n">
        <v>541</v>
      </c>
      <c r="AC879" t="n">
        <v>557</v>
      </c>
      <c r="AD879" t="n">
        <v>4</v>
      </c>
      <c r="AE879" t="n">
        <v>4</v>
      </c>
      <c r="AF879" t="n">
        <v>23</v>
      </c>
      <c r="AG879" t="n">
        <v>24</v>
      </c>
      <c r="AH879" t="n">
        <v>7</v>
      </c>
      <c r="AI879" t="n">
        <v>8</v>
      </c>
      <c r="AJ879" t="n">
        <v>5</v>
      </c>
      <c r="AK879" t="n">
        <v>5</v>
      </c>
      <c r="AL879" t="n">
        <v>14</v>
      </c>
      <c r="AM879" t="n">
        <v>15</v>
      </c>
      <c r="AN879" t="n">
        <v>3</v>
      </c>
      <c r="AO879" t="n">
        <v>3</v>
      </c>
      <c r="AP879" t="n">
        <v>0</v>
      </c>
      <c r="AQ879" t="n">
        <v>0</v>
      </c>
      <c r="AR879" t="inlineStr">
        <is>
          <t>No</t>
        </is>
      </c>
      <c r="AS879" t="inlineStr">
        <is>
          <t>Yes</t>
        </is>
      </c>
      <c r="AT879">
        <f>HYPERLINK("http://catalog.hathitrust.org/Record/001553459","HathiTrust Record")</f>
        <v/>
      </c>
      <c r="AU879">
        <f>HYPERLINK("https://creighton-primo.hosted.exlibrisgroup.com/primo-explore/search?tab=default_tab&amp;search_scope=EVERYTHING&amp;vid=01CRU&amp;lang=en_US&amp;offset=0&amp;query=any,contains,991002997239702656","Catalog Record")</f>
        <v/>
      </c>
      <c r="AV879">
        <f>HYPERLINK("http://www.worldcat.org/oclc/565753","WorldCat Record")</f>
        <v/>
      </c>
      <c r="AW879" t="inlineStr">
        <is>
          <t>159371724:eng</t>
        </is>
      </c>
      <c r="AX879" t="inlineStr">
        <is>
          <t>565753</t>
        </is>
      </c>
      <c r="AY879" t="inlineStr">
        <is>
          <t>991002997239702656</t>
        </is>
      </c>
      <c r="AZ879" t="inlineStr">
        <is>
          <t>991002997239702656</t>
        </is>
      </c>
      <c r="BA879" t="inlineStr">
        <is>
          <t>2258942440002656</t>
        </is>
      </c>
      <c r="BB879" t="inlineStr">
        <is>
          <t>BOOK</t>
        </is>
      </c>
      <c r="BE879" t="inlineStr">
        <is>
          <t>32285003658316</t>
        </is>
      </c>
      <c r="BF879" t="inlineStr">
        <is>
          <t>893867972</t>
        </is>
      </c>
    </row>
    <row r="880">
      <c r="B880" t="inlineStr">
        <is>
          <t>CURAL</t>
        </is>
      </c>
      <c r="C880" t="inlineStr">
        <is>
          <t>SHELVES</t>
        </is>
      </c>
      <c r="D880" t="inlineStr">
        <is>
          <t>QP84 .C65</t>
        </is>
      </c>
      <c r="E880" t="inlineStr">
        <is>
          <t>0                      QP 0084000C  65</t>
        </is>
      </c>
      <c r="F880" t="inlineStr">
        <is>
          <t>Human circadian rhythms / [by] R. T. W. L. Conroy and J. N. Mills.</t>
        </is>
      </c>
      <c r="H880" t="inlineStr">
        <is>
          <t>No</t>
        </is>
      </c>
      <c r="I880" t="inlineStr">
        <is>
          <t>1</t>
        </is>
      </c>
      <c r="J880" t="inlineStr">
        <is>
          <t>No</t>
        </is>
      </c>
      <c r="K880" t="inlineStr">
        <is>
          <t>No</t>
        </is>
      </c>
      <c r="L880" t="inlineStr">
        <is>
          <t>0</t>
        </is>
      </c>
      <c r="M880" t="inlineStr">
        <is>
          <t>Conroy, R. T. W. L. (Richard Thomas Walter Lawrence)</t>
        </is>
      </c>
      <c r="N880" t="inlineStr">
        <is>
          <t>London : Churchill, 1970.</t>
        </is>
      </c>
      <c r="O880" t="inlineStr">
        <is>
          <t>1970</t>
        </is>
      </c>
      <c r="Q880" t="inlineStr">
        <is>
          <t>eng</t>
        </is>
      </c>
      <c r="R880" t="inlineStr">
        <is>
          <t>enk</t>
        </is>
      </c>
      <c r="T880" t="inlineStr">
        <is>
          <t xml:space="preserve">QP </t>
        </is>
      </c>
      <c r="U880" t="n">
        <v>4</v>
      </c>
      <c r="V880" t="n">
        <v>4</v>
      </c>
      <c r="W880" t="inlineStr">
        <is>
          <t>2007-02-20</t>
        </is>
      </c>
      <c r="X880" t="inlineStr">
        <is>
          <t>2007-02-20</t>
        </is>
      </c>
      <c r="Y880" t="inlineStr">
        <is>
          <t>1994-05-10</t>
        </is>
      </c>
      <c r="Z880" t="inlineStr">
        <is>
          <t>1994-05-10</t>
        </is>
      </c>
      <c r="AA880" t="n">
        <v>311</v>
      </c>
      <c r="AB880" t="n">
        <v>206</v>
      </c>
      <c r="AC880" t="n">
        <v>208</v>
      </c>
      <c r="AD880" t="n">
        <v>4</v>
      </c>
      <c r="AE880" t="n">
        <v>4</v>
      </c>
      <c r="AF880" t="n">
        <v>8</v>
      </c>
      <c r="AG880" t="n">
        <v>8</v>
      </c>
      <c r="AH880" t="n">
        <v>3</v>
      </c>
      <c r="AI880" t="n">
        <v>3</v>
      </c>
      <c r="AJ880" t="n">
        <v>0</v>
      </c>
      <c r="AK880" t="n">
        <v>0</v>
      </c>
      <c r="AL880" t="n">
        <v>3</v>
      </c>
      <c r="AM880" t="n">
        <v>3</v>
      </c>
      <c r="AN880" t="n">
        <v>3</v>
      </c>
      <c r="AO880" t="n">
        <v>3</v>
      </c>
      <c r="AP880" t="n">
        <v>0</v>
      </c>
      <c r="AQ880" t="n">
        <v>0</v>
      </c>
      <c r="AR880" t="inlineStr">
        <is>
          <t>No</t>
        </is>
      </c>
      <c r="AS880" t="inlineStr">
        <is>
          <t>Yes</t>
        </is>
      </c>
      <c r="AT880">
        <f>HYPERLINK("http://catalog.hathitrust.org/Record/001553460","HathiTrust Record")</f>
        <v/>
      </c>
      <c r="AU880">
        <f>HYPERLINK("https://creighton-primo.hosted.exlibrisgroup.com/primo-explore/search?tab=default_tab&amp;search_scope=EVERYTHING&amp;vid=01CRU&amp;lang=en_US&amp;offset=0&amp;query=any,contains,991000795639702656","Catalog Record")</f>
        <v/>
      </c>
      <c r="AV880">
        <f>HYPERLINK("http://www.worldcat.org/oclc/136891","WorldCat Record")</f>
        <v/>
      </c>
      <c r="AW880" t="inlineStr">
        <is>
          <t>1288226:eng</t>
        </is>
      </c>
      <c r="AX880" t="inlineStr">
        <is>
          <t>136891</t>
        </is>
      </c>
      <c r="AY880" t="inlineStr">
        <is>
          <t>991000795639702656</t>
        </is>
      </c>
      <c r="AZ880" t="inlineStr">
        <is>
          <t>991000795639702656</t>
        </is>
      </c>
      <c r="BA880" t="inlineStr">
        <is>
          <t>2264019320002656</t>
        </is>
      </c>
      <c r="BB880" t="inlineStr">
        <is>
          <t>BOOK</t>
        </is>
      </c>
      <c r="BD880" t="inlineStr">
        <is>
          <t>9780700014583</t>
        </is>
      </c>
      <c r="BE880" t="inlineStr">
        <is>
          <t>32285001909489</t>
        </is>
      </c>
      <c r="BF880" t="inlineStr">
        <is>
          <t>893702443</t>
        </is>
      </c>
    </row>
    <row r="881">
      <c r="B881" t="inlineStr">
        <is>
          <t>CURAL</t>
        </is>
      </c>
      <c r="C881" t="inlineStr">
        <is>
          <t>SHELVES</t>
        </is>
      </c>
      <c r="D881" t="inlineStr">
        <is>
          <t>QP84 .H35 2006</t>
        </is>
      </c>
      <c r="E881" t="inlineStr">
        <is>
          <t>0                      QP 0084000H  35          2006</t>
        </is>
      </c>
      <c r="F881" t="inlineStr">
        <is>
          <t>Size matters : how height affects the health, happiness, and success of boys--and the men they become / Stephen S. Hall.</t>
        </is>
      </c>
      <c r="H881" t="inlineStr">
        <is>
          <t>No</t>
        </is>
      </c>
      <c r="I881" t="inlineStr">
        <is>
          <t>1</t>
        </is>
      </c>
      <c r="J881" t="inlineStr">
        <is>
          <t>No</t>
        </is>
      </c>
      <c r="K881" t="inlineStr">
        <is>
          <t>No</t>
        </is>
      </c>
      <c r="L881" t="inlineStr">
        <is>
          <t>0</t>
        </is>
      </c>
      <c r="M881" t="inlineStr">
        <is>
          <t>Hall, Stephen S.</t>
        </is>
      </c>
      <c r="N881" t="inlineStr">
        <is>
          <t>Boston : Houghton Mifflin Co., 2006.</t>
        </is>
      </c>
      <c r="O881" t="inlineStr">
        <is>
          <t>2006</t>
        </is>
      </c>
      <c r="Q881" t="inlineStr">
        <is>
          <t>eng</t>
        </is>
      </c>
      <c r="R881" t="inlineStr">
        <is>
          <t>mau</t>
        </is>
      </c>
      <c r="T881" t="inlineStr">
        <is>
          <t xml:space="preserve">QP </t>
        </is>
      </c>
      <c r="U881" t="n">
        <v>4</v>
      </c>
      <c r="V881" t="n">
        <v>4</v>
      </c>
      <c r="W881" t="inlineStr">
        <is>
          <t>2008-12-22</t>
        </is>
      </c>
      <c r="X881" t="inlineStr">
        <is>
          <t>2008-12-22</t>
        </is>
      </c>
      <c r="Y881" t="inlineStr">
        <is>
          <t>2008-05-14</t>
        </is>
      </c>
      <c r="Z881" t="inlineStr">
        <is>
          <t>2008-05-14</t>
        </is>
      </c>
      <c r="AA881" t="n">
        <v>1041</v>
      </c>
      <c r="AB881" t="n">
        <v>971</v>
      </c>
      <c r="AC881" t="n">
        <v>987</v>
      </c>
      <c r="AD881" t="n">
        <v>5</v>
      </c>
      <c r="AE881" t="n">
        <v>5</v>
      </c>
      <c r="AF881" t="n">
        <v>33</v>
      </c>
      <c r="AG881" t="n">
        <v>33</v>
      </c>
      <c r="AH881" t="n">
        <v>14</v>
      </c>
      <c r="AI881" t="n">
        <v>14</v>
      </c>
      <c r="AJ881" t="n">
        <v>6</v>
      </c>
      <c r="AK881" t="n">
        <v>6</v>
      </c>
      <c r="AL881" t="n">
        <v>16</v>
      </c>
      <c r="AM881" t="n">
        <v>16</v>
      </c>
      <c r="AN881" t="n">
        <v>4</v>
      </c>
      <c r="AO881" t="n">
        <v>4</v>
      </c>
      <c r="AP881" t="n">
        <v>0</v>
      </c>
      <c r="AQ881" t="n">
        <v>0</v>
      </c>
      <c r="AR881" t="inlineStr">
        <is>
          <t>No</t>
        </is>
      </c>
      <c r="AS881" t="inlineStr">
        <is>
          <t>No</t>
        </is>
      </c>
      <c r="AU881">
        <f>HYPERLINK("https://creighton-primo.hosted.exlibrisgroup.com/primo-explore/search?tab=default_tab&amp;search_scope=EVERYTHING&amp;vid=01CRU&amp;lang=en_US&amp;offset=0&amp;query=any,contains,991005212109702656","Catalog Record")</f>
        <v/>
      </c>
      <c r="AV881">
        <f>HYPERLINK("http://www.worldcat.org/oclc/64510711","WorldCat Record")</f>
        <v/>
      </c>
      <c r="AW881" t="inlineStr">
        <is>
          <t>48462780:eng</t>
        </is>
      </c>
      <c r="AX881" t="inlineStr">
        <is>
          <t>64510711</t>
        </is>
      </c>
      <c r="AY881" t="inlineStr">
        <is>
          <t>991005212109702656</t>
        </is>
      </c>
      <c r="AZ881" t="inlineStr">
        <is>
          <t>991005212109702656</t>
        </is>
      </c>
      <c r="BA881" t="inlineStr">
        <is>
          <t>2256060550002656</t>
        </is>
      </c>
      <c r="BB881" t="inlineStr">
        <is>
          <t>BOOK</t>
        </is>
      </c>
      <c r="BD881" t="inlineStr">
        <is>
          <t>9780618470402</t>
        </is>
      </c>
      <c r="BE881" t="inlineStr">
        <is>
          <t>32285005407779</t>
        </is>
      </c>
      <c r="BF881" t="inlineStr">
        <is>
          <t>893896065</t>
        </is>
      </c>
    </row>
    <row r="882">
      <c r="B882" t="inlineStr">
        <is>
          <t>CURAL</t>
        </is>
      </c>
      <c r="C882" t="inlineStr">
        <is>
          <t>SHELVES</t>
        </is>
      </c>
      <c r="D882" t="inlineStr">
        <is>
          <t>QP84 .H76</t>
        </is>
      </c>
      <c r="E882" t="inlineStr">
        <is>
          <t>0                      QP 0084000H  76</t>
        </is>
      </c>
      <c r="F882" t="inlineStr">
        <is>
          <t>Human growth / edited by Frank Falkner and J. M. Tanner.</t>
        </is>
      </c>
      <c r="G882" t="inlineStr">
        <is>
          <t>V.2</t>
        </is>
      </c>
      <c r="H882" t="inlineStr">
        <is>
          <t>Yes</t>
        </is>
      </c>
      <c r="I882" t="inlineStr">
        <is>
          <t>1</t>
        </is>
      </c>
      <c r="J882" t="inlineStr">
        <is>
          <t>No</t>
        </is>
      </c>
      <c r="K882" t="inlineStr">
        <is>
          <t>No</t>
        </is>
      </c>
      <c r="L882" t="inlineStr">
        <is>
          <t>0</t>
        </is>
      </c>
      <c r="N882" t="inlineStr">
        <is>
          <t>New York : Plenum Press, c1978-</t>
        </is>
      </c>
      <c r="O882" t="inlineStr">
        <is>
          <t>1978</t>
        </is>
      </c>
      <c r="Q882" t="inlineStr">
        <is>
          <t>eng</t>
        </is>
      </c>
      <c r="R882" t="inlineStr">
        <is>
          <t>nyu</t>
        </is>
      </c>
      <c r="T882" t="inlineStr">
        <is>
          <t xml:space="preserve">QP </t>
        </is>
      </c>
      <c r="U882" t="n">
        <v>0</v>
      </c>
      <c r="V882" t="n">
        <v>2</v>
      </c>
      <c r="X882" t="inlineStr">
        <is>
          <t>1994-09-13</t>
        </is>
      </c>
      <c r="Y882" t="inlineStr">
        <is>
          <t>1992-11-10</t>
        </is>
      </c>
      <c r="Z882" t="inlineStr">
        <is>
          <t>1993-02-24</t>
        </is>
      </c>
      <c r="AA882" t="n">
        <v>347</v>
      </c>
      <c r="AB882" t="n">
        <v>270</v>
      </c>
      <c r="AC882" t="n">
        <v>286</v>
      </c>
      <c r="AD882" t="n">
        <v>3</v>
      </c>
      <c r="AE882" t="n">
        <v>3</v>
      </c>
      <c r="AF882" t="n">
        <v>9</v>
      </c>
      <c r="AG882" t="n">
        <v>10</v>
      </c>
      <c r="AH882" t="n">
        <v>2</v>
      </c>
      <c r="AI882" t="n">
        <v>3</v>
      </c>
      <c r="AJ882" t="n">
        <v>2</v>
      </c>
      <c r="AK882" t="n">
        <v>2</v>
      </c>
      <c r="AL882" t="n">
        <v>4</v>
      </c>
      <c r="AM882" t="n">
        <v>5</v>
      </c>
      <c r="AN882" t="n">
        <v>2</v>
      </c>
      <c r="AO882" t="n">
        <v>2</v>
      </c>
      <c r="AP882" t="n">
        <v>0</v>
      </c>
      <c r="AQ882" t="n">
        <v>0</v>
      </c>
      <c r="AR882" t="inlineStr">
        <is>
          <t>No</t>
        </is>
      </c>
      <c r="AS882" t="inlineStr">
        <is>
          <t>Yes</t>
        </is>
      </c>
      <c r="AT882">
        <f>HYPERLINK("http://catalog.hathitrust.org/Record/000228468","HathiTrust Record")</f>
        <v/>
      </c>
      <c r="AU882">
        <f>HYPERLINK("https://creighton-primo.hosted.exlibrisgroup.com/primo-explore/search?tab=default_tab&amp;search_scope=EVERYTHING&amp;vid=01CRU&amp;lang=en_US&amp;offset=0&amp;query=any,contains,991004487879702656","Catalog Record")</f>
        <v/>
      </c>
      <c r="AV882">
        <f>HYPERLINK("http://www.worldcat.org/oclc/3649969","WorldCat Record")</f>
        <v/>
      </c>
      <c r="AW882" t="inlineStr">
        <is>
          <t>4820408553:eng</t>
        </is>
      </c>
      <c r="AX882" t="inlineStr">
        <is>
          <t>3649969</t>
        </is>
      </c>
      <c r="AY882" t="inlineStr">
        <is>
          <t>991004487879702656</t>
        </is>
      </c>
      <c r="AZ882" t="inlineStr">
        <is>
          <t>991004487879702656</t>
        </is>
      </c>
      <c r="BA882" t="inlineStr">
        <is>
          <t>2255885270002656</t>
        </is>
      </c>
      <c r="BB882" t="inlineStr">
        <is>
          <t>BOOK</t>
        </is>
      </c>
      <c r="BD882" t="inlineStr">
        <is>
          <t>9780306344619</t>
        </is>
      </c>
      <c r="BE882" t="inlineStr">
        <is>
          <t>32285001383958</t>
        </is>
      </c>
      <c r="BF882" t="inlineStr">
        <is>
          <t>893687792</t>
        </is>
      </c>
    </row>
    <row r="883">
      <c r="B883" t="inlineStr">
        <is>
          <t>CURAL</t>
        </is>
      </c>
      <c r="C883" t="inlineStr">
        <is>
          <t>SHELVES</t>
        </is>
      </c>
      <c r="D883" t="inlineStr">
        <is>
          <t>QP84 .H76</t>
        </is>
      </c>
      <c r="E883" t="inlineStr">
        <is>
          <t>0                      QP 0084000H  76</t>
        </is>
      </c>
      <c r="F883" t="inlineStr">
        <is>
          <t>Human growth / edited by Frank Falkner and J. M. Tanner.</t>
        </is>
      </c>
      <c r="G883" t="inlineStr">
        <is>
          <t>V.1</t>
        </is>
      </c>
      <c r="H883" t="inlineStr">
        <is>
          <t>Yes</t>
        </is>
      </c>
      <c r="I883" t="inlineStr">
        <is>
          <t>1</t>
        </is>
      </c>
      <c r="J883" t="inlineStr">
        <is>
          <t>No</t>
        </is>
      </c>
      <c r="K883" t="inlineStr">
        <is>
          <t>No</t>
        </is>
      </c>
      <c r="L883" t="inlineStr">
        <is>
          <t>0</t>
        </is>
      </c>
      <c r="N883" t="inlineStr">
        <is>
          <t>New York : Plenum Press, c1978-</t>
        </is>
      </c>
      <c r="O883" t="inlineStr">
        <is>
          <t>1978</t>
        </is>
      </c>
      <c r="Q883" t="inlineStr">
        <is>
          <t>eng</t>
        </is>
      </c>
      <c r="R883" t="inlineStr">
        <is>
          <t>nyu</t>
        </is>
      </c>
      <c r="T883" t="inlineStr">
        <is>
          <t xml:space="preserve">QP </t>
        </is>
      </c>
      <c r="U883" t="n">
        <v>0</v>
      </c>
      <c r="V883" t="n">
        <v>2</v>
      </c>
      <c r="X883" t="inlineStr">
        <is>
          <t>1994-09-13</t>
        </is>
      </c>
      <c r="Y883" t="inlineStr">
        <is>
          <t>1993-02-24</t>
        </is>
      </c>
      <c r="Z883" t="inlineStr">
        <is>
          <t>1993-02-24</t>
        </is>
      </c>
      <c r="AA883" t="n">
        <v>347</v>
      </c>
      <c r="AB883" t="n">
        <v>270</v>
      </c>
      <c r="AC883" t="n">
        <v>286</v>
      </c>
      <c r="AD883" t="n">
        <v>3</v>
      </c>
      <c r="AE883" t="n">
        <v>3</v>
      </c>
      <c r="AF883" t="n">
        <v>9</v>
      </c>
      <c r="AG883" t="n">
        <v>10</v>
      </c>
      <c r="AH883" t="n">
        <v>2</v>
      </c>
      <c r="AI883" t="n">
        <v>3</v>
      </c>
      <c r="AJ883" t="n">
        <v>2</v>
      </c>
      <c r="AK883" t="n">
        <v>2</v>
      </c>
      <c r="AL883" t="n">
        <v>4</v>
      </c>
      <c r="AM883" t="n">
        <v>5</v>
      </c>
      <c r="AN883" t="n">
        <v>2</v>
      </c>
      <c r="AO883" t="n">
        <v>2</v>
      </c>
      <c r="AP883" t="n">
        <v>0</v>
      </c>
      <c r="AQ883" t="n">
        <v>0</v>
      </c>
      <c r="AR883" t="inlineStr">
        <is>
          <t>No</t>
        </is>
      </c>
      <c r="AS883" t="inlineStr">
        <is>
          <t>Yes</t>
        </is>
      </c>
      <c r="AT883">
        <f>HYPERLINK("http://catalog.hathitrust.org/Record/000228468","HathiTrust Record")</f>
        <v/>
      </c>
      <c r="AU883">
        <f>HYPERLINK("https://creighton-primo.hosted.exlibrisgroup.com/primo-explore/search?tab=default_tab&amp;search_scope=EVERYTHING&amp;vid=01CRU&amp;lang=en_US&amp;offset=0&amp;query=any,contains,991004487879702656","Catalog Record")</f>
        <v/>
      </c>
      <c r="AV883">
        <f>HYPERLINK("http://www.worldcat.org/oclc/3649969","WorldCat Record")</f>
        <v/>
      </c>
      <c r="AW883" t="inlineStr">
        <is>
          <t>4820408553:eng</t>
        </is>
      </c>
      <c r="AX883" t="inlineStr">
        <is>
          <t>3649969</t>
        </is>
      </c>
      <c r="AY883" t="inlineStr">
        <is>
          <t>991004487879702656</t>
        </is>
      </c>
      <c r="AZ883" t="inlineStr">
        <is>
          <t>991004487879702656</t>
        </is>
      </c>
      <c r="BA883" t="inlineStr">
        <is>
          <t>2255885270002656</t>
        </is>
      </c>
      <c r="BB883" t="inlineStr">
        <is>
          <t>BOOK</t>
        </is>
      </c>
      <c r="BD883" t="inlineStr">
        <is>
          <t>9780306344619</t>
        </is>
      </c>
      <c r="BE883" t="inlineStr">
        <is>
          <t>32285001549459</t>
        </is>
      </c>
      <c r="BF883" t="inlineStr">
        <is>
          <t>893706484</t>
        </is>
      </c>
    </row>
    <row r="884">
      <c r="B884" t="inlineStr">
        <is>
          <t>CURAL</t>
        </is>
      </c>
      <c r="C884" t="inlineStr">
        <is>
          <t>SHELVES</t>
        </is>
      </c>
      <c r="D884" t="inlineStr">
        <is>
          <t>QP84 .H76</t>
        </is>
      </c>
      <c r="E884" t="inlineStr">
        <is>
          <t>0                      QP 0084000H  76</t>
        </is>
      </c>
      <c r="F884" t="inlineStr">
        <is>
          <t>Human growth / edited by Frank Falkner and J. M. Tanner.</t>
        </is>
      </c>
      <c r="G884" t="inlineStr">
        <is>
          <t>V.3</t>
        </is>
      </c>
      <c r="H884" t="inlineStr">
        <is>
          <t>Yes</t>
        </is>
      </c>
      <c r="I884" t="inlineStr">
        <is>
          <t>1</t>
        </is>
      </c>
      <c r="J884" t="inlineStr">
        <is>
          <t>No</t>
        </is>
      </c>
      <c r="K884" t="inlineStr">
        <is>
          <t>No</t>
        </is>
      </c>
      <c r="L884" t="inlineStr">
        <is>
          <t>0</t>
        </is>
      </c>
      <c r="N884" t="inlineStr">
        <is>
          <t>New York : Plenum Press, c1978-</t>
        </is>
      </c>
      <c r="O884" t="inlineStr">
        <is>
          <t>1978</t>
        </is>
      </c>
      <c r="Q884" t="inlineStr">
        <is>
          <t>eng</t>
        </is>
      </c>
      <c r="R884" t="inlineStr">
        <is>
          <t>nyu</t>
        </is>
      </c>
      <c r="T884" t="inlineStr">
        <is>
          <t xml:space="preserve">QP </t>
        </is>
      </c>
      <c r="U884" t="n">
        <v>2</v>
      </c>
      <c r="V884" t="n">
        <v>2</v>
      </c>
      <c r="W884" t="inlineStr">
        <is>
          <t>1994-09-13</t>
        </is>
      </c>
      <c r="X884" t="inlineStr">
        <is>
          <t>1994-09-13</t>
        </is>
      </c>
      <c r="Y884" t="inlineStr">
        <is>
          <t>1993-02-24</t>
        </is>
      </c>
      <c r="Z884" t="inlineStr">
        <is>
          <t>1993-02-24</t>
        </is>
      </c>
      <c r="AA884" t="n">
        <v>347</v>
      </c>
      <c r="AB884" t="n">
        <v>270</v>
      </c>
      <c r="AC884" t="n">
        <v>286</v>
      </c>
      <c r="AD884" t="n">
        <v>3</v>
      </c>
      <c r="AE884" t="n">
        <v>3</v>
      </c>
      <c r="AF884" t="n">
        <v>9</v>
      </c>
      <c r="AG884" t="n">
        <v>10</v>
      </c>
      <c r="AH884" t="n">
        <v>2</v>
      </c>
      <c r="AI884" t="n">
        <v>3</v>
      </c>
      <c r="AJ884" t="n">
        <v>2</v>
      </c>
      <c r="AK884" t="n">
        <v>2</v>
      </c>
      <c r="AL884" t="n">
        <v>4</v>
      </c>
      <c r="AM884" t="n">
        <v>5</v>
      </c>
      <c r="AN884" t="n">
        <v>2</v>
      </c>
      <c r="AO884" t="n">
        <v>2</v>
      </c>
      <c r="AP884" t="n">
        <v>0</v>
      </c>
      <c r="AQ884" t="n">
        <v>0</v>
      </c>
      <c r="AR884" t="inlineStr">
        <is>
          <t>No</t>
        </is>
      </c>
      <c r="AS884" t="inlineStr">
        <is>
          <t>Yes</t>
        </is>
      </c>
      <c r="AT884">
        <f>HYPERLINK("http://catalog.hathitrust.org/Record/000228468","HathiTrust Record")</f>
        <v/>
      </c>
      <c r="AU884">
        <f>HYPERLINK("https://creighton-primo.hosted.exlibrisgroup.com/primo-explore/search?tab=default_tab&amp;search_scope=EVERYTHING&amp;vid=01CRU&amp;lang=en_US&amp;offset=0&amp;query=any,contains,991004487879702656","Catalog Record")</f>
        <v/>
      </c>
      <c r="AV884">
        <f>HYPERLINK("http://www.worldcat.org/oclc/3649969","WorldCat Record")</f>
        <v/>
      </c>
      <c r="AW884" t="inlineStr">
        <is>
          <t>4820408553:eng</t>
        </is>
      </c>
      <c r="AX884" t="inlineStr">
        <is>
          <t>3649969</t>
        </is>
      </c>
      <c r="AY884" t="inlineStr">
        <is>
          <t>991004487879702656</t>
        </is>
      </c>
      <c r="AZ884" t="inlineStr">
        <is>
          <t>991004487879702656</t>
        </is>
      </c>
      <c r="BA884" t="inlineStr">
        <is>
          <t>2255885270002656</t>
        </is>
      </c>
      <c r="BB884" t="inlineStr">
        <is>
          <t>BOOK</t>
        </is>
      </c>
      <c r="BD884" t="inlineStr">
        <is>
          <t>9780306344619</t>
        </is>
      </c>
      <c r="BE884" t="inlineStr">
        <is>
          <t>32285001549467</t>
        </is>
      </c>
      <c r="BF884" t="inlineStr">
        <is>
          <t>893687793</t>
        </is>
      </c>
    </row>
    <row r="885">
      <c r="B885" t="inlineStr">
        <is>
          <t>CURAL</t>
        </is>
      </c>
      <c r="C885" t="inlineStr">
        <is>
          <t>SHELVES</t>
        </is>
      </c>
      <c r="D885" t="inlineStr">
        <is>
          <t>QP84 .R38 1989</t>
        </is>
      </c>
      <c r="E885" t="inlineStr">
        <is>
          <t>0                      QP 0084000R  38          1989</t>
        </is>
      </c>
      <c r="F885" t="inlineStr">
        <is>
          <t>The allometry of growth and reproduction / Michael J. Reiss.</t>
        </is>
      </c>
      <c r="H885" t="inlineStr">
        <is>
          <t>No</t>
        </is>
      </c>
      <c r="I885" t="inlineStr">
        <is>
          <t>1</t>
        </is>
      </c>
      <c r="J885" t="inlineStr">
        <is>
          <t>No</t>
        </is>
      </c>
      <c r="K885" t="inlineStr">
        <is>
          <t>No</t>
        </is>
      </c>
      <c r="L885" t="inlineStr">
        <is>
          <t>0</t>
        </is>
      </c>
      <c r="M885" t="inlineStr">
        <is>
          <t>Reiss, Michael J. (Michael Jonathan), 1958-</t>
        </is>
      </c>
      <c r="N885" t="inlineStr">
        <is>
          <t>Cambridge [England] ; New York : Cambridge University Press, 1989.</t>
        </is>
      </c>
      <c r="O885" t="inlineStr">
        <is>
          <t>1989</t>
        </is>
      </c>
      <c r="Q885" t="inlineStr">
        <is>
          <t>eng</t>
        </is>
      </c>
      <c r="R885" t="inlineStr">
        <is>
          <t>enk</t>
        </is>
      </c>
      <c r="T885" t="inlineStr">
        <is>
          <t xml:space="preserve">QP </t>
        </is>
      </c>
      <c r="U885" t="n">
        <v>3</v>
      </c>
      <c r="V885" t="n">
        <v>3</v>
      </c>
      <c r="W885" t="inlineStr">
        <is>
          <t>2006-02-22</t>
        </is>
      </c>
      <c r="X885" t="inlineStr">
        <is>
          <t>2006-02-22</t>
        </is>
      </c>
      <c r="Y885" t="inlineStr">
        <is>
          <t>1990-05-02</t>
        </is>
      </c>
      <c r="Z885" t="inlineStr">
        <is>
          <t>1990-05-02</t>
        </is>
      </c>
      <c r="AA885" t="n">
        <v>403</v>
      </c>
      <c r="AB885" t="n">
        <v>259</v>
      </c>
      <c r="AC885" t="n">
        <v>289</v>
      </c>
      <c r="AD885" t="n">
        <v>3</v>
      </c>
      <c r="AE885" t="n">
        <v>3</v>
      </c>
      <c r="AF885" t="n">
        <v>8</v>
      </c>
      <c r="AG885" t="n">
        <v>9</v>
      </c>
      <c r="AH885" t="n">
        <v>1</v>
      </c>
      <c r="AI885" t="n">
        <v>2</v>
      </c>
      <c r="AJ885" t="n">
        <v>2</v>
      </c>
      <c r="AK885" t="n">
        <v>2</v>
      </c>
      <c r="AL885" t="n">
        <v>5</v>
      </c>
      <c r="AM885" t="n">
        <v>5</v>
      </c>
      <c r="AN885" t="n">
        <v>2</v>
      </c>
      <c r="AO885" t="n">
        <v>2</v>
      </c>
      <c r="AP885" t="n">
        <v>0</v>
      </c>
      <c r="AQ885" t="n">
        <v>0</v>
      </c>
      <c r="AR885" t="inlineStr">
        <is>
          <t>No</t>
        </is>
      </c>
      <c r="AS885" t="inlineStr">
        <is>
          <t>No</t>
        </is>
      </c>
      <c r="AU885">
        <f>HYPERLINK("https://creighton-primo.hosted.exlibrisgroup.com/primo-explore/search?tab=default_tab&amp;search_scope=EVERYTHING&amp;vid=01CRU&amp;lang=en_US&amp;offset=0&amp;query=any,contains,991001416249702656","Catalog Record")</f>
        <v/>
      </c>
      <c r="AV885">
        <f>HYPERLINK("http://www.worldcat.org/oclc/18949186","WorldCat Record")</f>
        <v/>
      </c>
      <c r="AW885" t="inlineStr">
        <is>
          <t>18396259:eng</t>
        </is>
      </c>
      <c r="AX885" t="inlineStr">
        <is>
          <t>18949186</t>
        </is>
      </c>
      <c r="AY885" t="inlineStr">
        <is>
          <t>991001416249702656</t>
        </is>
      </c>
      <c r="AZ885" t="inlineStr">
        <is>
          <t>991001416249702656</t>
        </is>
      </c>
      <c r="BA885" t="inlineStr">
        <is>
          <t>2270560750002656</t>
        </is>
      </c>
      <c r="BB885" t="inlineStr">
        <is>
          <t>BOOK</t>
        </is>
      </c>
      <c r="BD885" t="inlineStr">
        <is>
          <t>9780521360913</t>
        </is>
      </c>
      <c r="BE885" t="inlineStr">
        <is>
          <t>32285000117449</t>
        </is>
      </c>
      <c r="BF885" t="inlineStr">
        <is>
          <t>893250237</t>
        </is>
      </c>
    </row>
    <row r="886">
      <c r="B886" t="inlineStr">
        <is>
          <t>CURAL</t>
        </is>
      </c>
      <c r="C886" t="inlineStr">
        <is>
          <t>SHELVES</t>
        </is>
      </c>
      <c r="D886" t="inlineStr">
        <is>
          <t>QP84.6 .B557 1989</t>
        </is>
      </c>
      <c r="E886" t="inlineStr">
        <is>
          <t>0                      QP 0084600B  557         1989</t>
        </is>
      </c>
      <c r="F886" t="inlineStr">
        <is>
          <t>Biological clocks and environmental time : proceedings of a symposium in honor of Prof. Dr. Jürgen Aschoff on the occasion of his 75th birthday / edited by Serge Daan and Eberhard Gwinner.</t>
        </is>
      </c>
      <c r="H886" t="inlineStr">
        <is>
          <t>No</t>
        </is>
      </c>
      <c r="I886" t="inlineStr">
        <is>
          <t>1</t>
        </is>
      </c>
      <c r="J886" t="inlineStr">
        <is>
          <t>No</t>
        </is>
      </c>
      <c r="K886" t="inlineStr">
        <is>
          <t>No</t>
        </is>
      </c>
      <c r="L886" t="inlineStr">
        <is>
          <t>0</t>
        </is>
      </c>
      <c r="N886" t="inlineStr">
        <is>
          <t>New York : Guilford Press, c1989.</t>
        </is>
      </c>
      <c r="O886" t="inlineStr">
        <is>
          <t>1989</t>
        </is>
      </c>
      <c r="Q886" t="inlineStr">
        <is>
          <t>eng</t>
        </is>
      </c>
      <c r="R886" t="inlineStr">
        <is>
          <t>nyu</t>
        </is>
      </c>
      <c r="T886" t="inlineStr">
        <is>
          <t xml:space="preserve">QP </t>
        </is>
      </c>
      <c r="U886" t="n">
        <v>3</v>
      </c>
      <c r="V886" t="n">
        <v>3</v>
      </c>
      <c r="W886" t="inlineStr">
        <is>
          <t>2002-12-03</t>
        </is>
      </c>
      <c r="X886" t="inlineStr">
        <is>
          <t>2002-12-03</t>
        </is>
      </c>
      <c r="Y886" t="inlineStr">
        <is>
          <t>1991-06-06</t>
        </is>
      </c>
      <c r="Z886" t="inlineStr">
        <is>
          <t>1991-06-06</t>
        </is>
      </c>
      <c r="AA886" t="n">
        <v>163</v>
      </c>
      <c r="AB886" t="n">
        <v>127</v>
      </c>
      <c r="AC886" t="n">
        <v>127</v>
      </c>
      <c r="AD886" t="n">
        <v>3</v>
      </c>
      <c r="AE886" t="n">
        <v>3</v>
      </c>
      <c r="AF886" t="n">
        <v>4</v>
      </c>
      <c r="AG886" t="n">
        <v>4</v>
      </c>
      <c r="AH886" t="n">
        <v>0</v>
      </c>
      <c r="AI886" t="n">
        <v>0</v>
      </c>
      <c r="AJ886" t="n">
        <v>0</v>
      </c>
      <c r="AK886" t="n">
        <v>0</v>
      </c>
      <c r="AL886" t="n">
        <v>2</v>
      </c>
      <c r="AM886" t="n">
        <v>2</v>
      </c>
      <c r="AN886" t="n">
        <v>2</v>
      </c>
      <c r="AO886" t="n">
        <v>2</v>
      </c>
      <c r="AP886" t="n">
        <v>0</v>
      </c>
      <c r="AQ886" t="n">
        <v>0</v>
      </c>
      <c r="AR886" t="inlineStr">
        <is>
          <t>No</t>
        </is>
      </c>
      <c r="AS886" t="inlineStr">
        <is>
          <t>No</t>
        </is>
      </c>
      <c r="AU886">
        <f>HYPERLINK("https://creighton-primo.hosted.exlibrisgroup.com/primo-explore/search?tab=default_tab&amp;search_scope=EVERYTHING&amp;vid=01CRU&amp;lang=en_US&amp;offset=0&amp;query=any,contains,991005411889702656","Catalog Record")</f>
        <v/>
      </c>
      <c r="AV886">
        <f>HYPERLINK("http://www.worldcat.org/oclc/21036775","WorldCat Record")</f>
        <v/>
      </c>
      <c r="AW886" t="inlineStr">
        <is>
          <t>141469956:eng</t>
        </is>
      </c>
      <c r="AX886" t="inlineStr">
        <is>
          <t>21036775</t>
        </is>
      </c>
      <c r="AY886" t="inlineStr">
        <is>
          <t>991005411889702656</t>
        </is>
      </c>
      <c r="AZ886" t="inlineStr">
        <is>
          <t>991005411889702656</t>
        </is>
      </c>
      <c r="BA886" t="inlineStr">
        <is>
          <t>2256130050002656</t>
        </is>
      </c>
      <c r="BB886" t="inlineStr">
        <is>
          <t>BOOK</t>
        </is>
      </c>
      <c r="BD886" t="inlineStr">
        <is>
          <t>9780898625851</t>
        </is>
      </c>
      <c r="BE886" t="inlineStr">
        <is>
          <t>32285000593599</t>
        </is>
      </c>
      <c r="BF886" t="inlineStr">
        <is>
          <t>893689160</t>
        </is>
      </c>
    </row>
    <row r="887">
      <c r="B887" t="inlineStr">
        <is>
          <t>CURAL</t>
        </is>
      </c>
      <c r="C887" t="inlineStr">
        <is>
          <t>SHELVES</t>
        </is>
      </c>
      <c r="D887" t="inlineStr">
        <is>
          <t>QP84.6 .B56</t>
        </is>
      </c>
      <c r="E887" t="inlineStr">
        <is>
          <t>0                      QP 0084600B  56</t>
        </is>
      </c>
      <c r="F887" t="inlineStr">
        <is>
          <t>Biological rhythms / edited by Jürgen Aschoff.</t>
        </is>
      </c>
      <c r="H887" t="inlineStr">
        <is>
          <t>No</t>
        </is>
      </c>
      <c r="I887" t="inlineStr">
        <is>
          <t>1</t>
        </is>
      </c>
      <c r="J887" t="inlineStr">
        <is>
          <t>No</t>
        </is>
      </c>
      <c r="K887" t="inlineStr">
        <is>
          <t>No</t>
        </is>
      </c>
      <c r="L887" t="inlineStr">
        <is>
          <t>0</t>
        </is>
      </c>
      <c r="N887" t="inlineStr">
        <is>
          <t>New York : Plenum Press, c1981.</t>
        </is>
      </c>
      <c r="O887" t="inlineStr">
        <is>
          <t>1981</t>
        </is>
      </c>
      <c r="Q887" t="inlineStr">
        <is>
          <t>eng</t>
        </is>
      </c>
      <c r="R887" t="inlineStr">
        <is>
          <t>nyu</t>
        </is>
      </c>
      <c r="S887" t="inlineStr">
        <is>
          <t>Handbook of behavioral neurobiology ; v. 4</t>
        </is>
      </c>
      <c r="T887" t="inlineStr">
        <is>
          <t xml:space="preserve">QP </t>
        </is>
      </c>
      <c r="U887" t="n">
        <v>3</v>
      </c>
      <c r="V887" t="n">
        <v>3</v>
      </c>
      <c r="W887" t="inlineStr">
        <is>
          <t>2002-12-03</t>
        </is>
      </c>
      <c r="X887" t="inlineStr">
        <is>
          <t>2002-12-03</t>
        </is>
      </c>
      <c r="Y887" t="inlineStr">
        <is>
          <t>1992-04-08</t>
        </is>
      </c>
      <c r="Z887" t="inlineStr">
        <is>
          <t>1992-04-08</t>
        </is>
      </c>
      <c r="AA887" t="n">
        <v>417</v>
      </c>
      <c r="AB887" t="n">
        <v>316</v>
      </c>
      <c r="AC887" t="n">
        <v>328</v>
      </c>
      <c r="AD887" t="n">
        <v>2</v>
      </c>
      <c r="AE887" t="n">
        <v>2</v>
      </c>
      <c r="AF887" t="n">
        <v>12</v>
      </c>
      <c r="AG887" t="n">
        <v>12</v>
      </c>
      <c r="AH887" t="n">
        <v>2</v>
      </c>
      <c r="AI887" t="n">
        <v>2</v>
      </c>
      <c r="AJ887" t="n">
        <v>4</v>
      </c>
      <c r="AK887" t="n">
        <v>4</v>
      </c>
      <c r="AL887" t="n">
        <v>10</v>
      </c>
      <c r="AM887" t="n">
        <v>10</v>
      </c>
      <c r="AN887" t="n">
        <v>1</v>
      </c>
      <c r="AO887" t="n">
        <v>1</v>
      </c>
      <c r="AP887" t="n">
        <v>0</v>
      </c>
      <c r="AQ887" t="n">
        <v>0</v>
      </c>
      <c r="AR887" t="inlineStr">
        <is>
          <t>No</t>
        </is>
      </c>
      <c r="AS887" t="inlineStr">
        <is>
          <t>Yes</t>
        </is>
      </c>
      <c r="AT887">
        <f>HYPERLINK("http://catalog.hathitrust.org/Record/000741299","HathiTrust Record")</f>
        <v/>
      </c>
      <c r="AU887">
        <f>HYPERLINK("https://creighton-primo.hosted.exlibrisgroup.com/primo-explore/search?tab=default_tab&amp;search_scope=EVERYTHING&amp;vid=01CRU&amp;lang=en_US&amp;offset=0&amp;query=any,contains,991005020439702656","Catalog Record")</f>
        <v/>
      </c>
      <c r="AV887">
        <f>HYPERLINK("http://www.worldcat.org/oclc/6649154","WorldCat Record")</f>
        <v/>
      </c>
      <c r="AW887" t="inlineStr">
        <is>
          <t>54396062:eng</t>
        </is>
      </c>
      <c r="AX887" t="inlineStr">
        <is>
          <t>6649154</t>
        </is>
      </c>
      <c r="AY887" t="inlineStr">
        <is>
          <t>991005020439702656</t>
        </is>
      </c>
      <c r="AZ887" t="inlineStr">
        <is>
          <t>991005020439702656</t>
        </is>
      </c>
      <c r="BA887" t="inlineStr">
        <is>
          <t>2265956410002656</t>
        </is>
      </c>
      <c r="BB887" t="inlineStr">
        <is>
          <t>BOOK</t>
        </is>
      </c>
      <c r="BD887" t="inlineStr">
        <is>
          <t>9780306405853</t>
        </is>
      </c>
      <c r="BE887" t="inlineStr">
        <is>
          <t>32285001065928</t>
        </is>
      </c>
      <c r="BF887" t="inlineStr">
        <is>
          <t>893501204</t>
        </is>
      </c>
    </row>
    <row r="888">
      <c r="B888" t="inlineStr">
        <is>
          <t>CURAL</t>
        </is>
      </c>
      <c r="C888" t="inlineStr">
        <is>
          <t>SHELVES</t>
        </is>
      </c>
      <c r="D888" t="inlineStr">
        <is>
          <t>QP84.6 .B564</t>
        </is>
      </c>
      <c r="E888" t="inlineStr">
        <is>
          <t>0                      QP 0084600B  564</t>
        </is>
      </c>
      <c r="F888" t="inlineStr">
        <is>
          <t>Biological rhythms, sleep, and performance / edited by Wilse B. Webb.</t>
        </is>
      </c>
      <c r="H888" t="inlineStr">
        <is>
          <t>No</t>
        </is>
      </c>
      <c r="I888" t="inlineStr">
        <is>
          <t>1</t>
        </is>
      </c>
      <c r="J888" t="inlineStr">
        <is>
          <t>No</t>
        </is>
      </c>
      <c r="K888" t="inlineStr">
        <is>
          <t>No</t>
        </is>
      </c>
      <c r="L888" t="inlineStr">
        <is>
          <t>0</t>
        </is>
      </c>
      <c r="N888" t="inlineStr">
        <is>
          <t>Chichester, Sussex ; New York : Wiley, 1982.</t>
        </is>
      </c>
      <c r="O888" t="inlineStr">
        <is>
          <t>1982</t>
        </is>
      </c>
      <c r="Q888" t="inlineStr">
        <is>
          <t>eng</t>
        </is>
      </c>
      <c r="R888" t="inlineStr">
        <is>
          <t>enk</t>
        </is>
      </c>
      <c r="S888" t="inlineStr">
        <is>
          <t>Wiley series on studies in human performance</t>
        </is>
      </c>
      <c r="T888" t="inlineStr">
        <is>
          <t xml:space="preserve">QP </t>
        </is>
      </c>
      <c r="U888" t="n">
        <v>28</v>
      </c>
      <c r="V888" t="n">
        <v>28</v>
      </c>
      <c r="W888" t="inlineStr">
        <is>
          <t>2007-02-20</t>
        </is>
      </c>
      <c r="X888" t="inlineStr">
        <is>
          <t>2007-02-20</t>
        </is>
      </c>
      <c r="Y888" t="inlineStr">
        <is>
          <t>1994-03-03</t>
        </is>
      </c>
      <c r="Z888" t="inlineStr">
        <is>
          <t>1994-03-03</t>
        </is>
      </c>
      <c r="AA888" t="n">
        <v>438</v>
      </c>
      <c r="AB888" t="n">
        <v>322</v>
      </c>
      <c r="AC888" t="n">
        <v>324</v>
      </c>
      <c r="AD888" t="n">
        <v>3</v>
      </c>
      <c r="AE888" t="n">
        <v>3</v>
      </c>
      <c r="AF888" t="n">
        <v>15</v>
      </c>
      <c r="AG888" t="n">
        <v>15</v>
      </c>
      <c r="AH888" t="n">
        <v>3</v>
      </c>
      <c r="AI888" t="n">
        <v>3</v>
      </c>
      <c r="AJ888" t="n">
        <v>4</v>
      </c>
      <c r="AK888" t="n">
        <v>4</v>
      </c>
      <c r="AL888" t="n">
        <v>8</v>
      </c>
      <c r="AM888" t="n">
        <v>8</v>
      </c>
      <c r="AN888" t="n">
        <v>2</v>
      </c>
      <c r="AO888" t="n">
        <v>2</v>
      </c>
      <c r="AP888" t="n">
        <v>0</v>
      </c>
      <c r="AQ888" t="n">
        <v>0</v>
      </c>
      <c r="AR888" t="inlineStr">
        <is>
          <t>No</t>
        </is>
      </c>
      <c r="AS888" t="inlineStr">
        <is>
          <t>Yes</t>
        </is>
      </c>
      <c r="AT888">
        <f>HYPERLINK("http://catalog.hathitrust.org/Record/007469927","HathiTrust Record")</f>
        <v/>
      </c>
      <c r="AU888">
        <f>HYPERLINK("https://creighton-primo.hosted.exlibrisgroup.com/primo-explore/search?tab=default_tab&amp;search_scope=EVERYTHING&amp;vid=01CRU&amp;lang=en_US&amp;offset=0&amp;query=any,contains,991005388209702656","Catalog Record")</f>
        <v/>
      </c>
      <c r="AV888">
        <f>HYPERLINK("http://www.worldcat.org/oclc/7795289","WorldCat Record")</f>
        <v/>
      </c>
      <c r="AW888" t="inlineStr">
        <is>
          <t>54456982:eng</t>
        </is>
      </c>
      <c r="AX888" t="inlineStr">
        <is>
          <t>7795289</t>
        </is>
      </c>
      <c r="AY888" t="inlineStr">
        <is>
          <t>991005388209702656</t>
        </is>
      </c>
      <c r="AZ888" t="inlineStr">
        <is>
          <t>991005388209702656</t>
        </is>
      </c>
      <c r="BA888" t="inlineStr">
        <is>
          <t>2267971210002656</t>
        </is>
      </c>
      <c r="BB888" t="inlineStr">
        <is>
          <t>BOOK</t>
        </is>
      </c>
      <c r="BD888" t="inlineStr">
        <is>
          <t>9780471100478</t>
        </is>
      </c>
      <c r="BE888" t="inlineStr">
        <is>
          <t>32285001549483</t>
        </is>
      </c>
      <c r="BF888" t="inlineStr">
        <is>
          <t>893261076</t>
        </is>
      </c>
    </row>
    <row r="889">
      <c r="B889" t="inlineStr">
        <is>
          <t>CURAL</t>
        </is>
      </c>
      <c r="C889" t="inlineStr">
        <is>
          <t>SHELVES</t>
        </is>
      </c>
      <c r="D889" t="inlineStr">
        <is>
          <t>QP84.6 .C453 2004</t>
        </is>
      </c>
      <c r="E889" t="inlineStr">
        <is>
          <t>0                      QP 0084600C  453         2004</t>
        </is>
      </c>
      <c r="F889" t="inlineStr">
        <is>
          <t>Chronobiology : biological timekeeping / edited by Jay C. Dunlap, Jennifer J. Loros, Patricia J. DeCoursey.</t>
        </is>
      </c>
      <c r="H889" t="inlineStr">
        <is>
          <t>No</t>
        </is>
      </c>
      <c r="I889" t="inlineStr">
        <is>
          <t>1</t>
        </is>
      </c>
      <c r="J889" t="inlineStr">
        <is>
          <t>No</t>
        </is>
      </c>
      <c r="K889" t="inlineStr">
        <is>
          <t>No</t>
        </is>
      </c>
      <c r="L889" t="inlineStr">
        <is>
          <t>0</t>
        </is>
      </c>
      <c r="N889" t="inlineStr">
        <is>
          <t>Sunderland, Mass. : Sinauer Associates, c2004.</t>
        </is>
      </c>
      <c r="O889" t="inlineStr">
        <is>
          <t>2004</t>
        </is>
      </c>
      <c r="Q889" t="inlineStr">
        <is>
          <t>eng</t>
        </is>
      </c>
      <c r="R889" t="inlineStr">
        <is>
          <t>mau</t>
        </is>
      </c>
      <c r="T889" t="inlineStr">
        <is>
          <t xml:space="preserve">QP </t>
        </is>
      </c>
      <c r="U889" t="n">
        <v>2</v>
      </c>
      <c r="V889" t="n">
        <v>2</v>
      </c>
      <c r="W889" t="inlineStr">
        <is>
          <t>2009-10-07</t>
        </is>
      </c>
      <c r="X889" t="inlineStr">
        <is>
          <t>2009-10-07</t>
        </is>
      </c>
      <c r="Y889" t="inlineStr">
        <is>
          <t>2005-05-31</t>
        </is>
      </c>
      <c r="Z889" t="inlineStr">
        <is>
          <t>2005-05-31</t>
        </is>
      </c>
      <c r="AA889" t="n">
        <v>644</v>
      </c>
      <c r="AB889" t="n">
        <v>517</v>
      </c>
      <c r="AC889" t="n">
        <v>519</v>
      </c>
      <c r="AD889" t="n">
        <v>2</v>
      </c>
      <c r="AE889" t="n">
        <v>2</v>
      </c>
      <c r="AF889" t="n">
        <v>23</v>
      </c>
      <c r="AG889" t="n">
        <v>23</v>
      </c>
      <c r="AH889" t="n">
        <v>9</v>
      </c>
      <c r="AI889" t="n">
        <v>9</v>
      </c>
      <c r="AJ889" t="n">
        <v>5</v>
      </c>
      <c r="AK889" t="n">
        <v>5</v>
      </c>
      <c r="AL889" t="n">
        <v>13</v>
      </c>
      <c r="AM889" t="n">
        <v>13</v>
      </c>
      <c r="AN889" t="n">
        <v>1</v>
      </c>
      <c r="AO889" t="n">
        <v>1</v>
      </c>
      <c r="AP889" t="n">
        <v>0</v>
      </c>
      <c r="AQ889" t="n">
        <v>0</v>
      </c>
      <c r="AR889" t="inlineStr">
        <is>
          <t>No</t>
        </is>
      </c>
      <c r="AS889" t="inlineStr">
        <is>
          <t>No</t>
        </is>
      </c>
      <c r="AU889">
        <f>HYPERLINK("https://creighton-primo.hosted.exlibrisgroup.com/primo-explore/search?tab=default_tab&amp;search_scope=EVERYTHING&amp;vid=01CRU&amp;lang=en_US&amp;offset=0&amp;query=any,contains,991004540499702656","Catalog Record")</f>
        <v/>
      </c>
      <c r="AV889">
        <f>HYPERLINK("http://www.worldcat.org/oclc/51764526","WorldCat Record")</f>
        <v/>
      </c>
      <c r="AW889" t="inlineStr">
        <is>
          <t>364513777:eng</t>
        </is>
      </c>
      <c r="AX889" t="inlineStr">
        <is>
          <t>51764526</t>
        </is>
      </c>
      <c r="AY889" t="inlineStr">
        <is>
          <t>991004540499702656</t>
        </is>
      </c>
      <c r="AZ889" t="inlineStr">
        <is>
          <t>991004540499702656</t>
        </is>
      </c>
      <c r="BA889" t="inlineStr">
        <is>
          <t>2271375390002656</t>
        </is>
      </c>
      <c r="BB889" t="inlineStr">
        <is>
          <t>BOOK</t>
        </is>
      </c>
      <c r="BD889" t="inlineStr">
        <is>
          <t>9780878931491</t>
        </is>
      </c>
      <c r="BE889" t="inlineStr">
        <is>
          <t>32285005091391</t>
        </is>
      </c>
      <c r="BF889" t="inlineStr">
        <is>
          <t>893888847</t>
        </is>
      </c>
    </row>
    <row r="890">
      <c r="B890" t="inlineStr">
        <is>
          <t>CURAL</t>
        </is>
      </c>
      <c r="C890" t="inlineStr">
        <is>
          <t>SHELVES</t>
        </is>
      </c>
      <c r="D890" t="inlineStr">
        <is>
          <t>QP84.6 .E36 1988</t>
        </is>
      </c>
      <c r="E890" t="inlineStr">
        <is>
          <t>0                      QP 0084600E  36          1988</t>
        </is>
      </c>
      <c r="F890" t="inlineStr">
        <is>
          <t>Cellular and molecular bases of biological clocks : models and mechanisms for circadian timekeeping / Leland N. Edmunds, Jr.</t>
        </is>
      </c>
      <c r="H890" t="inlineStr">
        <is>
          <t>No</t>
        </is>
      </c>
      <c r="I890" t="inlineStr">
        <is>
          <t>1</t>
        </is>
      </c>
      <c r="J890" t="inlineStr">
        <is>
          <t>No</t>
        </is>
      </c>
      <c r="K890" t="inlineStr">
        <is>
          <t>No</t>
        </is>
      </c>
      <c r="L890" t="inlineStr">
        <is>
          <t>0</t>
        </is>
      </c>
      <c r="M890" t="inlineStr">
        <is>
          <t>Edmunds, Leland N.</t>
        </is>
      </c>
      <c r="N890" t="inlineStr">
        <is>
          <t>New York : Springer-Verlag, c1988.</t>
        </is>
      </c>
      <c r="O890" t="inlineStr">
        <is>
          <t>1988</t>
        </is>
      </c>
      <c r="Q890" t="inlineStr">
        <is>
          <t>eng</t>
        </is>
      </c>
      <c r="R890" t="inlineStr">
        <is>
          <t>nyu</t>
        </is>
      </c>
      <c r="T890" t="inlineStr">
        <is>
          <t xml:space="preserve">QP </t>
        </is>
      </c>
      <c r="U890" t="n">
        <v>2</v>
      </c>
      <c r="V890" t="n">
        <v>2</v>
      </c>
      <c r="W890" t="inlineStr">
        <is>
          <t>2000-05-09</t>
        </is>
      </c>
      <c r="X890" t="inlineStr">
        <is>
          <t>2000-05-09</t>
        </is>
      </c>
      <c r="Y890" t="inlineStr">
        <is>
          <t>1992-04-27</t>
        </is>
      </c>
      <c r="Z890" t="inlineStr">
        <is>
          <t>1992-04-27</t>
        </is>
      </c>
      <c r="AA890" t="n">
        <v>369</v>
      </c>
      <c r="AB890" t="n">
        <v>252</v>
      </c>
      <c r="AC890" t="n">
        <v>270</v>
      </c>
      <c r="AD890" t="n">
        <v>4</v>
      </c>
      <c r="AE890" t="n">
        <v>4</v>
      </c>
      <c r="AF890" t="n">
        <v>10</v>
      </c>
      <c r="AG890" t="n">
        <v>11</v>
      </c>
      <c r="AH890" t="n">
        <v>2</v>
      </c>
      <c r="AI890" t="n">
        <v>3</v>
      </c>
      <c r="AJ890" t="n">
        <v>2</v>
      </c>
      <c r="AK890" t="n">
        <v>2</v>
      </c>
      <c r="AL890" t="n">
        <v>4</v>
      </c>
      <c r="AM890" t="n">
        <v>5</v>
      </c>
      <c r="AN890" t="n">
        <v>3</v>
      </c>
      <c r="AO890" t="n">
        <v>3</v>
      </c>
      <c r="AP890" t="n">
        <v>0</v>
      </c>
      <c r="AQ890" t="n">
        <v>0</v>
      </c>
      <c r="AR890" t="inlineStr">
        <is>
          <t>No</t>
        </is>
      </c>
      <c r="AS890" t="inlineStr">
        <is>
          <t>Yes</t>
        </is>
      </c>
      <c r="AT890">
        <f>HYPERLINK("http://catalog.hathitrust.org/Record/000870087","HathiTrust Record")</f>
        <v/>
      </c>
      <c r="AU890">
        <f>HYPERLINK("https://creighton-primo.hosted.exlibrisgroup.com/primo-explore/search?tab=default_tab&amp;search_scope=EVERYTHING&amp;vid=01CRU&amp;lang=en_US&amp;offset=0&amp;query=any,contains,991005408059702656","Catalog Record")</f>
        <v/>
      </c>
      <c r="AV890">
        <f>HYPERLINK("http://www.worldcat.org/oclc/16226837","WorldCat Record")</f>
        <v/>
      </c>
      <c r="AW890" t="inlineStr">
        <is>
          <t>197113418:eng</t>
        </is>
      </c>
      <c r="AX890" t="inlineStr">
        <is>
          <t>16226837</t>
        </is>
      </c>
      <c r="AY890" t="inlineStr">
        <is>
          <t>991005408059702656</t>
        </is>
      </c>
      <c r="AZ890" t="inlineStr">
        <is>
          <t>991005408059702656</t>
        </is>
      </c>
      <c r="BA890" t="inlineStr">
        <is>
          <t>2265006600002656</t>
        </is>
      </c>
      <c r="BB890" t="inlineStr">
        <is>
          <t>BOOK</t>
        </is>
      </c>
      <c r="BD890" t="inlineStr">
        <is>
          <t>9780387965598</t>
        </is>
      </c>
      <c r="BE890" t="inlineStr">
        <is>
          <t>32285001072510</t>
        </is>
      </c>
      <c r="BF890" t="inlineStr">
        <is>
          <t>893254955</t>
        </is>
      </c>
    </row>
    <row r="891">
      <c r="B891" t="inlineStr">
        <is>
          <t>CURAL</t>
        </is>
      </c>
      <c r="C891" t="inlineStr">
        <is>
          <t>SHELVES</t>
        </is>
      </c>
      <c r="D891" t="inlineStr">
        <is>
          <t>QP84.6 .M54</t>
        </is>
      </c>
      <c r="E891" t="inlineStr">
        <is>
          <t>0                      QP 0084600M  54</t>
        </is>
      </c>
      <c r="F891" t="inlineStr">
        <is>
          <t>Biological aspects of circadian rhythms; edited by J. N. Mills.</t>
        </is>
      </c>
      <c r="H891" t="inlineStr">
        <is>
          <t>No</t>
        </is>
      </c>
      <c r="I891" t="inlineStr">
        <is>
          <t>1</t>
        </is>
      </c>
      <c r="J891" t="inlineStr">
        <is>
          <t>No</t>
        </is>
      </c>
      <c r="K891" t="inlineStr">
        <is>
          <t>No</t>
        </is>
      </c>
      <c r="L891" t="inlineStr">
        <is>
          <t>0</t>
        </is>
      </c>
      <c r="M891" t="inlineStr">
        <is>
          <t>Mills, J. N. (John Norton), 1914-1977.</t>
        </is>
      </c>
      <c r="N891" t="inlineStr">
        <is>
          <t>London, New York, Plenum Press, 1973.</t>
        </is>
      </c>
      <c r="O891" t="inlineStr">
        <is>
          <t>1973</t>
        </is>
      </c>
      <c r="Q891" t="inlineStr">
        <is>
          <t>eng</t>
        </is>
      </c>
      <c r="R891" t="inlineStr">
        <is>
          <t>enk</t>
        </is>
      </c>
      <c r="T891" t="inlineStr">
        <is>
          <t xml:space="preserve">QP </t>
        </is>
      </c>
      <c r="U891" t="n">
        <v>4</v>
      </c>
      <c r="V891" t="n">
        <v>4</v>
      </c>
      <c r="W891" t="inlineStr">
        <is>
          <t>1999-11-04</t>
        </is>
      </c>
      <c r="X891" t="inlineStr">
        <is>
          <t>1999-11-04</t>
        </is>
      </c>
      <c r="Y891" t="inlineStr">
        <is>
          <t>1997-08-04</t>
        </is>
      </c>
      <c r="Z891" t="inlineStr">
        <is>
          <t>1997-08-04</t>
        </is>
      </c>
      <c r="AA891" t="n">
        <v>370</v>
      </c>
      <c r="AB891" t="n">
        <v>270</v>
      </c>
      <c r="AC891" t="n">
        <v>290</v>
      </c>
      <c r="AD891" t="n">
        <v>2</v>
      </c>
      <c r="AE891" t="n">
        <v>2</v>
      </c>
      <c r="AF891" t="n">
        <v>8</v>
      </c>
      <c r="AG891" t="n">
        <v>9</v>
      </c>
      <c r="AH891" t="n">
        <v>3</v>
      </c>
      <c r="AI891" t="n">
        <v>4</v>
      </c>
      <c r="AJ891" t="n">
        <v>2</v>
      </c>
      <c r="AK891" t="n">
        <v>2</v>
      </c>
      <c r="AL891" t="n">
        <v>3</v>
      </c>
      <c r="AM891" t="n">
        <v>4</v>
      </c>
      <c r="AN891" t="n">
        <v>1</v>
      </c>
      <c r="AO891" t="n">
        <v>1</v>
      </c>
      <c r="AP891" t="n">
        <v>0</v>
      </c>
      <c r="AQ891" t="n">
        <v>0</v>
      </c>
      <c r="AR891" t="inlineStr">
        <is>
          <t>No</t>
        </is>
      </c>
      <c r="AS891" t="inlineStr">
        <is>
          <t>Yes</t>
        </is>
      </c>
      <c r="AT891">
        <f>HYPERLINK("http://catalog.hathitrust.org/Record/001553487","HathiTrust Record")</f>
        <v/>
      </c>
      <c r="AU891">
        <f>HYPERLINK("https://creighton-primo.hosted.exlibrisgroup.com/primo-explore/search?tab=default_tab&amp;search_scope=EVERYTHING&amp;vid=01CRU&amp;lang=en_US&amp;offset=0&amp;query=any,contains,991003320989702656","Catalog Record")</f>
        <v/>
      </c>
      <c r="AV891">
        <f>HYPERLINK("http://www.worldcat.org/oclc/848797","WorldCat Record")</f>
        <v/>
      </c>
      <c r="AW891" t="inlineStr">
        <is>
          <t>377492793:eng</t>
        </is>
      </c>
      <c r="AX891" t="inlineStr">
        <is>
          <t>848797</t>
        </is>
      </c>
      <c r="AY891" t="inlineStr">
        <is>
          <t>991003320989702656</t>
        </is>
      </c>
      <c r="AZ891" t="inlineStr">
        <is>
          <t>991003320989702656</t>
        </is>
      </c>
      <c r="BA891" t="inlineStr">
        <is>
          <t>2268929400002656</t>
        </is>
      </c>
      <c r="BB891" t="inlineStr">
        <is>
          <t>BOOK</t>
        </is>
      </c>
      <c r="BD891" t="inlineStr">
        <is>
          <t>9780306305955</t>
        </is>
      </c>
      <c r="BE891" t="inlineStr">
        <is>
          <t>32285003012217</t>
        </is>
      </c>
      <c r="BF891" t="inlineStr">
        <is>
          <t>893227947</t>
        </is>
      </c>
    </row>
    <row r="892">
      <c r="B892" t="inlineStr">
        <is>
          <t>CURAL</t>
        </is>
      </c>
      <c r="C892" t="inlineStr">
        <is>
          <t>SHELVES</t>
        </is>
      </c>
      <c r="D892" t="inlineStr">
        <is>
          <t>QP84.6 .M66 1982</t>
        </is>
      </c>
      <c r="E892" t="inlineStr">
        <is>
          <t>0                      QP 0084600M  66          1982</t>
        </is>
      </c>
      <c r="F892" t="inlineStr">
        <is>
          <t>The clocks that time us : physiology of the circadian timing system / Martin C. Moore-Ede, Frank M. Sulzman, and Charles A. Fuller.</t>
        </is>
      </c>
      <c r="H892" t="inlineStr">
        <is>
          <t>No</t>
        </is>
      </c>
      <c r="I892" t="inlineStr">
        <is>
          <t>1</t>
        </is>
      </c>
      <c r="J892" t="inlineStr">
        <is>
          <t>Yes</t>
        </is>
      </c>
      <c r="K892" t="inlineStr">
        <is>
          <t>No</t>
        </is>
      </c>
      <c r="L892" t="inlineStr">
        <is>
          <t>0</t>
        </is>
      </c>
      <c r="M892" t="inlineStr">
        <is>
          <t>Moore-Ede, Martin C.</t>
        </is>
      </c>
      <c r="N892" t="inlineStr">
        <is>
          <t>Cambridge, Mass. : Harvard University Press, 1982.</t>
        </is>
      </c>
      <c r="O892" t="inlineStr">
        <is>
          <t>1982</t>
        </is>
      </c>
      <c r="Q892" t="inlineStr">
        <is>
          <t>eng</t>
        </is>
      </c>
      <c r="R892" t="inlineStr">
        <is>
          <t>mau</t>
        </is>
      </c>
      <c r="T892" t="inlineStr">
        <is>
          <t xml:space="preserve">QP </t>
        </is>
      </c>
      <c r="U892" t="n">
        <v>4</v>
      </c>
      <c r="V892" t="n">
        <v>24</v>
      </c>
      <c r="W892" t="inlineStr">
        <is>
          <t>2000-05-09</t>
        </is>
      </c>
      <c r="X892" t="inlineStr">
        <is>
          <t>2000-05-09</t>
        </is>
      </c>
      <c r="Y892" t="inlineStr">
        <is>
          <t>1992-04-27</t>
        </is>
      </c>
      <c r="Z892" t="inlineStr">
        <is>
          <t>1992-04-27</t>
        </is>
      </c>
      <c r="AA892" t="n">
        <v>833</v>
      </c>
      <c r="AB892" t="n">
        <v>664</v>
      </c>
      <c r="AC892" t="n">
        <v>672</v>
      </c>
      <c r="AD892" t="n">
        <v>5</v>
      </c>
      <c r="AE892" t="n">
        <v>5</v>
      </c>
      <c r="AF892" t="n">
        <v>27</v>
      </c>
      <c r="AG892" t="n">
        <v>27</v>
      </c>
      <c r="AH892" t="n">
        <v>10</v>
      </c>
      <c r="AI892" t="n">
        <v>10</v>
      </c>
      <c r="AJ892" t="n">
        <v>3</v>
      </c>
      <c r="AK892" t="n">
        <v>3</v>
      </c>
      <c r="AL892" t="n">
        <v>18</v>
      </c>
      <c r="AM892" t="n">
        <v>18</v>
      </c>
      <c r="AN892" t="n">
        <v>3</v>
      </c>
      <c r="AO892" t="n">
        <v>3</v>
      </c>
      <c r="AP892" t="n">
        <v>0</v>
      </c>
      <c r="AQ892" t="n">
        <v>0</v>
      </c>
      <c r="AR892" t="inlineStr">
        <is>
          <t>No</t>
        </is>
      </c>
      <c r="AS892" t="inlineStr">
        <is>
          <t>Yes</t>
        </is>
      </c>
      <c r="AT892">
        <f>HYPERLINK("http://catalog.hathitrust.org/Record/000191211","HathiTrust Record")</f>
        <v/>
      </c>
      <c r="AU892">
        <f>HYPERLINK("https://creighton-primo.hosted.exlibrisgroup.com/primo-explore/search?tab=default_tab&amp;search_scope=EVERYTHING&amp;vid=01CRU&amp;lang=en_US&amp;offset=0&amp;query=any,contains,991001771569702656","Catalog Record")</f>
        <v/>
      </c>
      <c r="AV892">
        <f>HYPERLINK("http://www.worldcat.org/oclc/7735341","WorldCat Record")</f>
        <v/>
      </c>
      <c r="AW892" t="inlineStr">
        <is>
          <t>290226514:eng</t>
        </is>
      </c>
      <c r="AX892" t="inlineStr">
        <is>
          <t>7735341</t>
        </is>
      </c>
      <c r="AY892" t="inlineStr">
        <is>
          <t>991001771569702656</t>
        </is>
      </c>
      <c r="AZ892" t="inlineStr">
        <is>
          <t>991001771569702656</t>
        </is>
      </c>
      <c r="BA892" t="inlineStr">
        <is>
          <t>2254796850002656</t>
        </is>
      </c>
      <c r="BB892" t="inlineStr">
        <is>
          <t>BOOK</t>
        </is>
      </c>
      <c r="BD892" t="inlineStr">
        <is>
          <t>9780674135802</t>
        </is>
      </c>
      <c r="BE892" t="inlineStr">
        <is>
          <t>32285001072528</t>
        </is>
      </c>
      <c r="BF892" t="inlineStr">
        <is>
          <t>893779063</t>
        </is>
      </c>
    </row>
    <row r="893">
      <c r="B893" t="inlineStr">
        <is>
          <t>CURAL</t>
        </is>
      </c>
      <c r="C893" t="inlineStr">
        <is>
          <t>SHELVES</t>
        </is>
      </c>
      <c r="D893" t="inlineStr">
        <is>
          <t>QP84.6 .R534 2000</t>
        </is>
      </c>
      <c r="E893" t="inlineStr">
        <is>
          <t>0                      QP 0084600R  534         2000</t>
        </is>
      </c>
      <c r="F893" t="inlineStr">
        <is>
          <t>Circadian physiology / Roberto Refinetti.</t>
        </is>
      </c>
      <c r="H893" t="inlineStr">
        <is>
          <t>No</t>
        </is>
      </c>
      <c r="I893" t="inlineStr">
        <is>
          <t>1</t>
        </is>
      </c>
      <c r="J893" t="inlineStr">
        <is>
          <t>No</t>
        </is>
      </c>
      <c r="K893" t="inlineStr">
        <is>
          <t>Yes</t>
        </is>
      </c>
      <c r="L893" t="inlineStr">
        <is>
          <t>0</t>
        </is>
      </c>
      <c r="M893" t="inlineStr">
        <is>
          <t>Refinetti, Roberto.</t>
        </is>
      </c>
      <c r="N893" t="inlineStr">
        <is>
          <t>Boca Raton, Fla. : CRC Press, c2000.</t>
        </is>
      </c>
      <c r="O893" t="inlineStr">
        <is>
          <t>2000</t>
        </is>
      </c>
      <c r="Q893" t="inlineStr">
        <is>
          <t>eng</t>
        </is>
      </c>
      <c r="R893" t="inlineStr">
        <is>
          <t>flu</t>
        </is>
      </c>
      <c r="T893" t="inlineStr">
        <is>
          <t xml:space="preserve">QP </t>
        </is>
      </c>
      <c r="U893" t="n">
        <v>2</v>
      </c>
      <c r="V893" t="n">
        <v>2</v>
      </c>
      <c r="W893" t="inlineStr">
        <is>
          <t>2000-08-30</t>
        </is>
      </c>
      <c r="X893" t="inlineStr">
        <is>
          <t>2000-08-30</t>
        </is>
      </c>
      <c r="Y893" t="inlineStr">
        <is>
          <t>2000-08-24</t>
        </is>
      </c>
      <c r="Z893" t="inlineStr">
        <is>
          <t>2000-08-24</t>
        </is>
      </c>
      <c r="AA893" t="n">
        <v>241</v>
      </c>
      <c r="AB893" t="n">
        <v>177</v>
      </c>
      <c r="AC893" t="n">
        <v>318</v>
      </c>
      <c r="AD893" t="n">
        <v>2</v>
      </c>
      <c r="AE893" t="n">
        <v>3</v>
      </c>
      <c r="AF893" t="n">
        <v>8</v>
      </c>
      <c r="AG893" t="n">
        <v>12</v>
      </c>
      <c r="AH893" t="n">
        <v>2</v>
      </c>
      <c r="AI893" t="n">
        <v>3</v>
      </c>
      <c r="AJ893" t="n">
        <v>3</v>
      </c>
      <c r="AK893" t="n">
        <v>5</v>
      </c>
      <c r="AL893" t="n">
        <v>5</v>
      </c>
      <c r="AM893" t="n">
        <v>8</v>
      </c>
      <c r="AN893" t="n">
        <v>1</v>
      </c>
      <c r="AO893" t="n">
        <v>1</v>
      </c>
      <c r="AP893" t="n">
        <v>0</v>
      </c>
      <c r="AQ893" t="n">
        <v>0</v>
      </c>
      <c r="AR893" t="inlineStr">
        <is>
          <t>No</t>
        </is>
      </c>
      <c r="AS893" t="inlineStr">
        <is>
          <t>No</t>
        </is>
      </c>
      <c r="AU893">
        <f>HYPERLINK("https://creighton-primo.hosted.exlibrisgroup.com/primo-explore/search?tab=default_tab&amp;search_scope=EVERYTHING&amp;vid=01CRU&amp;lang=en_US&amp;offset=0&amp;query=any,contains,991003277119702656","Catalog Record")</f>
        <v/>
      </c>
      <c r="AV893">
        <f>HYPERLINK("http://www.worldcat.org/oclc/42683383","WorldCat Record")</f>
        <v/>
      </c>
      <c r="AW893" t="inlineStr">
        <is>
          <t>927618:eng</t>
        </is>
      </c>
      <c r="AX893" t="inlineStr">
        <is>
          <t>42683383</t>
        </is>
      </c>
      <c r="AY893" t="inlineStr">
        <is>
          <t>991003277119702656</t>
        </is>
      </c>
      <c r="AZ893" t="inlineStr">
        <is>
          <t>991003277119702656</t>
        </is>
      </c>
      <c r="BA893" t="inlineStr">
        <is>
          <t>2263527790002656</t>
        </is>
      </c>
      <c r="BB893" t="inlineStr">
        <is>
          <t>BOOK</t>
        </is>
      </c>
      <c r="BD893" t="inlineStr">
        <is>
          <t>9780849322990</t>
        </is>
      </c>
      <c r="BE893" t="inlineStr">
        <is>
          <t>32285003689949</t>
        </is>
      </c>
      <c r="BF893" t="inlineStr">
        <is>
          <t>893692556</t>
        </is>
      </c>
    </row>
    <row r="894">
      <c r="B894" t="inlineStr">
        <is>
          <t>CURAL</t>
        </is>
      </c>
      <c r="C894" t="inlineStr">
        <is>
          <t>SHELVES</t>
        </is>
      </c>
      <c r="D894" t="inlineStr">
        <is>
          <t>QP84.6 .W48</t>
        </is>
      </c>
      <c r="E894" t="inlineStr">
        <is>
          <t>0                      QP 0084600W  48</t>
        </is>
      </c>
      <c r="F894" t="inlineStr">
        <is>
          <t>The circadian system of man : results of experiments under temporal isolation / Rütger A. Wever.</t>
        </is>
      </c>
      <c r="H894" t="inlineStr">
        <is>
          <t>No</t>
        </is>
      </c>
      <c r="I894" t="inlineStr">
        <is>
          <t>1</t>
        </is>
      </c>
      <c r="J894" t="inlineStr">
        <is>
          <t>No</t>
        </is>
      </c>
      <c r="K894" t="inlineStr">
        <is>
          <t>No</t>
        </is>
      </c>
      <c r="L894" t="inlineStr">
        <is>
          <t>0</t>
        </is>
      </c>
      <c r="M894" t="inlineStr">
        <is>
          <t>Wever, Rütger A.</t>
        </is>
      </c>
      <c r="N894" t="inlineStr">
        <is>
          <t>New York : Springer-Verlag, c1979.</t>
        </is>
      </c>
      <c r="O894" t="inlineStr">
        <is>
          <t>1979</t>
        </is>
      </c>
      <c r="Q894" t="inlineStr">
        <is>
          <t>eng</t>
        </is>
      </c>
      <c r="R894" t="inlineStr">
        <is>
          <t>nyu</t>
        </is>
      </c>
      <c r="S894" t="inlineStr">
        <is>
          <t>Topics in environmental physiology and medicine</t>
        </is>
      </c>
      <c r="T894" t="inlineStr">
        <is>
          <t xml:space="preserve">QP </t>
        </is>
      </c>
      <c r="U894" t="n">
        <v>3</v>
      </c>
      <c r="V894" t="n">
        <v>3</v>
      </c>
      <c r="W894" t="inlineStr">
        <is>
          <t>1999-11-04</t>
        </is>
      </c>
      <c r="X894" t="inlineStr">
        <is>
          <t>1999-11-04</t>
        </is>
      </c>
      <c r="Y894" t="inlineStr">
        <is>
          <t>1994-07-12</t>
        </is>
      </c>
      <c r="Z894" t="inlineStr">
        <is>
          <t>1994-07-12</t>
        </is>
      </c>
      <c r="AA894" t="n">
        <v>373</v>
      </c>
      <c r="AB894" t="n">
        <v>272</v>
      </c>
      <c r="AC894" t="n">
        <v>286</v>
      </c>
      <c r="AD894" t="n">
        <v>2</v>
      </c>
      <c r="AE894" t="n">
        <v>2</v>
      </c>
      <c r="AF894" t="n">
        <v>10</v>
      </c>
      <c r="AG894" t="n">
        <v>11</v>
      </c>
      <c r="AH894" t="n">
        <v>2</v>
      </c>
      <c r="AI894" t="n">
        <v>3</v>
      </c>
      <c r="AJ894" t="n">
        <v>2</v>
      </c>
      <c r="AK894" t="n">
        <v>2</v>
      </c>
      <c r="AL894" t="n">
        <v>8</v>
      </c>
      <c r="AM894" t="n">
        <v>9</v>
      </c>
      <c r="AN894" t="n">
        <v>1</v>
      </c>
      <c r="AO894" t="n">
        <v>1</v>
      </c>
      <c r="AP894" t="n">
        <v>0</v>
      </c>
      <c r="AQ894" t="n">
        <v>0</v>
      </c>
      <c r="AR894" t="inlineStr">
        <is>
          <t>No</t>
        </is>
      </c>
      <c r="AS894" t="inlineStr">
        <is>
          <t>Yes</t>
        </is>
      </c>
      <c r="AT894">
        <f>HYPERLINK("http://catalog.hathitrust.org/Record/000256800","HathiTrust Record")</f>
        <v/>
      </c>
      <c r="AU894">
        <f>HYPERLINK("https://creighton-primo.hosted.exlibrisgroup.com/primo-explore/search?tab=default_tab&amp;search_scope=EVERYTHING&amp;vid=01CRU&amp;lang=en_US&amp;offset=0&amp;query=any,contains,991005257559702656","Catalog Record")</f>
        <v/>
      </c>
      <c r="AV894">
        <f>HYPERLINK("http://www.worldcat.org/oclc/4498107","WorldCat Record")</f>
        <v/>
      </c>
      <c r="AW894" t="inlineStr">
        <is>
          <t>807056036:eng</t>
        </is>
      </c>
      <c r="AX894" t="inlineStr">
        <is>
          <t>4498107</t>
        </is>
      </c>
      <c r="AY894" t="inlineStr">
        <is>
          <t>991005257559702656</t>
        </is>
      </c>
      <c r="AZ894" t="inlineStr">
        <is>
          <t>991005257559702656</t>
        </is>
      </c>
      <c r="BA894" t="inlineStr">
        <is>
          <t>2262869090002656</t>
        </is>
      </c>
      <c r="BB894" t="inlineStr">
        <is>
          <t>BOOK</t>
        </is>
      </c>
      <c r="BE894" t="inlineStr">
        <is>
          <t>32285001549517</t>
        </is>
      </c>
      <c r="BF894" t="inlineStr">
        <is>
          <t>893230454</t>
        </is>
      </c>
    </row>
    <row r="895">
      <c r="B895" t="inlineStr">
        <is>
          <t>CURAL</t>
        </is>
      </c>
      <c r="C895" t="inlineStr">
        <is>
          <t>SHELVES</t>
        </is>
      </c>
      <c r="D895" t="inlineStr">
        <is>
          <t>QP85 .B4413 2002</t>
        </is>
      </c>
      <c r="E895" t="inlineStr">
        <is>
          <t>0                      QP 0085000B  4413        2002</t>
        </is>
      </c>
      <c r="F895" t="inlineStr">
        <is>
          <t>The dream of eternal life : biomedicine, aging, and immortality / Mark Benecke ; translated by Rachel Rubenstein.</t>
        </is>
      </c>
      <c r="H895" t="inlineStr">
        <is>
          <t>No</t>
        </is>
      </c>
      <c r="I895" t="inlineStr">
        <is>
          <t>1</t>
        </is>
      </c>
      <c r="J895" t="inlineStr">
        <is>
          <t>No</t>
        </is>
      </c>
      <c r="K895" t="inlineStr">
        <is>
          <t>No</t>
        </is>
      </c>
      <c r="L895" t="inlineStr">
        <is>
          <t>0</t>
        </is>
      </c>
      <c r="M895" t="inlineStr">
        <is>
          <t>Benecke, Mark.</t>
        </is>
      </c>
      <c r="N895" t="inlineStr">
        <is>
          <t>New York : Columbia University Press, c2002.</t>
        </is>
      </c>
      <c r="O895" t="inlineStr">
        <is>
          <t>2002</t>
        </is>
      </c>
      <c r="Q895" t="inlineStr">
        <is>
          <t>eng</t>
        </is>
      </c>
      <c r="R895" t="inlineStr">
        <is>
          <t>nyu</t>
        </is>
      </c>
      <c r="T895" t="inlineStr">
        <is>
          <t xml:space="preserve">QP </t>
        </is>
      </c>
      <c r="U895" t="n">
        <v>4</v>
      </c>
      <c r="V895" t="n">
        <v>4</v>
      </c>
      <c r="W895" t="inlineStr">
        <is>
          <t>2004-04-05</t>
        </is>
      </c>
      <c r="X895" t="inlineStr">
        <is>
          <t>2004-04-05</t>
        </is>
      </c>
      <c r="Y895" t="inlineStr">
        <is>
          <t>2002-11-18</t>
        </is>
      </c>
      <c r="Z895" t="inlineStr">
        <is>
          <t>2002-11-18</t>
        </is>
      </c>
      <c r="AA895" t="n">
        <v>676</v>
      </c>
      <c r="AB895" t="n">
        <v>624</v>
      </c>
      <c r="AC895" t="n">
        <v>629</v>
      </c>
      <c r="AD895" t="n">
        <v>7</v>
      </c>
      <c r="AE895" t="n">
        <v>7</v>
      </c>
      <c r="AF895" t="n">
        <v>26</v>
      </c>
      <c r="AG895" t="n">
        <v>26</v>
      </c>
      <c r="AH895" t="n">
        <v>13</v>
      </c>
      <c r="AI895" t="n">
        <v>13</v>
      </c>
      <c r="AJ895" t="n">
        <v>4</v>
      </c>
      <c r="AK895" t="n">
        <v>4</v>
      </c>
      <c r="AL895" t="n">
        <v>11</v>
      </c>
      <c r="AM895" t="n">
        <v>11</v>
      </c>
      <c r="AN895" t="n">
        <v>5</v>
      </c>
      <c r="AO895" t="n">
        <v>5</v>
      </c>
      <c r="AP895" t="n">
        <v>0</v>
      </c>
      <c r="AQ895" t="n">
        <v>0</v>
      </c>
      <c r="AR895" t="inlineStr">
        <is>
          <t>No</t>
        </is>
      </c>
      <c r="AS895" t="inlineStr">
        <is>
          <t>No</t>
        </is>
      </c>
      <c r="AU895">
        <f>HYPERLINK("https://creighton-primo.hosted.exlibrisgroup.com/primo-explore/search?tab=default_tab&amp;search_scope=EVERYTHING&amp;vid=01CRU&amp;lang=en_US&amp;offset=0&amp;query=any,contains,991003934729702656","Catalog Record")</f>
        <v/>
      </c>
      <c r="AV895">
        <f>HYPERLINK("http://www.worldcat.org/oclc/47844385","WorldCat Record")</f>
        <v/>
      </c>
      <c r="AW895" t="inlineStr">
        <is>
          <t>991662:eng</t>
        </is>
      </c>
      <c r="AX895" t="inlineStr">
        <is>
          <t>47844385</t>
        </is>
      </c>
      <c r="AY895" t="inlineStr">
        <is>
          <t>991003934729702656</t>
        </is>
      </c>
      <c r="AZ895" t="inlineStr">
        <is>
          <t>991003934729702656</t>
        </is>
      </c>
      <c r="BA895" t="inlineStr">
        <is>
          <t>2260740350002656</t>
        </is>
      </c>
      <c r="BB895" t="inlineStr">
        <is>
          <t>BOOK</t>
        </is>
      </c>
      <c r="BD895" t="inlineStr">
        <is>
          <t>9780231116725</t>
        </is>
      </c>
      <c r="BE895" t="inlineStr">
        <is>
          <t>32285004664156</t>
        </is>
      </c>
      <c r="BF895" t="inlineStr">
        <is>
          <t>893512579</t>
        </is>
      </c>
    </row>
    <row r="896">
      <c r="B896" t="inlineStr">
        <is>
          <t>CURAL</t>
        </is>
      </c>
      <c r="C896" t="inlineStr">
        <is>
          <t>SHELVES</t>
        </is>
      </c>
      <c r="D896" t="inlineStr">
        <is>
          <t>QP85 .F47 1990</t>
        </is>
      </c>
      <c r="E896" t="inlineStr">
        <is>
          <t>0                      QP 0085000F  47          1990</t>
        </is>
      </c>
      <c r="F896" t="inlineStr">
        <is>
          <t>Longevity, senescence, and the genome / Caleb E. Finch.</t>
        </is>
      </c>
      <c r="H896" t="inlineStr">
        <is>
          <t>No</t>
        </is>
      </c>
      <c r="I896" t="inlineStr">
        <is>
          <t>1</t>
        </is>
      </c>
      <c r="J896" t="inlineStr">
        <is>
          <t>No</t>
        </is>
      </c>
      <c r="K896" t="inlineStr">
        <is>
          <t>No</t>
        </is>
      </c>
      <c r="L896" t="inlineStr">
        <is>
          <t>0</t>
        </is>
      </c>
      <c r="M896" t="inlineStr">
        <is>
          <t>Finch, Caleb, 1939-</t>
        </is>
      </c>
      <c r="N896" t="inlineStr">
        <is>
          <t>Chicago : University of Chicago Press, 1990.</t>
        </is>
      </c>
      <c r="O896" t="inlineStr">
        <is>
          <t>1990</t>
        </is>
      </c>
      <c r="Q896" t="inlineStr">
        <is>
          <t>eng</t>
        </is>
      </c>
      <c r="R896" t="inlineStr">
        <is>
          <t>ilu</t>
        </is>
      </c>
      <c r="S896" t="inlineStr">
        <is>
          <t>The John D. and Catherine T. MacArthur Foundation series on mental health and development</t>
        </is>
      </c>
      <c r="T896" t="inlineStr">
        <is>
          <t xml:space="preserve">QP </t>
        </is>
      </c>
      <c r="U896" t="n">
        <v>5</v>
      </c>
      <c r="V896" t="n">
        <v>5</v>
      </c>
      <c r="W896" t="inlineStr">
        <is>
          <t>2007-09-28</t>
        </is>
      </c>
      <c r="X896" t="inlineStr">
        <is>
          <t>2007-09-28</t>
        </is>
      </c>
      <c r="Y896" t="inlineStr">
        <is>
          <t>1991-09-06</t>
        </is>
      </c>
      <c r="Z896" t="inlineStr">
        <is>
          <t>1991-09-06</t>
        </is>
      </c>
      <c r="AA896" t="n">
        <v>509</v>
      </c>
      <c r="AB896" t="n">
        <v>417</v>
      </c>
      <c r="AC896" t="n">
        <v>441</v>
      </c>
      <c r="AD896" t="n">
        <v>4</v>
      </c>
      <c r="AE896" t="n">
        <v>4</v>
      </c>
      <c r="AF896" t="n">
        <v>18</v>
      </c>
      <c r="AG896" t="n">
        <v>19</v>
      </c>
      <c r="AH896" t="n">
        <v>4</v>
      </c>
      <c r="AI896" t="n">
        <v>5</v>
      </c>
      <c r="AJ896" t="n">
        <v>5</v>
      </c>
      <c r="AK896" t="n">
        <v>5</v>
      </c>
      <c r="AL896" t="n">
        <v>11</v>
      </c>
      <c r="AM896" t="n">
        <v>11</v>
      </c>
      <c r="AN896" t="n">
        <v>3</v>
      </c>
      <c r="AO896" t="n">
        <v>3</v>
      </c>
      <c r="AP896" t="n">
        <v>0</v>
      </c>
      <c r="AQ896" t="n">
        <v>0</v>
      </c>
      <c r="AR896" t="inlineStr">
        <is>
          <t>No</t>
        </is>
      </c>
      <c r="AS896" t="inlineStr">
        <is>
          <t>No</t>
        </is>
      </c>
      <c r="AU896">
        <f>HYPERLINK("https://creighton-primo.hosted.exlibrisgroup.com/primo-explore/search?tab=default_tab&amp;search_scope=EVERYTHING&amp;vid=01CRU&amp;lang=en_US&amp;offset=0&amp;query=any,contains,991001752519702656","Catalog Record")</f>
        <v/>
      </c>
      <c r="AV896">
        <f>HYPERLINK("http://www.worldcat.org/oclc/22184003","WorldCat Record")</f>
        <v/>
      </c>
      <c r="AW896" t="inlineStr">
        <is>
          <t>2552514:eng</t>
        </is>
      </c>
      <c r="AX896" t="inlineStr">
        <is>
          <t>22184003</t>
        </is>
      </c>
      <c r="AY896" t="inlineStr">
        <is>
          <t>991001752519702656</t>
        </is>
      </c>
      <c r="AZ896" t="inlineStr">
        <is>
          <t>991001752519702656</t>
        </is>
      </c>
      <c r="BA896" t="inlineStr">
        <is>
          <t>2259331730002656</t>
        </is>
      </c>
      <c r="BB896" t="inlineStr">
        <is>
          <t>BOOK</t>
        </is>
      </c>
      <c r="BD896" t="inlineStr">
        <is>
          <t>9780226248882</t>
        </is>
      </c>
      <c r="BE896" t="inlineStr">
        <is>
          <t>32285000702836</t>
        </is>
      </c>
      <c r="BF896" t="inlineStr">
        <is>
          <t>893346749</t>
        </is>
      </c>
    </row>
    <row r="897">
      <c r="B897" t="inlineStr">
        <is>
          <t>CURAL</t>
        </is>
      </c>
      <c r="C897" t="inlineStr">
        <is>
          <t>SHELVES</t>
        </is>
      </c>
      <c r="D897" t="inlineStr">
        <is>
          <t>QP85 .H255 2003</t>
        </is>
      </c>
      <c r="E897" t="inlineStr">
        <is>
          <t>0                      QP 0085000H  255         2003</t>
        </is>
      </c>
      <c r="F897" t="inlineStr">
        <is>
          <t>Merchants of immortality : chasing the dream of human life extension / Stephen S. Hall.</t>
        </is>
      </c>
      <c r="H897" t="inlineStr">
        <is>
          <t>No</t>
        </is>
      </c>
      <c r="I897" t="inlineStr">
        <is>
          <t>1</t>
        </is>
      </c>
      <c r="J897" t="inlineStr">
        <is>
          <t>Yes</t>
        </is>
      </c>
      <c r="K897" t="inlineStr">
        <is>
          <t>No</t>
        </is>
      </c>
      <c r="L897" t="inlineStr">
        <is>
          <t>0</t>
        </is>
      </c>
      <c r="M897" t="inlineStr">
        <is>
          <t>Hall, Stephen S.</t>
        </is>
      </c>
      <c r="N897" t="inlineStr">
        <is>
          <t>Boston : Houghton Mifflin, 2003.</t>
        </is>
      </c>
      <c r="O897" t="inlineStr">
        <is>
          <t>2003</t>
        </is>
      </c>
      <c r="Q897" t="inlineStr">
        <is>
          <t>eng</t>
        </is>
      </c>
      <c r="R897" t="inlineStr">
        <is>
          <t>mau</t>
        </is>
      </c>
      <c r="T897" t="inlineStr">
        <is>
          <t xml:space="preserve">QP </t>
        </is>
      </c>
      <c r="U897" t="n">
        <v>3</v>
      </c>
      <c r="V897" t="n">
        <v>3</v>
      </c>
      <c r="W897" t="inlineStr">
        <is>
          <t>2007-09-24</t>
        </is>
      </c>
      <c r="X897" t="inlineStr">
        <is>
          <t>2007-09-24</t>
        </is>
      </c>
      <c r="Y897" t="inlineStr">
        <is>
          <t>2003-07-15</t>
        </is>
      </c>
      <c r="Z897" t="inlineStr">
        <is>
          <t>2004-11-08</t>
        </is>
      </c>
      <c r="AA897" t="n">
        <v>983</v>
      </c>
      <c r="AB897" t="n">
        <v>931</v>
      </c>
      <c r="AC897" t="n">
        <v>1441</v>
      </c>
      <c r="AD897" t="n">
        <v>6</v>
      </c>
      <c r="AE897" t="n">
        <v>31</v>
      </c>
      <c r="AF897" t="n">
        <v>25</v>
      </c>
      <c r="AG897" t="n">
        <v>36</v>
      </c>
      <c r="AH897" t="n">
        <v>12</v>
      </c>
      <c r="AI897" t="n">
        <v>15</v>
      </c>
      <c r="AJ897" t="n">
        <v>4</v>
      </c>
      <c r="AK897" t="n">
        <v>4</v>
      </c>
      <c r="AL897" t="n">
        <v>12</v>
      </c>
      <c r="AM897" t="n">
        <v>13</v>
      </c>
      <c r="AN897" t="n">
        <v>3</v>
      </c>
      <c r="AO897" t="n">
        <v>10</v>
      </c>
      <c r="AP897" t="n">
        <v>0</v>
      </c>
      <c r="AQ897" t="n">
        <v>0</v>
      </c>
      <c r="AR897" t="inlineStr">
        <is>
          <t>No</t>
        </is>
      </c>
      <c r="AS897" t="inlineStr">
        <is>
          <t>No</t>
        </is>
      </c>
      <c r="AU897">
        <f>HYPERLINK("https://creighton-primo.hosted.exlibrisgroup.com/primo-explore/search?tab=default_tab&amp;search_scope=EVERYTHING&amp;vid=01CRU&amp;lang=en_US&amp;offset=0&amp;query=any,contains,991001723179702656","Catalog Record")</f>
        <v/>
      </c>
      <c r="AV897">
        <f>HYPERLINK("http://www.worldcat.org/oclc/51171732","WorldCat Record")</f>
        <v/>
      </c>
      <c r="AW897" t="inlineStr">
        <is>
          <t>102048325:eng</t>
        </is>
      </c>
      <c r="AX897" t="inlineStr">
        <is>
          <t>51171732</t>
        </is>
      </c>
      <c r="AY897" t="inlineStr">
        <is>
          <t>991001723179702656</t>
        </is>
      </c>
      <c r="AZ897" t="inlineStr">
        <is>
          <t>991001723179702656</t>
        </is>
      </c>
      <c r="BA897" t="inlineStr">
        <is>
          <t>2263165870002656</t>
        </is>
      </c>
      <c r="BB897" t="inlineStr">
        <is>
          <t>BOOK</t>
        </is>
      </c>
      <c r="BD897" t="inlineStr">
        <is>
          <t>9780618095247</t>
        </is>
      </c>
      <c r="BE897" t="inlineStr">
        <is>
          <t>32285004755798</t>
        </is>
      </c>
      <c r="BF897" t="inlineStr">
        <is>
          <t>893250422</t>
        </is>
      </c>
    </row>
    <row r="898">
      <c r="B898" t="inlineStr">
        <is>
          <t>CURAL</t>
        </is>
      </c>
      <c r="C898" t="inlineStr">
        <is>
          <t>SHELVES</t>
        </is>
      </c>
      <c r="D898" t="inlineStr">
        <is>
          <t>QP85 .S497 1993</t>
        </is>
      </c>
      <c r="E898" t="inlineStr">
        <is>
          <t>0                      QP 0085000S  497         1993</t>
        </is>
      </c>
      <c r="F898" t="inlineStr">
        <is>
          <t>Human longevity / David W.E. Smith.</t>
        </is>
      </c>
      <c r="H898" t="inlineStr">
        <is>
          <t>No</t>
        </is>
      </c>
      <c r="I898" t="inlineStr">
        <is>
          <t>1</t>
        </is>
      </c>
      <c r="J898" t="inlineStr">
        <is>
          <t>No</t>
        </is>
      </c>
      <c r="K898" t="inlineStr">
        <is>
          <t>No</t>
        </is>
      </c>
      <c r="L898" t="inlineStr">
        <is>
          <t>0</t>
        </is>
      </c>
      <c r="M898" t="inlineStr">
        <is>
          <t>Smith, David W. E.</t>
        </is>
      </c>
      <c r="N898" t="inlineStr">
        <is>
          <t>New York : Oxford University Press, 1993.</t>
        </is>
      </c>
      <c r="O898" t="inlineStr">
        <is>
          <t>1993</t>
        </is>
      </c>
      <c r="Q898" t="inlineStr">
        <is>
          <t>eng</t>
        </is>
      </c>
      <c r="R898" t="inlineStr">
        <is>
          <t>nyu</t>
        </is>
      </c>
      <c r="T898" t="inlineStr">
        <is>
          <t xml:space="preserve">QP </t>
        </is>
      </c>
      <c r="U898" t="n">
        <v>2</v>
      </c>
      <c r="V898" t="n">
        <v>2</v>
      </c>
      <c r="W898" t="inlineStr">
        <is>
          <t>2001-12-19</t>
        </is>
      </c>
      <c r="X898" t="inlineStr">
        <is>
          <t>2001-12-19</t>
        </is>
      </c>
      <c r="Y898" t="inlineStr">
        <is>
          <t>1994-05-26</t>
        </is>
      </c>
      <c r="Z898" t="inlineStr">
        <is>
          <t>1994-05-26</t>
        </is>
      </c>
      <c r="AA898" t="n">
        <v>339</v>
      </c>
      <c r="AB898" t="n">
        <v>256</v>
      </c>
      <c r="AC898" t="n">
        <v>263</v>
      </c>
      <c r="AD898" t="n">
        <v>3</v>
      </c>
      <c r="AE898" t="n">
        <v>3</v>
      </c>
      <c r="AF898" t="n">
        <v>12</v>
      </c>
      <c r="AG898" t="n">
        <v>12</v>
      </c>
      <c r="AH898" t="n">
        <v>2</v>
      </c>
      <c r="AI898" t="n">
        <v>2</v>
      </c>
      <c r="AJ898" t="n">
        <v>5</v>
      </c>
      <c r="AK898" t="n">
        <v>5</v>
      </c>
      <c r="AL898" t="n">
        <v>6</v>
      </c>
      <c r="AM898" t="n">
        <v>6</v>
      </c>
      <c r="AN898" t="n">
        <v>2</v>
      </c>
      <c r="AO898" t="n">
        <v>2</v>
      </c>
      <c r="AP898" t="n">
        <v>0</v>
      </c>
      <c r="AQ898" t="n">
        <v>0</v>
      </c>
      <c r="AR898" t="inlineStr">
        <is>
          <t>No</t>
        </is>
      </c>
      <c r="AS898" t="inlineStr">
        <is>
          <t>Yes</t>
        </is>
      </c>
      <c r="AT898">
        <f>HYPERLINK("http://catalog.hathitrust.org/Record/002714407","HathiTrust Record")</f>
        <v/>
      </c>
      <c r="AU898">
        <f>HYPERLINK("https://creighton-primo.hosted.exlibrisgroup.com/primo-explore/search?tab=default_tab&amp;search_scope=EVERYTHING&amp;vid=01CRU&amp;lang=en_US&amp;offset=0&amp;query=any,contains,991002110189702656","Catalog Record")</f>
        <v/>
      </c>
      <c r="AV898">
        <f>HYPERLINK("http://www.worldcat.org/oclc/27036070","WorldCat Record")</f>
        <v/>
      </c>
      <c r="AW898" t="inlineStr">
        <is>
          <t>327993:eng</t>
        </is>
      </c>
      <c r="AX898" t="inlineStr">
        <is>
          <t>27036070</t>
        </is>
      </c>
      <c r="AY898" t="inlineStr">
        <is>
          <t>991002110189702656</t>
        </is>
      </c>
      <c r="AZ898" t="inlineStr">
        <is>
          <t>991002110189702656</t>
        </is>
      </c>
      <c r="BA898" t="inlineStr">
        <is>
          <t>2272505450002656</t>
        </is>
      </c>
      <c r="BB898" t="inlineStr">
        <is>
          <t>BOOK</t>
        </is>
      </c>
      <c r="BD898" t="inlineStr">
        <is>
          <t>9780195083132</t>
        </is>
      </c>
      <c r="BE898" t="inlineStr">
        <is>
          <t>32285001899524</t>
        </is>
      </c>
      <c r="BF898" t="inlineStr">
        <is>
          <t>893523208</t>
        </is>
      </c>
    </row>
    <row r="899">
      <c r="B899" t="inlineStr">
        <is>
          <t>CURAL</t>
        </is>
      </c>
      <c r="C899" t="inlineStr">
        <is>
          <t>SHELVES</t>
        </is>
      </c>
      <c r="D899" t="inlineStr">
        <is>
          <t>QP86 .A358</t>
        </is>
      </c>
      <c r="E899" t="inlineStr">
        <is>
          <t>0                      QP 0086000A  358</t>
        </is>
      </c>
      <c r="F899" t="inlineStr">
        <is>
          <t>Aging / edited by Geraldine M. Emerson.</t>
        </is>
      </c>
      <c r="H899" t="inlineStr">
        <is>
          <t>No</t>
        </is>
      </c>
      <c r="I899" t="inlineStr">
        <is>
          <t>1</t>
        </is>
      </c>
      <c r="J899" t="inlineStr">
        <is>
          <t>No</t>
        </is>
      </c>
      <c r="K899" t="inlineStr">
        <is>
          <t>No</t>
        </is>
      </c>
      <c r="L899" t="inlineStr">
        <is>
          <t>0</t>
        </is>
      </c>
      <c r="N899" t="inlineStr">
        <is>
          <t>Stroudsburg, Pa. : Dowden, Hutchinson &amp; Ross ; [New York] : exclusive distributor, Halsted Press, c1977.</t>
        </is>
      </c>
      <c r="O899" t="inlineStr">
        <is>
          <t>1977</t>
        </is>
      </c>
      <c r="Q899" t="inlineStr">
        <is>
          <t>eng</t>
        </is>
      </c>
      <c r="R899" t="inlineStr">
        <is>
          <t>pau</t>
        </is>
      </c>
      <c r="S899" t="inlineStr">
        <is>
          <t>Benchmark papers in human physiology ; 11</t>
        </is>
      </c>
      <c r="T899" t="inlineStr">
        <is>
          <t xml:space="preserve">QP </t>
        </is>
      </c>
      <c r="U899" t="n">
        <v>3</v>
      </c>
      <c r="V899" t="n">
        <v>3</v>
      </c>
      <c r="W899" t="inlineStr">
        <is>
          <t>1995-10-07</t>
        </is>
      </c>
      <c r="X899" t="inlineStr">
        <is>
          <t>1995-10-07</t>
        </is>
      </c>
      <c r="Y899" t="inlineStr">
        <is>
          <t>1993-09-24</t>
        </is>
      </c>
      <c r="Z899" t="inlineStr">
        <is>
          <t>1993-09-24</t>
        </is>
      </c>
      <c r="AA899" t="n">
        <v>374</v>
      </c>
      <c r="AB899" t="n">
        <v>325</v>
      </c>
      <c r="AC899" t="n">
        <v>332</v>
      </c>
      <c r="AD899" t="n">
        <v>3</v>
      </c>
      <c r="AE899" t="n">
        <v>3</v>
      </c>
      <c r="AF899" t="n">
        <v>10</v>
      </c>
      <c r="AG899" t="n">
        <v>10</v>
      </c>
      <c r="AH899" t="n">
        <v>1</v>
      </c>
      <c r="AI899" t="n">
        <v>1</v>
      </c>
      <c r="AJ899" t="n">
        <v>3</v>
      </c>
      <c r="AK899" t="n">
        <v>3</v>
      </c>
      <c r="AL899" t="n">
        <v>5</v>
      </c>
      <c r="AM899" t="n">
        <v>5</v>
      </c>
      <c r="AN899" t="n">
        <v>2</v>
      </c>
      <c r="AO899" t="n">
        <v>2</v>
      </c>
      <c r="AP899" t="n">
        <v>0</v>
      </c>
      <c r="AQ899" t="n">
        <v>0</v>
      </c>
      <c r="AR899" t="inlineStr">
        <is>
          <t>No</t>
        </is>
      </c>
      <c r="AS899" t="inlineStr">
        <is>
          <t>Yes</t>
        </is>
      </c>
      <c r="AT899">
        <f>HYPERLINK("http://catalog.hathitrust.org/Record/000726612","HathiTrust Record")</f>
        <v/>
      </c>
      <c r="AU899">
        <f>HYPERLINK("https://creighton-primo.hosted.exlibrisgroup.com/primo-explore/search?tab=default_tab&amp;search_scope=EVERYTHING&amp;vid=01CRU&amp;lang=en_US&amp;offset=0&amp;query=any,contains,991004269619702656","Catalog Record")</f>
        <v/>
      </c>
      <c r="AV899">
        <f>HYPERLINK("http://www.worldcat.org/oclc/2874801","WorldCat Record")</f>
        <v/>
      </c>
      <c r="AW899" t="inlineStr">
        <is>
          <t>54454246:eng</t>
        </is>
      </c>
      <c r="AX899" t="inlineStr">
        <is>
          <t>2874801</t>
        </is>
      </c>
      <c r="AY899" t="inlineStr">
        <is>
          <t>991004269619702656</t>
        </is>
      </c>
      <c r="AZ899" t="inlineStr">
        <is>
          <t>991004269619702656</t>
        </is>
      </c>
      <c r="BA899" t="inlineStr">
        <is>
          <t>2257523010002656</t>
        </is>
      </c>
      <c r="BB899" t="inlineStr">
        <is>
          <t>BOOK</t>
        </is>
      </c>
      <c r="BD899" t="inlineStr">
        <is>
          <t>9780879332969</t>
        </is>
      </c>
      <c r="BE899" t="inlineStr">
        <is>
          <t>32285001549525</t>
        </is>
      </c>
      <c r="BF899" t="inlineStr">
        <is>
          <t>893253483</t>
        </is>
      </c>
    </row>
    <row r="900">
      <c r="B900" t="inlineStr">
        <is>
          <t>CURAL</t>
        </is>
      </c>
      <c r="C900" t="inlineStr">
        <is>
          <t>SHELVES</t>
        </is>
      </c>
      <c r="D900" t="inlineStr">
        <is>
          <t>QP86 .A359</t>
        </is>
      </c>
      <c r="E900" t="inlineStr">
        <is>
          <t>0                      QP 0086000A  359</t>
        </is>
      </c>
      <c r="F900" t="inlineStr">
        <is>
          <t>Aging and biological rhythms / edited by Harvey V. Samis, Jr., and Salvatore Capobianco.</t>
        </is>
      </c>
      <c r="H900" t="inlineStr">
        <is>
          <t>No</t>
        </is>
      </c>
      <c r="I900" t="inlineStr">
        <is>
          <t>1</t>
        </is>
      </c>
      <c r="J900" t="inlineStr">
        <is>
          <t>No</t>
        </is>
      </c>
      <c r="K900" t="inlineStr">
        <is>
          <t>No</t>
        </is>
      </c>
      <c r="L900" t="inlineStr">
        <is>
          <t>0</t>
        </is>
      </c>
      <c r="N900" t="inlineStr">
        <is>
          <t>New York : Plenum Press, c1978.</t>
        </is>
      </c>
      <c r="O900" t="inlineStr">
        <is>
          <t>1978</t>
        </is>
      </c>
      <c r="Q900" t="inlineStr">
        <is>
          <t>eng</t>
        </is>
      </c>
      <c r="R900" t="inlineStr">
        <is>
          <t>nyu</t>
        </is>
      </c>
      <c r="S900" t="inlineStr">
        <is>
          <t>Advances in experimental medicine and biology ; v. 108</t>
        </is>
      </c>
      <c r="T900" t="inlineStr">
        <is>
          <t xml:space="preserve">QP </t>
        </is>
      </c>
      <c r="U900" t="n">
        <v>1</v>
      </c>
      <c r="V900" t="n">
        <v>1</v>
      </c>
      <c r="W900" t="inlineStr">
        <is>
          <t>2000-05-09</t>
        </is>
      </c>
      <c r="X900" t="inlineStr">
        <is>
          <t>2000-05-09</t>
        </is>
      </c>
      <c r="Y900" t="inlineStr">
        <is>
          <t>2000-03-18</t>
        </is>
      </c>
      <c r="Z900" t="inlineStr">
        <is>
          <t>2000-03-18</t>
        </is>
      </c>
      <c r="AA900" t="n">
        <v>319</v>
      </c>
      <c r="AB900" t="n">
        <v>250</v>
      </c>
      <c r="AC900" t="n">
        <v>270</v>
      </c>
      <c r="AD900" t="n">
        <v>2</v>
      </c>
      <c r="AE900" t="n">
        <v>2</v>
      </c>
      <c r="AF900" t="n">
        <v>7</v>
      </c>
      <c r="AG900" t="n">
        <v>8</v>
      </c>
      <c r="AH900" t="n">
        <v>2</v>
      </c>
      <c r="AI900" t="n">
        <v>3</v>
      </c>
      <c r="AJ900" t="n">
        <v>4</v>
      </c>
      <c r="AK900" t="n">
        <v>4</v>
      </c>
      <c r="AL900" t="n">
        <v>3</v>
      </c>
      <c r="AM900" t="n">
        <v>4</v>
      </c>
      <c r="AN900" t="n">
        <v>1</v>
      </c>
      <c r="AO900" t="n">
        <v>1</v>
      </c>
      <c r="AP900" t="n">
        <v>0</v>
      </c>
      <c r="AQ900" t="n">
        <v>0</v>
      </c>
      <c r="AR900" t="inlineStr">
        <is>
          <t>No</t>
        </is>
      </c>
      <c r="AS900" t="inlineStr">
        <is>
          <t>Yes</t>
        </is>
      </c>
      <c r="AT900">
        <f>HYPERLINK("http://catalog.hathitrust.org/Record/000176785","HathiTrust Record")</f>
        <v/>
      </c>
      <c r="AU900">
        <f>HYPERLINK("https://creighton-primo.hosted.exlibrisgroup.com/primo-explore/search?tab=default_tab&amp;search_scope=EVERYTHING&amp;vid=01CRU&amp;lang=en_US&amp;offset=0&amp;query=any,contains,991005371969702656","Catalog Record")</f>
        <v/>
      </c>
      <c r="AV900">
        <f>HYPERLINK("http://www.worldcat.org/oclc/4004808","WorldCat Record")</f>
        <v/>
      </c>
      <c r="AW900" t="inlineStr">
        <is>
          <t>510117707:eng</t>
        </is>
      </c>
      <c r="AX900" t="inlineStr">
        <is>
          <t>4004808</t>
        </is>
      </c>
      <c r="AY900" t="inlineStr">
        <is>
          <t>991005371969702656</t>
        </is>
      </c>
      <c r="AZ900" t="inlineStr">
        <is>
          <t>991005371969702656</t>
        </is>
      </c>
      <c r="BA900" t="inlineStr">
        <is>
          <t>2265027700002656</t>
        </is>
      </c>
      <c r="BB900" t="inlineStr">
        <is>
          <t>BOOK</t>
        </is>
      </c>
      <c r="BD900" t="inlineStr">
        <is>
          <t>9780306400315</t>
        </is>
      </c>
      <c r="BE900" t="inlineStr">
        <is>
          <t>32285001549533</t>
        </is>
      </c>
      <c r="BF900" t="inlineStr">
        <is>
          <t>893890127</t>
        </is>
      </c>
    </row>
    <row r="901">
      <c r="B901" t="inlineStr">
        <is>
          <t>CURAL</t>
        </is>
      </c>
      <c r="C901" t="inlineStr">
        <is>
          <t>SHELVES</t>
        </is>
      </c>
      <c r="D901" t="inlineStr">
        <is>
          <t>QP86 .A35918 1985</t>
        </is>
      </c>
      <c r="E901" t="inlineStr">
        <is>
          <t>0                      QP 0086000A  35918       1985</t>
        </is>
      </c>
      <c r="F901" t="inlineStr">
        <is>
          <t>Aging and human performance / edited by Neil Charness.</t>
        </is>
      </c>
      <c r="H901" t="inlineStr">
        <is>
          <t>No</t>
        </is>
      </c>
      <c r="I901" t="inlineStr">
        <is>
          <t>1</t>
        </is>
      </c>
      <c r="J901" t="inlineStr">
        <is>
          <t>No</t>
        </is>
      </c>
      <c r="K901" t="inlineStr">
        <is>
          <t>No</t>
        </is>
      </c>
      <c r="L901" t="inlineStr">
        <is>
          <t>0</t>
        </is>
      </c>
      <c r="N901" t="inlineStr">
        <is>
          <t>Chichester ; New York : Wiley, c1985.</t>
        </is>
      </c>
      <c r="O901" t="inlineStr">
        <is>
          <t>1985</t>
        </is>
      </c>
      <c r="Q901" t="inlineStr">
        <is>
          <t>eng</t>
        </is>
      </c>
      <c r="R901" t="inlineStr">
        <is>
          <t>enk</t>
        </is>
      </c>
      <c r="S901" t="inlineStr">
        <is>
          <t>Wiley series on studies in human performance</t>
        </is>
      </c>
      <c r="T901" t="inlineStr">
        <is>
          <t xml:space="preserve">QP </t>
        </is>
      </c>
      <c r="U901" t="n">
        <v>3</v>
      </c>
      <c r="V901" t="n">
        <v>3</v>
      </c>
      <c r="W901" t="inlineStr">
        <is>
          <t>1997-10-09</t>
        </is>
      </c>
      <c r="X901" t="inlineStr">
        <is>
          <t>1997-10-09</t>
        </is>
      </c>
      <c r="Y901" t="inlineStr">
        <is>
          <t>1995-10-11</t>
        </is>
      </c>
      <c r="Z901" t="inlineStr">
        <is>
          <t>1995-10-11</t>
        </is>
      </c>
      <c r="AA901" t="n">
        <v>551</v>
      </c>
      <c r="AB901" t="n">
        <v>415</v>
      </c>
      <c r="AC901" t="n">
        <v>418</v>
      </c>
      <c r="AD901" t="n">
        <v>6</v>
      </c>
      <c r="AE901" t="n">
        <v>6</v>
      </c>
      <c r="AF901" t="n">
        <v>19</v>
      </c>
      <c r="AG901" t="n">
        <v>19</v>
      </c>
      <c r="AH901" t="n">
        <v>6</v>
      </c>
      <c r="AI901" t="n">
        <v>6</v>
      </c>
      <c r="AJ901" t="n">
        <v>5</v>
      </c>
      <c r="AK901" t="n">
        <v>5</v>
      </c>
      <c r="AL901" t="n">
        <v>10</v>
      </c>
      <c r="AM901" t="n">
        <v>10</v>
      </c>
      <c r="AN901" t="n">
        <v>5</v>
      </c>
      <c r="AO901" t="n">
        <v>5</v>
      </c>
      <c r="AP901" t="n">
        <v>0</v>
      </c>
      <c r="AQ901" t="n">
        <v>0</v>
      </c>
      <c r="AR901" t="inlineStr">
        <is>
          <t>No</t>
        </is>
      </c>
      <c r="AS901" t="inlineStr">
        <is>
          <t>Yes</t>
        </is>
      </c>
      <c r="AT901">
        <f>HYPERLINK("http://catalog.hathitrust.org/Record/000424964","HathiTrust Record")</f>
        <v/>
      </c>
      <c r="AU901">
        <f>HYPERLINK("https://creighton-primo.hosted.exlibrisgroup.com/primo-explore/search?tab=default_tab&amp;search_scope=EVERYTHING&amp;vid=01CRU&amp;lang=en_US&amp;offset=0&amp;query=any,contains,991000574769702656","Catalog Record")</f>
        <v/>
      </c>
      <c r="AV901">
        <f>HYPERLINK("http://www.worldcat.org/oclc/11676806","WorldCat Record")</f>
        <v/>
      </c>
      <c r="AW901" t="inlineStr">
        <is>
          <t>54694378:eng</t>
        </is>
      </c>
      <c r="AX901" t="inlineStr">
        <is>
          <t>11676806</t>
        </is>
      </c>
      <c r="AY901" t="inlineStr">
        <is>
          <t>991000574769702656</t>
        </is>
      </c>
      <c r="AZ901" t="inlineStr">
        <is>
          <t>991000574769702656</t>
        </is>
      </c>
      <c r="BA901" t="inlineStr">
        <is>
          <t>2256704910002656</t>
        </is>
      </c>
      <c r="BB901" t="inlineStr">
        <is>
          <t>BOOK</t>
        </is>
      </c>
      <c r="BD901" t="inlineStr">
        <is>
          <t>9780471900689</t>
        </is>
      </c>
      <c r="BE901" t="inlineStr">
        <is>
          <t>32285001549541</t>
        </is>
      </c>
      <c r="BF901" t="inlineStr">
        <is>
          <t>893528172</t>
        </is>
      </c>
    </row>
    <row r="902">
      <c r="B902" t="inlineStr">
        <is>
          <t>CURAL</t>
        </is>
      </c>
      <c r="C902" t="inlineStr">
        <is>
          <t>SHELVES</t>
        </is>
      </c>
      <c r="D902" t="inlineStr">
        <is>
          <t>QP86 .A38 1982</t>
        </is>
      </c>
      <c r="E902" t="inlineStr">
        <is>
          <t>0                      QP 0086000A  38          1982</t>
        </is>
      </c>
      <c r="F902" t="inlineStr">
        <is>
          <t>Later life / Lewis R. Aiken.</t>
        </is>
      </c>
      <c r="H902" t="inlineStr">
        <is>
          <t>No</t>
        </is>
      </c>
      <c r="I902" t="inlineStr">
        <is>
          <t>1</t>
        </is>
      </c>
      <c r="J902" t="inlineStr">
        <is>
          <t>No</t>
        </is>
      </c>
      <c r="K902" t="inlineStr">
        <is>
          <t>No</t>
        </is>
      </c>
      <c r="L902" t="inlineStr">
        <is>
          <t>0</t>
        </is>
      </c>
      <c r="M902" t="inlineStr">
        <is>
          <t>Aiken, Lewis R., 1931-</t>
        </is>
      </c>
      <c r="N902" t="inlineStr">
        <is>
          <t>New York : Holt, Rinehart, and Winston, c1982.</t>
        </is>
      </c>
      <c r="O902" t="inlineStr">
        <is>
          <t>1982</t>
        </is>
      </c>
      <c r="P902" t="inlineStr">
        <is>
          <t>2nd ed.</t>
        </is>
      </c>
      <c r="Q902" t="inlineStr">
        <is>
          <t>eng</t>
        </is>
      </c>
      <c r="R902" t="inlineStr">
        <is>
          <t>nyu</t>
        </is>
      </c>
      <c r="T902" t="inlineStr">
        <is>
          <t xml:space="preserve">QP </t>
        </is>
      </c>
      <c r="U902" t="n">
        <v>6</v>
      </c>
      <c r="V902" t="n">
        <v>6</v>
      </c>
      <c r="W902" t="inlineStr">
        <is>
          <t>1997-10-09</t>
        </is>
      </c>
      <c r="X902" t="inlineStr">
        <is>
          <t>1997-10-09</t>
        </is>
      </c>
      <c r="Y902" t="inlineStr">
        <is>
          <t>1995-08-14</t>
        </is>
      </c>
      <c r="Z902" t="inlineStr">
        <is>
          <t>1995-08-14</t>
        </is>
      </c>
      <c r="AA902" t="n">
        <v>192</v>
      </c>
      <c r="AB902" t="n">
        <v>152</v>
      </c>
      <c r="AC902" t="n">
        <v>468</v>
      </c>
      <c r="AD902" t="n">
        <v>3</v>
      </c>
      <c r="AE902" t="n">
        <v>5</v>
      </c>
      <c r="AF902" t="n">
        <v>7</v>
      </c>
      <c r="AG902" t="n">
        <v>19</v>
      </c>
      <c r="AH902" t="n">
        <v>5</v>
      </c>
      <c r="AI902" t="n">
        <v>9</v>
      </c>
      <c r="AJ902" t="n">
        <v>0</v>
      </c>
      <c r="AK902" t="n">
        <v>2</v>
      </c>
      <c r="AL902" t="n">
        <v>2</v>
      </c>
      <c r="AM902" t="n">
        <v>9</v>
      </c>
      <c r="AN902" t="n">
        <v>1</v>
      </c>
      <c r="AO902" t="n">
        <v>3</v>
      </c>
      <c r="AP902" t="n">
        <v>0</v>
      </c>
      <c r="AQ902" t="n">
        <v>0</v>
      </c>
      <c r="AR902" t="inlineStr">
        <is>
          <t>No</t>
        </is>
      </c>
      <c r="AS902" t="inlineStr">
        <is>
          <t>Yes</t>
        </is>
      </c>
      <c r="AT902">
        <f>HYPERLINK("http://catalog.hathitrust.org/Record/009916783","HathiTrust Record")</f>
        <v/>
      </c>
      <c r="AU902">
        <f>HYPERLINK("https://creighton-primo.hosted.exlibrisgroup.com/primo-explore/search?tab=default_tab&amp;search_scope=EVERYTHING&amp;vid=01CRU&amp;lang=en_US&amp;offset=0&amp;query=any,contains,991005147059702656","Catalog Record")</f>
        <v/>
      </c>
      <c r="AV902">
        <f>HYPERLINK("http://www.worldcat.org/oclc/7672061","WorldCat Record")</f>
        <v/>
      </c>
      <c r="AW902" t="inlineStr">
        <is>
          <t>3856019677:eng</t>
        </is>
      </c>
      <c r="AX902" t="inlineStr">
        <is>
          <t>7672061</t>
        </is>
      </c>
      <c r="AY902" t="inlineStr">
        <is>
          <t>991005147059702656</t>
        </is>
      </c>
      <c r="AZ902" t="inlineStr">
        <is>
          <t>991005147059702656</t>
        </is>
      </c>
      <c r="BA902" t="inlineStr">
        <is>
          <t>2272514010002656</t>
        </is>
      </c>
      <c r="BB902" t="inlineStr">
        <is>
          <t>BOOK</t>
        </is>
      </c>
      <c r="BD902" t="inlineStr">
        <is>
          <t>9780030597510</t>
        </is>
      </c>
      <c r="BE902" t="inlineStr">
        <is>
          <t>32285002064383</t>
        </is>
      </c>
      <c r="BF902" t="inlineStr">
        <is>
          <t>893594549</t>
        </is>
      </c>
    </row>
    <row r="903">
      <c r="B903" t="inlineStr">
        <is>
          <t>CURAL</t>
        </is>
      </c>
      <c r="C903" t="inlineStr">
        <is>
          <t>SHELVES</t>
        </is>
      </c>
      <c r="D903" t="inlineStr">
        <is>
          <t>QP86 .A97 1997</t>
        </is>
      </c>
      <c r="E903" t="inlineStr">
        <is>
          <t>0                      QP 0086000A  97          1997</t>
        </is>
      </c>
      <c r="F903" t="inlineStr">
        <is>
          <t>Why we age : what science is discovering about the body's journey through life / Steven N. Austad.</t>
        </is>
      </c>
      <c r="H903" t="inlineStr">
        <is>
          <t>No</t>
        </is>
      </c>
      <c r="I903" t="inlineStr">
        <is>
          <t>1</t>
        </is>
      </c>
      <c r="J903" t="inlineStr">
        <is>
          <t>No</t>
        </is>
      </c>
      <c r="K903" t="inlineStr">
        <is>
          <t>No</t>
        </is>
      </c>
      <c r="L903" t="inlineStr">
        <is>
          <t>0</t>
        </is>
      </c>
      <c r="M903" t="inlineStr">
        <is>
          <t>Austad, Steven N., 1946-</t>
        </is>
      </c>
      <c r="N903" t="inlineStr">
        <is>
          <t>New York : J. Wiley &amp; Sons, c1997.</t>
        </is>
      </c>
      <c r="O903" t="inlineStr">
        <is>
          <t>1997</t>
        </is>
      </c>
      <c r="Q903" t="inlineStr">
        <is>
          <t>eng</t>
        </is>
      </c>
      <c r="R903" t="inlineStr">
        <is>
          <t>nyu</t>
        </is>
      </c>
      <c r="T903" t="inlineStr">
        <is>
          <t xml:space="preserve">QP </t>
        </is>
      </c>
      <c r="U903" t="n">
        <v>9</v>
      </c>
      <c r="V903" t="n">
        <v>9</v>
      </c>
      <c r="W903" t="inlineStr">
        <is>
          <t>2007-04-04</t>
        </is>
      </c>
      <c r="X903" t="inlineStr">
        <is>
          <t>2007-04-04</t>
        </is>
      </c>
      <c r="Y903" t="inlineStr">
        <is>
          <t>1998-03-03</t>
        </is>
      </c>
      <c r="Z903" t="inlineStr">
        <is>
          <t>1998-03-03</t>
        </is>
      </c>
      <c r="AA903" t="n">
        <v>1030</v>
      </c>
      <c r="AB903" t="n">
        <v>877</v>
      </c>
      <c r="AC903" t="n">
        <v>1427</v>
      </c>
      <c r="AD903" t="n">
        <v>5</v>
      </c>
      <c r="AE903" t="n">
        <v>6</v>
      </c>
      <c r="AF903" t="n">
        <v>27</v>
      </c>
      <c r="AG903" t="n">
        <v>32</v>
      </c>
      <c r="AH903" t="n">
        <v>12</v>
      </c>
      <c r="AI903" t="n">
        <v>16</v>
      </c>
      <c r="AJ903" t="n">
        <v>7</v>
      </c>
      <c r="AK903" t="n">
        <v>7</v>
      </c>
      <c r="AL903" t="n">
        <v>10</v>
      </c>
      <c r="AM903" t="n">
        <v>11</v>
      </c>
      <c r="AN903" t="n">
        <v>4</v>
      </c>
      <c r="AO903" t="n">
        <v>5</v>
      </c>
      <c r="AP903" t="n">
        <v>0</v>
      </c>
      <c r="AQ903" t="n">
        <v>0</v>
      </c>
      <c r="AR903" t="inlineStr">
        <is>
          <t>No</t>
        </is>
      </c>
      <c r="AS903" t="inlineStr">
        <is>
          <t>No</t>
        </is>
      </c>
      <c r="AU903">
        <f>HYPERLINK("https://creighton-primo.hosted.exlibrisgroup.com/primo-explore/search?tab=default_tab&amp;search_scope=EVERYTHING&amp;vid=01CRU&amp;lang=en_US&amp;offset=0&amp;query=any,contains,991002764979702656","Catalog Record")</f>
        <v/>
      </c>
      <c r="AV903">
        <f>HYPERLINK("http://www.worldcat.org/oclc/36283982","WorldCat Record")</f>
        <v/>
      </c>
      <c r="AW903" t="inlineStr">
        <is>
          <t>548419:eng</t>
        </is>
      </c>
      <c r="AX903" t="inlineStr">
        <is>
          <t>36283982</t>
        </is>
      </c>
      <c r="AY903" t="inlineStr">
        <is>
          <t>991002764979702656</t>
        </is>
      </c>
      <c r="AZ903" t="inlineStr">
        <is>
          <t>991002764979702656</t>
        </is>
      </c>
      <c r="BA903" t="inlineStr">
        <is>
          <t>2272532760002656</t>
        </is>
      </c>
      <c r="BB903" t="inlineStr">
        <is>
          <t>BOOK</t>
        </is>
      </c>
      <c r="BD903" t="inlineStr">
        <is>
          <t>9780471148036</t>
        </is>
      </c>
      <c r="BE903" t="inlineStr">
        <is>
          <t>32285003356333</t>
        </is>
      </c>
      <c r="BF903" t="inlineStr">
        <is>
          <t>893603999</t>
        </is>
      </c>
    </row>
    <row r="904">
      <c r="B904" t="inlineStr">
        <is>
          <t>CURAL</t>
        </is>
      </c>
      <c r="C904" t="inlineStr">
        <is>
          <t>SHELVES</t>
        </is>
      </c>
      <c r="D904" t="inlineStr">
        <is>
          <t>QP86 .B34 1991</t>
        </is>
      </c>
      <c r="E904" t="inlineStr">
        <is>
          <t>0                      QP 0086000B  34          1991</t>
        </is>
      </c>
      <c r="F904" t="inlineStr">
        <is>
          <t>Aging, sex, and DNA repair / Carol Bernstein, Harris Bernstein.</t>
        </is>
      </c>
      <c r="H904" t="inlineStr">
        <is>
          <t>No</t>
        </is>
      </c>
      <c r="I904" t="inlineStr">
        <is>
          <t>1</t>
        </is>
      </c>
      <c r="J904" t="inlineStr">
        <is>
          <t>No</t>
        </is>
      </c>
      <c r="K904" t="inlineStr">
        <is>
          <t>No</t>
        </is>
      </c>
      <c r="L904" t="inlineStr">
        <is>
          <t>0</t>
        </is>
      </c>
      <c r="M904" t="inlineStr">
        <is>
          <t>Bernstein, Carol, 1941-</t>
        </is>
      </c>
      <c r="N904" t="inlineStr">
        <is>
          <t>San Diego : Academic Press, 1991.</t>
        </is>
      </c>
      <c r="O904" t="inlineStr">
        <is>
          <t>1991</t>
        </is>
      </c>
      <c r="Q904" t="inlineStr">
        <is>
          <t>eng</t>
        </is>
      </c>
      <c r="R904" t="inlineStr">
        <is>
          <t>cau</t>
        </is>
      </c>
      <c r="T904" t="inlineStr">
        <is>
          <t xml:space="preserve">QP </t>
        </is>
      </c>
      <c r="U904" t="n">
        <v>10</v>
      </c>
      <c r="V904" t="n">
        <v>10</v>
      </c>
      <c r="W904" t="inlineStr">
        <is>
          <t>2007-09-28</t>
        </is>
      </c>
      <c r="X904" t="inlineStr">
        <is>
          <t>2007-09-28</t>
        </is>
      </c>
      <c r="Y904" t="inlineStr">
        <is>
          <t>1991-08-19</t>
        </is>
      </c>
      <c r="Z904" t="inlineStr">
        <is>
          <t>1991-08-19</t>
        </is>
      </c>
      <c r="AA904" t="n">
        <v>374</v>
      </c>
      <c r="AB904" t="n">
        <v>298</v>
      </c>
      <c r="AC904" t="n">
        <v>332</v>
      </c>
      <c r="AD904" t="n">
        <v>4</v>
      </c>
      <c r="AE904" t="n">
        <v>4</v>
      </c>
      <c r="AF904" t="n">
        <v>14</v>
      </c>
      <c r="AG904" t="n">
        <v>15</v>
      </c>
      <c r="AH904" t="n">
        <v>6</v>
      </c>
      <c r="AI904" t="n">
        <v>6</v>
      </c>
      <c r="AJ904" t="n">
        <v>4</v>
      </c>
      <c r="AK904" t="n">
        <v>5</v>
      </c>
      <c r="AL904" t="n">
        <v>5</v>
      </c>
      <c r="AM904" t="n">
        <v>5</v>
      </c>
      <c r="AN904" t="n">
        <v>3</v>
      </c>
      <c r="AO904" t="n">
        <v>3</v>
      </c>
      <c r="AP904" t="n">
        <v>0</v>
      </c>
      <c r="AQ904" t="n">
        <v>0</v>
      </c>
      <c r="AR904" t="inlineStr">
        <is>
          <t>No</t>
        </is>
      </c>
      <c r="AS904" t="inlineStr">
        <is>
          <t>Yes</t>
        </is>
      </c>
      <c r="AT904">
        <f>HYPERLINK("http://catalog.hathitrust.org/Record/002450285","HathiTrust Record")</f>
        <v/>
      </c>
      <c r="AU904">
        <f>HYPERLINK("https://creighton-primo.hosted.exlibrisgroup.com/primo-explore/search?tab=default_tab&amp;search_scope=EVERYTHING&amp;vid=01CRU&amp;lang=en_US&amp;offset=0&amp;query=any,contains,991001790429702656","Catalog Record")</f>
        <v/>
      </c>
      <c r="AV904">
        <f>HYPERLINK("http://www.worldcat.org/oclc/22542921","WorldCat Record")</f>
        <v/>
      </c>
      <c r="AW904" t="inlineStr">
        <is>
          <t>24588837:eng</t>
        </is>
      </c>
      <c r="AX904" t="inlineStr">
        <is>
          <t>22542921</t>
        </is>
      </c>
      <c r="AY904" t="inlineStr">
        <is>
          <t>991001790429702656</t>
        </is>
      </c>
      <c r="AZ904" t="inlineStr">
        <is>
          <t>991001790429702656</t>
        </is>
      </c>
      <c r="BA904" t="inlineStr">
        <is>
          <t>2266633040002656</t>
        </is>
      </c>
      <c r="BB904" t="inlineStr">
        <is>
          <t>BOOK</t>
        </is>
      </c>
      <c r="BD904" t="inlineStr">
        <is>
          <t>9780120928606</t>
        </is>
      </c>
      <c r="BE904" t="inlineStr">
        <is>
          <t>32285000701085</t>
        </is>
      </c>
      <c r="BF904" t="inlineStr">
        <is>
          <t>893785395</t>
        </is>
      </c>
    </row>
    <row r="905">
      <c r="B905" t="inlineStr">
        <is>
          <t>CURAL</t>
        </is>
      </c>
      <c r="C905" t="inlineStr">
        <is>
          <t>SHELVES</t>
        </is>
      </c>
      <c r="D905" t="inlineStr">
        <is>
          <t>QP86 .B516 1994</t>
        </is>
      </c>
      <c r="E905" t="inlineStr">
        <is>
          <t>0                      QP 0086000B  516         1994</t>
        </is>
      </c>
      <c r="F905" t="inlineStr">
        <is>
          <t>Biological anthropology and aging : perspectives on human variation over the life span / edited by Douglas E. Crews, Ralph M. Garruto.</t>
        </is>
      </c>
      <c r="H905" t="inlineStr">
        <is>
          <t>No</t>
        </is>
      </c>
      <c r="I905" t="inlineStr">
        <is>
          <t>1</t>
        </is>
      </c>
      <c r="J905" t="inlineStr">
        <is>
          <t>No</t>
        </is>
      </c>
      <c r="K905" t="inlineStr">
        <is>
          <t>No</t>
        </is>
      </c>
      <c r="L905" t="inlineStr">
        <is>
          <t>0</t>
        </is>
      </c>
      <c r="N905" t="inlineStr">
        <is>
          <t>New York : Oxford University Press, 1994.</t>
        </is>
      </c>
      <c r="O905" t="inlineStr">
        <is>
          <t>1994</t>
        </is>
      </c>
      <c r="Q905" t="inlineStr">
        <is>
          <t>eng</t>
        </is>
      </c>
      <c r="R905" t="inlineStr">
        <is>
          <t>nyu</t>
        </is>
      </c>
      <c r="T905" t="inlineStr">
        <is>
          <t xml:space="preserve">QP </t>
        </is>
      </c>
      <c r="U905" t="n">
        <v>6</v>
      </c>
      <c r="V905" t="n">
        <v>6</v>
      </c>
      <c r="W905" t="inlineStr">
        <is>
          <t>2000-08-09</t>
        </is>
      </c>
      <c r="X905" t="inlineStr">
        <is>
          <t>2000-08-09</t>
        </is>
      </c>
      <c r="Y905" t="inlineStr">
        <is>
          <t>1994-05-24</t>
        </is>
      </c>
      <c r="Z905" t="inlineStr">
        <is>
          <t>1994-05-24</t>
        </is>
      </c>
      <c r="AA905" t="n">
        <v>392</v>
      </c>
      <c r="AB905" t="n">
        <v>313</v>
      </c>
      <c r="AC905" t="n">
        <v>319</v>
      </c>
      <c r="AD905" t="n">
        <v>3</v>
      </c>
      <c r="AE905" t="n">
        <v>3</v>
      </c>
      <c r="AF905" t="n">
        <v>12</v>
      </c>
      <c r="AG905" t="n">
        <v>12</v>
      </c>
      <c r="AH905" t="n">
        <v>3</v>
      </c>
      <c r="AI905" t="n">
        <v>3</v>
      </c>
      <c r="AJ905" t="n">
        <v>3</v>
      </c>
      <c r="AK905" t="n">
        <v>3</v>
      </c>
      <c r="AL905" t="n">
        <v>8</v>
      </c>
      <c r="AM905" t="n">
        <v>8</v>
      </c>
      <c r="AN905" t="n">
        <v>2</v>
      </c>
      <c r="AO905" t="n">
        <v>2</v>
      </c>
      <c r="AP905" t="n">
        <v>0</v>
      </c>
      <c r="AQ905" t="n">
        <v>0</v>
      </c>
      <c r="AR905" t="inlineStr">
        <is>
          <t>No</t>
        </is>
      </c>
      <c r="AS905" t="inlineStr">
        <is>
          <t>Yes</t>
        </is>
      </c>
      <c r="AT905">
        <f>HYPERLINK("http://catalog.hathitrust.org/Record/002872923","HathiTrust Record")</f>
        <v/>
      </c>
      <c r="AU905">
        <f>HYPERLINK("https://creighton-primo.hosted.exlibrisgroup.com/primo-explore/search?tab=default_tab&amp;search_scope=EVERYTHING&amp;vid=01CRU&amp;lang=en_US&amp;offset=0&amp;query=any,contains,991002189239702656","Catalog Record")</f>
        <v/>
      </c>
      <c r="AV905">
        <f>HYPERLINK("http://www.worldcat.org/oclc/28180779","WorldCat Record")</f>
        <v/>
      </c>
      <c r="AW905" t="inlineStr">
        <is>
          <t>836761115:eng</t>
        </is>
      </c>
      <c r="AX905" t="inlineStr">
        <is>
          <t>28180779</t>
        </is>
      </c>
      <c r="AY905" t="inlineStr">
        <is>
          <t>991002189239702656</t>
        </is>
      </c>
      <c r="AZ905" t="inlineStr">
        <is>
          <t>991002189239702656</t>
        </is>
      </c>
      <c r="BA905" t="inlineStr">
        <is>
          <t>2271628620002656</t>
        </is>
      </c>
      <c r="BB905" t="inlineStr">
        <is>
          <t>BOOK</t>
        </is>
      </c>
      <c r="BD905" t="inlineStr">
        <is>
          <t>9780195068290</t>
        </is>
      </c>
      <c r="BE905" t="inlineStr">
        <is>
          <t>32285001898450</t>
        </is>
      </c>
      <c r="BF905" t="inlineStr">
        <is>
          <t>893804327</t>
        </is>
      </c>
    </row>
    <row r="906">
      <c r="B906" t="inlineStr">
        <is>
          <t>CURAL</t>
        </is>
      </c>
      <c r="C906" t="inlineStr">
        <is>
          <t>SHELVES</t>
        </is>
      </c>
      <c r="D906" t="inlineStr">
        <is>
          <t>QP86 .B518</t>
        </is>
      </c>
      <c r="E906" t="inlineStr">
        <is>
          <t>0                      QP 0086000B  518</t>
        </is>
      </c>
      <c r="F906" t="inlineStr">
        <is>
          <t>The Biology of aging / edited by John A. Behnke, Caleb E. Finch, and Gairdner B. Moment.</t>
        </is>
      </c>
      <c r="H906" t="inlineStr">
        <is>
          <t>No</t>
        </is>
      </c>
      <c r="I906" t="inlineStr">
        <is>
          <t>1</t>
        </is>
      </c>
      <c r="J906" t="inlineStr">
        <is>
          <t>No</t>
        </is>
      </c>
      <c r="K906" t="inlineStr">
        <is>
          <t>No</t>
        </is>
      </c>
      <c r="L906" t="inlineStr">
        <is>
          <t>0</t>
        </is>
      </c>
      <c r="N906" t="inlineStr">
        <is>
          <t>New York : Plenum Press, c1978.</t>
        </is>
      </c>
      <c r="O906" t="inlineStr">
        <is>
          <t>1978</t>
        </is>
      </c>
      <c r="Q906" t="inlineStr">
        <is>
          <t>eng</t>
        </is>
      </c>
      <c r="R906" t="inlineStr">
        <is>
          <t>nyu</t>
        </is>
      </c>
      <c r="T906" t="inlineStr">
        <is>
          <t xml:space="preserve">QP </t>
        </is>
      </c>
      <c r="U906" t="n">
        <v>3</v>
      </c>
      <c r="V906" t="n">
        <v>3</v>
      </c>
      <c r="W906" t="inlineStr">
        <is>
          <t>2007-10-24</t>
        </is>
      </c>
      <c r="X906" t="inlineStr">
        <is>
          <t>2007-10-24</t>
        </is>
      </c>
      <c r="Y906" t="inlineStr">
        <is>
          <t>1995-10-11</t>
        </is>
      </c>
      <c r="Z906" t="inlineStr">
        <is>
          <t>1995-10-11</t>
        </is>
      </c>
      <c r="AA906" t="n">
        <v>762</v>
      </c>
      <c r="AB906" t="n">
        <v>638</v>
      </c>
      <c r="AC906" t="n">
        <v>663</v>
      </c>
      <c r="AD906" t="n">
        <v>7</v>
      </c>
      <c r="AE906" t="n">
        <v>7</v>
      </c>
      <c r="AF906" t="n">
        <v>25</v>
      </c>
      <c r="AG906" t="n">
        <v>26</v>
      </c>
      <c r="AH906" t="n">
        <v>8</v>
      </c>
      <c r="AI906" t="n">
        <v>9</v>
      </c>
      <c r="AJ906" t="n">
        <v>6</v>
      </c>
      <c r="AK906" t="n">
        <v>6</v>
      </c>
      <c r="AL906" t="n">
        <v>12</v>
      </c>
      <c r="AM906" t="n">
        <v>13</v>
      </c>
      <c r="AN906" t="n">
        <v>6</v>
      </c>
      <c r="AO906" t="n">
        <v>6</v>
      </c>
      <c r="AP906" t="n">
        <v>0</v>
      </c>
      <c r="AQ906" t="n">
        <v>0</v>
      </c>
      <c r="AR906" t="inlineStr">
        <is>
          <t>No</t>
        </is>
      </c>
      <c r="AS906" t="inlineStr">
        <is>
          <t>Yes</t>
        </is>
      </c>
      <c r="AT906">
        <f>HYPERLINK("http://catalog.hathitrust.org/Record/000106994","HathiTrust Record")</f>
        <v/>
      </c>
      <c r="AU906">
        <f>HYPERLINK("https://creighton-primo.hosted.exlibrisgroup.com/primo-explore/search?tab=default_tab&amp;search_scope=EVERYTHING&amp;vid=01CRU&amp;lang=en_US&amp;offset=0&amp;query=any,contains,991004566579702656","Catalog Record")</f>
        <v/>
      </c>
      <c r="AV906">
        <f>HYPERLINK("http://www.worldcat.org/oclc/4004639","WorldCat Record")</f>
        <v/>
      </c>
      <c r="AW906" t="inlineStr">
        <is>
          <t>354069620:eng</t>
        </is>
      </c>
      <c r="AX906" t="inlineStr">
        <is>
          <t>4004639</t>
        </is>
      </c>
      <c r="AY906" t="inlineStr">
        <is>
          <t>991004566579702656</t>
        </is>
      </c>
      <c r="AZ906" t="inlineStr">
        <is>
          <t>991004566579702656</t>
        </is>
      </c>
      <c r="BA906" t="inlineStr">
        <is>
          <t>2264864160002656</t>
        </is>
      </c>
      <c r="BB906" t="inlineStr">
        <is>
          <t>BOOK</t>
        </is>
      </c>
      <c r="BD906" t="inlineStr">
        <is>
          <t>9780306311390</t>
        </is>
      </c>
      <c r="BE906" t="inlineStr">
        <is>
          <t>32285001549558</t>
        </is>
      </c>
      <c r="BF906" t="inlineStr">
        <is>
          <t>893801103</t>
        </is>
      </c>
    </row>
    <row r="907">
      <c r="B907" t="inlineStr">
        <is>
          <t>CURAL</t>
        </is>
      </c>
      <c r="C907" t="inlineStr">
        <is>
          <t>SHELVES</t>
        </is>
      </c>
      <c r="D907" t="inlineStr">
        <is>
          <t>QP86 .B83</t>
        </is>
      </c>
      <c r="E907" t="inlineStr">
        <is>
          <t>0                      QP 0086000B  83</t>
        </is>
      </c>
      <c r="F907" t="inlineStr">
        <is>
          <t>Animals, aging, and the aged / Leo K. Bustad.</t>
        </is>
      </c>
      <c r="H907" t="inlineStr">
        <is>
          <t>No</t>
        </is>
      </c>
      <c r="I907" t="inlineStr">
        <is>
          <t>1</t>
        </is>
      </c>
      <c r="J907" t="inlineStr">
        <is>
          <t>No</t>
        </is>
      </c>
      <c r="K907" t="inlineStr">
        <is>
          <t>No</t>
        </is>
      </c>
      <c r="L907" t="inlineStr">
        <is>
          <t>0</t>
        </is>
      </c>
      <c r="M907" t="inlineStr">
        <is>
          <t>Bustad, Leo K.</t>
        </is>
      </c>
      <c r="N907" t="inlineStr">
        <is>
          <t>Minneapolis : University of Minnesota Press, 1980.</t>
        </is>
      </c>
      <c r="O907" t="inlineStr">
        <is>
          <t>1980</t>
        </is>
      </c>
      <c r="Q907" t="inlineStr">
        <is>
          <t>eng</t>
        </is>
      </c>
      <c r="R907" t="inlineStr">
        <is>
          <t>mnu</t>
        </is>
      </c>
      <c r="S907" t="inlineStr">
        <is>
          <t>The Wesley W. Spink lectures on comparative medicine ; v. 5</t>
        </is>
      </c>
      <c r="T907" t="inlineStr">
        <is>
          <t xml:space="preserve">QP </t>
        </is>
      </c>
      <c r="U907" t="n">
        <v>9</v>
      </c>
      <c r="V907" t="n">
        <v>9</v>
      </c>
      <c r="W907" t="inlineStr">
        <is>
          <t>2007-10-01</t>
        </is>
      </c>
      <c r="X907" t="inlineStr">
        <is>
          <t>2007-10-01</t>
        </is>
      </c>
      <c r="Y907" t="inlineStr">
        <is>
          <t>1991-12-06</t>
        </is>
      </c>
      <c r="Z907" t="inlineStr">
        <is>
          <t>1991-12-06</t>
        </is>
      </c>
      <c r="AA907" t="n">
        <v>236</v>
      </c>
      <c r="AB907" t="n">
        <v>199</v>
      </c>
      <c r="AC907" t="n">
        <v>714</v>
      </c>
      <c r="AD907" t="n">
        <v>2</v>
      </c>
      <c r="AE907" t="n">
        <v>6</v>
      </c>
      <c r="AF907" t="n">
        <v>4</v>
      </c>
      <c r="AG907" t="n">
        <v>31</v>
      </c>
      <c r="AH907" t="n">
        <v>1</v>
      </c>
      <c r="AI907" t="n">
        <v>12</v>
      </c>
      <c r="AJ907" t="n">
        <v>1</v>
      </c>
      <c r="AK907" t="n">
        <v>8</v>
      </c>
      <c r="AL907" t="n">
        <v>1</v>
      </c>
      <c r="AM907" t="n">
        <v>11</v>
      </c>
      <c r="AN907" t="n">
        <v>1</v>
      </c>
      <c r="AO907" t="n">
        <v>5</v>
      </c>
      <c r="AP907" t="n">
        <v>0</v>
      </c>
      <c r="AQ907" t="n">
        <v>1</v>
      </c>
      <c r="AR907" t="inlineStr">
        <is>
          <t>No</t>
        </is>
      </c>
      <c r="AS907" t="inlineStr">
        <is>
          <t>Yes</t>
        </is>
      </c>
      <c r="AT907">
        <f>HYPERLINK("http://catalog.hathitrust.org/Record/000138360","HathiTrust Record")</f>
        <v/>
      </c>
      <c r="AU907">
        <f>HYPERLINK("https://creighton-primo.hosted.exlibrisgroup.com/primo-explore/search?tab=default_tab&amp;search_scope=EVERYTHING&amp;vid=01CRU&amp;lang=en_US&amp;offset=0&amp;query=any,contains,991005043069702656","Catalog Record")</f>
        <v/>
      </c>
      <c r="AV907">
        <f>HYPERLINK("http://www.worldcat.org/oclc/6813198","WorldCat Record")</f>
        <v/>
      </c>
      <c r="AW907" t="inlineStr">
        <is>
          <t>23867313:eng</t>
        </is>
      </c>
      <c r="AX907" t="inlineStr">
        <is>
          <t>6813198</t>
        </is>
      </c>
      <c r="AY907" t="inlineStr">
        <is>
          <t>991005043069702656</t>
        </is>
      </c>
      <c r="AZ907" t="inlineStr">
        <is>
          <t>991005043069702656</t>
        </is>
      </c>
      <c r="BA907" t="inlineStr">
        <is>
          <t>2268293200002656</t>
        </is>
      </c>
      <c r="BB907" t="inlineStr">
        <is>
          <t>BOOK</t>
        </is>
      </c>
      <c r="BE907" t="inlineStr">
        <is>
          <t>32285000655000</t>
        </is>
      </c>
      <c r="BF907" t="inlineStr">
        <is>
          <t>893260468</t>
        </is>
      </c>
    </row>
    <row r="908">
      <c r="B908" t="inlineStr">
        <is>
          <t>CURAL</t>
        </is>
      </c>
      <c r="C908" t="inlineStr">
        <is>
          <t>SHELVES</t>
        </is>
      </c>
      <c r="D908" t="inlineStr">
        <is>
          <t>QP86 .C18 1981</t>
        </is>
      </c>
      <c r="E908" t="inlineStr">
        <is>
          <t>0                      QP 0086000C  18          1981</t>
        </is>
      </c>
      <c r="F908" t="inlineStr">
        <is>
          <t>CRC handbook of biochemistry in aging / editor, James R. Florini.</t>
        </is>
      </c>
      <c r="H908" t="inlineStr">
        <is>
          <t>No</t>
        </is>
      </c>
      <c r="I908" t="inlineStr">
        <is>
          <t>1</t>
        </is>
      </c>
      <c r="J908" t="inlineStr">
        <is>
          <t>Yes</t>
        </is>
      </c>
      <c r="K908" t="inlineStr">
        <is>
          <t>No</t>
        </is>
      </c>
      <c r="L908" t="inlineStr">
        <is>
          <t>0</t>
        </is>
      </c>
      <c r="N908" t="inlineStr">
        <is>
          <t>Boca Raton, Fla. : CRC Press, c1981.</t>
        </is>
      </c>
      <c r="O908" t="inlineStr">
        <is>
          <t>1981</t>
        </is>
      </c>
      <c r="Q908" t="inlineStr">
        <is>
          <t>eng</t>
        </is>
      </c>
      <c r="R908" t="inlineStr">
        <is>
          <t>flu</t>
        </is>
      </c>
      <c r="S908" t="inlineStr">
        <is>
          <t>CRC series in aging</t>
        </is>
      </c>
      <c r="T908" t="inlineStr">
        <is>
          <t xml:space="preserve">QP </t>
        </is>
      </c>
      <c r="U908" t="n">
        <v>3</v>
      </c>
      <c r="V908" t="n">
        <v>3</v>
      </c>
      <c r="W908" t="inlineStr">
        <is>
          <t>2000-12-15</t>
        </is>
      </c>
      <c r="X908" t="inlineStr">
        <is>
          <t>2000-12-15</t>
        </is>
      </c>
      <c r="Y908" t="inlineStr">
        <is>
          <t>1993-02-26</t>
        </is>
      </c>
      <c r="Z908" t="inlineStr">
        <is>
          <t>1993-02-26</t>
        </is>
      </c>
      <c r="AA908" t="n">
        <v>316</v>
      </c>
      <c r="AB908" t="n">
        <v>261</v>
      </c>
      <c r="AC908" t="n">
        <v>264</v>
      </c>
      <c r="AD908" t="n">
        <v>3</v>
      </c>
      <c r="AE908" t="n">
        <v>3</v>
      </c>
      <c r="AF908" t="n">
        <v>10</v>
      </c>
      <c r="AG908" t="n">
        <v>10</v>
      </c>
      <c r="AH908" t="n">
        <v>3</v>
      </c>
      <c r="AI908" t="n">
        <v>3</v>
      </c>
      <c r="AJ908" t="n">
        <v>1</v>
      </c>
      <c r="AK908" t="n">
        <v>1</v>
      </c>
      <c r="AL908" t="n">
        <v>8</v>
      </c>
      <c r="AM908" t="n">
        <v>8</v>
      </c>
      <c r="AN908" t="n">
        <v>1</v>
      </c>
      <c r="AO908" t="n">
        <v>1</v>
      </c>
      <c r="AP908" t="n">
        <v>0</v>
      </c>
      <c r="AQ908" t="n">
        <v>0</v>
      </c>
      <c r="AR908" t="inlineStr">
        <is>
          <t>No</t>
        </is>
      </c>
      <c r="AS908" t="inlineStr">
        <is>
          <t>Yes</t>
        </is>
      </c>
      <c r="AT908">
        <f>HYPERLINK("http://catalog.hathitrust.org/Record/000181279","HathiTrust Record")</f>
        <v/>
      </c>
      <c r="AU908">
        <f>HYPERLINK("https://creighton-primo.hosted.exlibrisgroup.com/primo-explore/search?tab=default_tab&amp;search_scope=EVERYTHING&amp;vid=01CRU&amp;lang=en_US&amp;offset=0&amp;query=any,contains,991005040319702656","Catalog Record")</f>
        <v/>
      </c>
      <c r="AV908">
        <f>HYPERLINK("http://www.worldcat.org/oclc/6789975","WorldCat Record")</f>
        <v/>
      </c>
      <c r="AW908" t="inlineStr">
        <is>
          <t>508444:eng</t>
        </is>
      </c>
      <c r="AX908" t="inlineStr">
        <is>
          <t>6789975</t>
        </is>
      </c>
      <c r="AY908" t="inlineStr">
        <is>
          <t>991005040319702656</t>
        </is>
      </c>
      <c r="AZ908" t="inlineStr">
        <is>
          <t>991005040319702656</t>
        </is>
      </c>
      <c r="BA908" t="inlineStr">
        <is>
          <t>2263791140002656</t>
        </is>
      </c>
      <c r="BB908" t="inlineStr">
        <is>
          <t>BOOK</t>
        </is>
      </c>
      <c r="BD908" t="inlineStr">
        <is>
          <t>9780849331411</t>
        </is>
      </c>
      <c r="BE908" t="inlineStr">
        <is>
          <t>32285001549566</t>
        </is>
      </c>
      <c r="BF908" t="inlineStr">
        <is>
          <t>893883248</t>
        </is>
      </c>
    </row>
    <row r="909">
      <c r="B909" t="inlineStr">
        <is>
          <t>CURAL</t>
        </is>
      </c>
      <c r="C909" t="inlineStr">
        <is>
          <t>SHELVES</t>
        </is>
      </c>
      <c r="D909" t="inlineStr">
        <is>
          <t>QP86 .C48</t>
        </is>
      </c>
      <c r="E909" t="inlineStr">
        <is>
          <t>0                      QP 0086000C  48</t>
        </is>
      </c>
      <c r="F909" t="inlineStr">
        <is>
          <t>Human ageing : selected readings / edited by Sheila M. Chown.</t>
        </is>
      </c>
      <c r="H909" t="inlineStr">
        <is>
          <t>No</t>
        </is>
      </c>
      <c r="I909" t="inlineStr">
        <is>
          <t>1</t>
        </is>
      </c>
      <c r="J909" t="inlineStr">
        <is>
          <t>No</t>
        </is>
      </c>
      <c r="K909" t="inlineStr">
        <is>
          <t>No</t>
        </is>
      </c>
      <c r="L909" t="inlineStr">
        <is>
          <t>0</t>
        </is>
      </c>
      <c r="M909" t="inlineStr">
        <is>
          <t>Chown, Sheila M. compiler.</t>
        </is>
      </c>
      <c r="N909" t="inlineStr">
        <is>
          <t>[Harmondsworth, Eng. ; Baltimore] : Penguin Books, [1972]</t>
        </is>
      </c>
      <c r="O909" t="inlineStr">
        <is>
          <t>1972</t>
        </is>
      </c>
      <c r="Q909" t="inlineStr">
        <is>
          <t>eng</t>
        </is>
      </c>
      <c r="R909" t="inlineStr">
        <is>
          <t>enk</t>
        </is>
      </c>
      <c r="S909" t="inlineStr">
        <is>
          <t>Penguin Education</t>
        </is>
      </c>
      <c r="T909" t="inlineStr">
        <is>
          <t xml:space="preserve">QP </t>
        </is>
      </c>
      <c r="U909" t="n">
        <v>2</v>
      </c>
      <c r="V909" t="n">
        <v>2</v>
      </c>
      <c r="W909" t="inlineStr">
        <is>
          <t>1998-10-11</t>
        </is>
      </c>
      <c r="X909" t="inlineStr">
        <is>
          <t>1998-10-11</t>
        </is>
      </c>
      <c r="Y909" t="inlineStr">
        <is>
          <t>1993-11-02</t>
        </is>
      </c>
      <c r="Z909" t="inlineStr">
        <is>
          <t>1993-11-02</t>
        </is>
      </c>
      <c r="AA909" t="n">
        <v>384</v>
      </c>
      <c r="AB909" t="n">
        <v>278</v>
      </c>
      <c r="AC909" t="n">
        <v>280</v>
      </c>
      <c r="AD909" t="n">
        <v>5</v>
      </c>
      <c r="AE909" t="n">
        <v>5</v>
      </c>
      <c r="AF909" t="n">
        <v>11</v>
      </c>
      <c r="AG909" t="n">
        <v>11</v>
      </c>
      <c r="AH909" t="n">
        <v>4</v>
      </c>
      <c r="AI909" t="n">
        <v>4</v>
      </c>
      <c r="AJ909" t="n">
        <v>3</v>
      </c>
      <c r="AK909" t="n">
        <v>3</v>
      </c>
      <c r="AL909" t="n">
        <v>3</v>
      </c>
      <c r="AM909" t="n">
        <v>3</v>
      </c>
      <c r="AN909" t="n">
        <v>3</v>
      </c>
      <c r="AO909" t="n">
        <v>3</v>
      </c>
      <c r="AP909" t="n">
        <v>0</v>
      </c>
      <c r="AQ909" t="n">
        <v>0</v>
      </c>
      <c r="AR909" t="inlineStr">
        <is>
          <t>No</t>
        </is>
      </c>
      <c r="AS909" t="inlineStr">
        <is>
          <t>Yes</t>
        </is>
      </c>
      <c r="AT909">
        <f>HYPERLINK("http://catalog.hathitrust.org/Record/001553505","HathiTrust Record")</f>
        <v/>
      </c>
      <c r="AU909">
        <f>HYPERLINK("https://creighton-primo.hosted.exlibrisgroup.com/primo-explore/search?tab=default_tab&amp;search_scope=EVERYTHING&amp;vid=01CRU&amp;lang=en_US&amp;offset=0&amp;query=any,contains,991003056279702656","Catalog Record")</f>
        <v/>
      </c>
      <c r="AV909">
        <f>HYPERLINK("http://www.worldcat.org/oclc/614469","WorldCat Record")</f>
        <v/>
      </c>
      <c r="AW909" t="inlineStr">
        <is>
          <t>1146407609:eng</t>
        </is>
      </c>
      <c r="AX909" t="inlineStr">
        <is>
          <t>614469</t>
        </is>
      </c>
      <c r="AY909" t="inlineStr">
        <is>
          <t>991003056279702656</t>
        </is>
      </c>
      <c r="AZ909" t="inlineStr">
        <is>
          <t>991003056279702656</t>
        </is>
      </c>
      <c r="BA909" t="inlineStr">
        <is>
          <t>2270185090002656</t>
        </is>
      </c>
      <c r="BB909" t="inlineStr">
        <is>
          <t>BOOK</t>
        </is>
      </c>
      <c r="BD909" t="inlineStr">
        <is>
          <t>9780140805284</t>
        </is>
      </c>
      <c r="BE909" t="inlineStr">
        <is>
          <t>32285001795813</t>
        </is>
      </c>
      <c r="BF909" t="inlineStr">
        <is>
          <t>893799343</t>
        </is>
      </c>
    </row>
    <row r="910">
      <c r="B910" t="inlineStr">
        <is>
          <t>CURAL</t>
        </is>
      </c>
      <c r="C910" t="inlineStr">
        <is>
          <t>SHELVES</t>
        </is>
      </c>
      <c r="D910" t="inlineStr">
        <is>
          <t>QP86 .C57 1978</t>
        </is>
      </c>
      <c r="E910" t="inlineStr">
        <is>
          <t>0                      QP 0086000C  57          1978</t>
        </is>
      </c>
      <c r="F910" t="inlineStr">
        <is>
          <t>The biology of senescence / Alex Comfort.</t>
        </is>
      </c>
      <c r="H910" t="inlineStr">
        <is>
          <t>No</t>
        </is>
      </c>
      <c r="I910" t="inlineStr">
        <is>
          <t>1</t>
        </is>
      </c>
      <c r="J910" t="inlineStr">
        <is>
          <t>Yes</t>
        </is>
      </c>
      <c r="K910" t="inlineStr">
        <is>
          <t>No</t>
        </is>
      </c>
      <c r="L910" t="inlineStr">
        <is>
          <t>0</t>
        </is>
      </c>
      <c r="M910" t="inlineStr">
        <is>
          <t>Comfort, Alex, 1920-2000.</t>
        </is>
      </c>
      <c r="N910" t="inlineStr">
        <is>
          <t>New York : Elsevier, 1979.</t>
        </is>
      </c>
      <c r="O910" t="inlineStr">
        <is>
          <t>1979</t>
        </is>
      </c>
      <c r="Q910" t="inlineStr">
        <is>
          <t>eng</t>
        </is>
      </c>
      <c r="R910" t="inlineStr">
        <is>
          <t>nyu</t>
        </is>
      </c>
      <c r="T910" t="inlineStr">
        <is>
          <t xml:space="preserve">QP </t>
        </is>
      </c>
      <c r="U910" t="n">
        <v>3</v>
      </c>
      <c r="V910" t="n">
        <v>4</v>
      </c>
      <c r="W910" t="inlineStr">
        <is>
          <t>1993-09-29</t>
        </is>
      </c>
      <c r="X910" t="inlineStr">
        <is>
          <t>1996-01-24</t>
        </is>
      </c>
      <c r="Y910" t="inlineStr">
        <is>
          <t>1993-02-26</t>
        </is>
      </c>
      <c r="Z910" t="inlineStr">
        <is>
          <t>1993-02-26</t>
        </is>
      </c>
      <c r="AA910" t="n">
        <v>379</v>
      </c>
      <c r="AB910" t="n">
        <v>332</v>
      </c>
      <c r="AC910" t="n">
        <v>499</v>
      </c>
      <c r="AD910" t="n">
        <v>3</v>
      </c>
      <c r="AE910" t="n">
        <v>4</v>
      </c>
      <c r="AF910" t="n">
        <v>8</v>
      </c>
      <c r="AG910" t="n">
        <v>16</v>
      </c>
      <c r="AH910" t="n">
        <v>4</v>
      </c>
      <c r="AI910" t="n">
        <v>8</v>
      </c>
      <c r="AJ910" t="n">
        <v>2</v>
      </c>
      <c r="AK910" t="n">
        <v>3</v>
      </c>
      <c r="AL910" t="n">
        <v>5</v>
      </c>
      <c r="AM910" t="n">
        <v>8</v>
      </c>
      <c r="AN910" t="n">
        <v>1</v>
      </c>
      <c r="AO910" t="n">
        <v>2</v>
      </c>
      <c r="AP910" t="n">
        <v>0</v>
      </c>
      <c r="AQ910" t="n">
        <v>0</v>
      </c>
      <c r="AR910" t="inlineStr">
        <is>
          <t>No</t>
        </is>
      </c>
      <c r="AS910" t="inlineStr">
        <is>
          <t>Yes</t>
        </is>
      </c>
      <c r="AT910">
        <f>HYPERLINK("http://catalog.hathitrust.org/Record/000175449","HathiTrust Record")</f>
        <v/>
      </c>
      <c r="AU910">
        <f>HYPERLINK("https://creighton-primo.hosted.exlibrisgroup.com/primo-explore/search?tab=default_tab&amp;search_scope=EVERYTHING&amp;vid=01CRU&amp;lang=en_US&amp;offset=0&amp;query=any,contains,991001758179702656","Catalog Record")</f>
        <v/>
      </c>
      <c r="AV910">
        <f>HYPERLINK("http://www.worldcat.org/oclc/3966144","WorldCat Record")</f>
        <v/>
      </c>
      <c r="AW910" t="inlineStr">
        <is>
          <t>52364900:eng</t>
        </is>
      </c>
      <c r="AX910" t="inlineStr">
        <is>
          <t>3966144</t>
        </is>
      </c>
      <c r="AY910" t="inlineStr">
        <is>
          <t>991001758179702656</t>
        </is>
      </c>
      <c r="AZ910" t="inlineStr">
        <is>
          <t>991001758179702656</t>
        </is>
      </c>
      <c r="BA910" t="inlineStr">
        <is>
          <t>2263871340002656</t>
        </is>
      </c>
      <c r="BB910" t="inlineStr">
        <is>
          <t>BOOK</t>
        </is>
      </c>
      <c r="BD910" t="inlineStr">
        <is>
          <t>9780444002662</t>
        </is>
      </c>
      <c r="BE910" t="inlineStr">
        <is>
          <t>32285001549574</t>
        </is>
      </c>
      <c r="BF910" t="inlineStr">
        <is>
          <t>893721133</t>
        </is>
      </c>
    </row>
    <row r="911">
      <c r="B911" t="inlineStr">
        <is>
          <t>CURAL</t>
        </is>
      </c>
      <c r="C911" t="inlineStr">
        <is>
          <t>SHELVES</t>
        </is>
      </c>
      <c r="D911" t="inlineStr">
        <is>
          <t>QP86 .C86 1988</t>
        </is>
      </c>
      <c r="E911" t="inlineStr">
        <is>
          <t>0                      QP 0086000C  86          1988</t>
        </is>
      </c>
      <c r="F911" t="inlineStr">
        <is>
          <t>Gerontology : the psychology, biology, and sociology of aging / Walter R. Cunningham, John W. Brookbank.</t>
        </is>
      </c>
      <c r="H911" t="inlineStr">
        <is>
          <t>No</t>
        </is>
      </c>
      <c r="I911" t="inlineStr">
        <is>
          <t>1</t>
        </is>
      </c>
      <c r="J911" t="inlineStr">
        <is>
          <t>Yes</t>
        </is>
      </c>
      <c r="K911" t="inlineStr">
        <is>
          <t>No</t>
        </is>
      </c>
      <c r="L911" t="inlineStr">
        <is>
          <t>0</t>
        </is>
      </c>
      <c r="M911" t="inlineStr">
        <is>
          <t>Cunningham, Walter R.</t>
        </is>
      </c>
      <c r="N911" t="inlineStr">
        <is>
          <t>New York : Harper &amp; Row, c1988.</t>
        </is>
      </c>
      <c r="O911" t="inlineStr">
        <is>
          <t>1988</t>
        </is>
      </c>
      <c r="Q911" t="inlineStr">
        <is>
          <t>eng</t>
        </is>
      </c>
      <c r="R911" t="inlineStr">
        <is>
          <t>nyu</t>
        </is>
      </c>
      <c r="T911" t="inlineStr">
        <is>
          <t xml:space="preserve">QP </t>
        </is>
      </c>
      <c r="U911" t="n">
        <v>1</v>
      </c>
      <c r="V911" t="n">
        <v>8</v>
      </c>
      <c r="W911" t="inlineStr">
        <is>
          <t>2005-09-22</t>
        </is>
      </c>
      <c r="X911" t="inlineStr">
        <is>
          <t>2005-09-22</t>
        </is>
      </c>
      <c r="Y911" t="inlineStr">
        <is>
          <t>1992-04-08</t>
        </is>
      </c>
      <c r="Z911" t="inlineStr">
        <is>
          <t>1992-09-25</t>
        </is>
      </c>
      <c r="AA911" t="n">
        <v>236</v>
      </c>
      <c r="AB911" t="n">
        <v>181</v>
      </c>
      <c r="AC911" t="n">
        <v>183</v>
      </c>
      <c r="AD911" t="n">
        <v>2</v>
      </c>
      <c r="AE911" t="n">
        <v>2</v>
      </c>
      <c r="AF911" t="n">
        <v>3</v>
      </c>
      <c r="AG911" t="n">
        <v>3</v>
      </c>
      <c r="AH911" t="n">
        <v>0</v>
      </c>
      <c r="AI911" t="n">
        <v>0</v>
      </c>
      <c r="AJ911" t="n">
        <v>2</v>
      </c>
      <c r="AK911" t="n">
        <v>2</v>
      </c>
      <c r="AL911" t="n">
        <v>2</v>
      </c>
      <c r="AM911" t="n">
        <v>2</v>
      </c>
      <c r="AN911" t="n">
        <v>0</v>
      </c>
      <c r="AO911" t="n">
        <v>0</v>
      </c>
      <c r="AP911" t="n">
        <v>0</v>
      </c>
      <c r="AQ911" t="n">
        <v>0</v>
      </c>
      <c r="AR911" t="inlineStr">
        <is>
          <t>No</t>
        </is>
      </c>
      <c r="AS911" t="inlineStr">
        <is>
          <t>Yes</t>
        </is>
      </c>
      <c r="AT911">
        <f>HYPERLINK("http://catalog.hathitrust.org/Record/000906507","HathiTrust Record")</f>
        <v/>
      </c>
      <c r="AU911">
        <f>HYPERLINK("https://creighton-primo.hosted.exlibrisgroup.com/primo-explore/search?tab=default_tab&amp;search_scope=EVERYTHING&amp;vid=01CRU&amp;lang=en_US&amp;offset=0&amp;query=any,contains,991001796599702656","Catalog Record")</f>
        <v/>
      </c>
      <c r="AV911">
        <f>HYPERLINK("http://www.worldcat.org/oclc/16276212","WorldCat Record")</f>
        <v/>
      </c>
      <c r="AW911" t="inlineStr">
        <is>
          <t>312167850:eng</t>
        </is>
      </c>
      <c r="AX911" t="inlineStr">
        <is>
          <t>16276212</t>
        </is>
      </c>
      <c r="AY911" t="inlineStr">
        <is>
          <t>991001796599702656</t>
        </is>
      </c>
      <c r="AZ911" t="inlineStr">
        <is>
          <t>991001796599702656</t>
        </is>
      </c>
      <c r="BA911" t="inlineStr">
        <is>
          <t>2261960120002656</t>
        </is>
      </c>
      <c r="BB911" t="inlineStr">
        <is>
          <t>BOOK</t>
        </is>
      </c>
      <c r="BD911" t="inlineStr">
        <is>
          <t>9780060414559</t>
        </is>
      </c>
      <c r="BE911" t="inlineStr">
        <is>
          <t>32285001056141</t>
        </is>
      </c>
      <c r="BF911" t="inlineStr">
        <is>
          <t>893885564</t>
        </is>
      </c>
    </row>
    <row r="912">
      <c r="B912" t="inlineStr">
        <is>
          <t>CURAL</t>
        </is>
      </c>
      <c r="C912" t="inlineStr">
        <is>
          <t>SHELVES</t>
        </is>
      </c>
      <c r="D912" t="inlineStr">
        <is>
          <t>QP86 .D54 1994</t>
        </is>
      </c>
      <c r="E912" t="inlineStr">
        <is>
          <t>0                      QP 0086000D  54          1994</t>
        </is>
      </c>
      <c r="F912" t="inlineStr">
        <is>
          <t>Human aging : biological perspectives / Augustine Gaspar DiGiovanna.</t>
        </is>
      </c>
      <c r="H912" t="inlineStr">
        <is>
          <t>No</t>
        </is>
      </c>
      <c r="I912" t="inlineStr">
        <is>
          <t>1</t>
        </is>
      </c>
      <c r="J912" t="inlineStr">
        <is>
          <t>No</t>
        </is>
      </c>
      <c r="K912" t="inlineStr">
        <is>
          <t>No</t>
        </is>
      </c>
      <c r="L912" t="inlineStr">
        <is>
          <t>0</t>
        </is>
      </c>
      <c r="M912" t="inlineStr">
        <is>
          <t>DiGiovanna, Augustine Gaspar.</t>
        </is>
      </c>
      <c r="N912" t="inlineStr">
        <is>
          <t>New York : McGraw-Hill, c1994.</t>
        </is>
      </c>
      <c r="O912" t="inlineStr">
        <is>
          <t>1994</t>
        </is>
      </c>
      <c r="Q912" t="inlineStr">
        <is>
          <t>eng</t>
        </is>
      </c>
      <c r="R912" t="inlineStr">
        <is>
          <t>nyu</t>
        </is>
      </c>
      <c r="T912" t="inlineStr">
        <is>
          <t xml:space="preserve">QP </t>
        </is>
      </c>
      <c r="U912" t="n">
        <v>11</v>
      </c>
      <c r="V912" t="n">
        <v>11</v>
      </c>
      <c r="W912" t="inlineStr">
        <is>
          <t>2004-06-09</t>
        </is>
      </c>
      <c r="X912" t="inlineStr">
        <is>
          <t>2004-06-09</t>
        </is>
      </c>
      <c r="Y912" t="inlineStr">
        <is>
          <t>1994-01-11</t>
        </is>
      </c>
      <c r="Z912" t="inlineStr">
        <is>
          <t>1994-01-11</t>
        </is>
      </c>
      <c r="AA912" t="n">
        <v>462</v>
      </c>
      <c r="AB912" t="n">
        <v>396</v>
      </c>
      <c r="AC912" t="n">
        <v>457</v>
      </c>
      <c r="AD912" t="n">
        <v>4</v>
      </c>
      <c r="AE912" t="n">
        <v>4</v>
      </c>
      <c r="AF912" t="n">
        <v>18</v>
      </c>
      <c r="AG912" t="n">
        <v>21</v>
      </c>
      <c r="AH912" t="n">
        <v>8</v>
      </c>
      <c r="AI912" t="n">
        <v>11</v>
      </c>
      <c r="AJ912" t="n">
        <v>1</v>
      </c>
      <c r="AK912" t="n">
        <v>1</v>
      </c>
      <c r="AL912" t="n">
        <v>10</v>
      </c>
      <c r="AM912" t="n">
        <v>11</v>
      </c>
      <c r="AN912" t="n">
        <v>3</v>
      </c>
      <c r="AO912" t="n">
        <v>3</v>
      </c>
      <c r="AP912" t="n">
        <v>0</v>
      </c>
      <c r="AQ912" t="n">
        <v>0</v>
      </c>
      <c r="AR912" t="inlineStr">
        <is>
          <t>No</t>
        </is>
      </c>
      <c r="AS912" t="inlineStr">
        <is>
          <t>Yes</t>
        </is>
      </c>
      <c r="AT912">
        <f>HYPERLINK("http://catalog.hathitrust.org/Record/002732273","HathiTrust Record")</f>
        <v/>
      </c>
      <c r="AU912">
        <f>HYPERLINK("https://creighton-primo.hosted.exlibrisgroup.com/primo-explore/search?tab=default_tab&amp;search_scope=EVERYTHING&amp;vid=01CRU&amp;lang=en_US&amp;offset=0&amp;query=any,contains,991002160729702656","Catalog Record")</f>
        <v/>
      </c>
      <c r="AV912">
        <f>HYPERLINK("http://www.worldcat.org/oclc/27813634","WorldCat Record")</f>
        <v/>
      </c>
      <c r="AW912" t="inlineStr">
        <is>
          <t>2542453:eng</t>
        </is>
      </c>
      <c r="AX912" t="inlineStr">
        <is>
          <t>27813634</t>
        </is>
      </c>
      <c r="AY912" t="inlineStr">
        <is>
          <t>991002160729702656</t>
        </is>
      </c>
      <c r="AZ912" t="inlineStr">
        <is>
          <t>991002160729702656</t>
        </is>
      </c>
      <c r="BA912" t="inlineStr">
        <is>
          <t>2257507790002656</t>
        </is>
      </c>
      <c r="BB912" t="inlineStr">
        <is>
          <t>BOOK</t>
        </is>
      </c>
      <c r="BD912" t="inlineStr">
        <is>
          <t>9780070169159</t>
        </is>
      </c>
      <c r="BE912" t="inlineStr">
        <is>
          <t>32285001830651</t>
        </is>
      </c>
      <c r="BF912" t="inlineStr">
        <is>
          <t>893408761</t>
        </is>
      </c>
    </row>
    <row r="913">
      <c r="B913" t="inlineStr">
        <is>
          <t>CURAL</t>
        </is>
      </c>
      <c r="C913" t="inlineStr">
        <is>
          <t>SHELVES</t>
        </is>
      </c>
      <c r="D913" t="inlineStr">
        <is>
          <t>QP86 .D76 1988</t>
        </is>
      </c>
      <c r="E913" t="inlineStr">
        <is>
          <t>0                      QP 0086000D  76          1988</t>
        </is>
      </c>
      <c r="F913" t="inlineStr">
        <is>
          <t>Drosophilia as a model organism for ageing studies / edited by Frédéric A. Lints and M. Hani Soliman.</t>
        </is>
      </c>
      <c r="H913" t="inlineStr">
        <is>
          <t>No</t>
        </is>
      </c>
      <c r="I913" t="inlineStr">
        <is>
          <t>1</t>
        </is>
      </c>
      <c r="J913" t="inlineStr">
        <is>
          <t>No</t>
        </is>
      </c>
      <c r="K913" t="inlineStr">
        <is>
          <t>No</t>
        </is>
      </c>
      <c r="L913" t="inlineStr">
        <is>
          <t>0</t>
        </is>
      </c>
      <c r="N913" t="inlineStr">
        <is>
          <t>Glasgow : Blackie, 1988.</t>
        </is>
      </c>
      <c r="O913" t="inlineStr">
        <is>
          <t>1988</t>
        </is>
      </c>
      <c r="Q913" t="inlineStr">
        <is>
          <t>eng</t>
        </is>
      </c>
      <c r="R913" t="inlineStr">
        <is>
          <t>stk</t>
        </is>
      </c>
      <c r="T913" t="inlineStr">
        <is>
          <t xml:space="preserve">QP </t>
        </is>
      </c>
      <c r="U913" t="n">
        <v>6</v>
      </c>
      <c r="V913" t="n">
        <v>6</v>
      </c>
      <c r="W913" t="inlineStr">
        <is>
          <t>1998-12-15</t>
        </is>
      </c>
      <c r="X913" t="inlineStr">
        <is>
          <t>1998-12-15</t>
        </is>
      </c>
      <c r="Y913" t="inlineStr">
        <is>
          <t>1993-02-26</t>
        </is>
      </c>
      <c r="Z913" t="inlineStr">
        <is>
          <t>1993-02-26</t>
        </is>
      </c>
      <c r="AA913" t="n">
        <v>87</v>
      </c>
      <c r="AB913" t="n">
        <v>46</v>
      </c>
      <c r="AC913" t="n">
        <v>58</v>
      </c>
      <c r="AD913" t="n">
        <v>1</v>
      </c>
      <c r="AE913" t="n">
        <v>1</v>
      </c>
      <c r="AF913" t="n">
        <v>0</v>
      </c>
      <c r="AG913" t="n">
        <v>1</v>
      </c>
      <c r="AH913" t="n">
        <v>0</v>
      </c>
      <c r="AI913" t="n">
        <v>1</v>
      </c>
      <c r="AJ913" t="n">
        <v>0</v>
      </c>
      <c r="AK913" t="n">
        <v>0</v>
      </c>
      <c r="AL913" t="n">
        <v>0</v>
      </c>
      <c r="AM913" t="n">
        <v>1</v>
      </c>
      <c r="AN913" t="n">
        <v>0</v>
      </c>
      <c r="AO913" t="n">
        <v>0</v>
      </c>
      <c r="AP913" t="n">
        <v>0</v>
      </c>
      <c r="AQ913" t="n">
        <v>0</v>
      </c>
      <c r="AR913" t="inlineStr">
        <is>
          <t>No</t>
        </is>
      </c>
      <c r="AS913" t="inlineStr">
        <is>
          <t>Yes</t>
        </is>
      </c>
      <c r="AT913">
        <f>HYPERLINK("http://catalog.hathitrust.org/Record/001297929","HathiTrust Record")</f>
        <v/>
      </c>
      <c r="AU913">
        <f>HYPERLINK("https://creighton-primo.hosted.exlibrisgroup.com/primo-explore/search?tab=default_tab&amp;search_scope=EVERYTHING&amp;vid=01CRU&amp;lang=en_US&amp;offset=0&amp;query=any,contains,991001110989702656","Catalog Record")</f>
        <v/>
      </c>
      <c r="AV913">
        <f>HYPERLINK("http://www.worldcat.org/oclc/18951185","WorldCat Record")</f>
        <v/>
      </c>
      <c r="AW913" t="inlineStr">
        <is>
          <t>18194243:eng</t>
        </is>
      </c>
      <c r="AX913" t="inlineStr">
        <is>
          <t>18951185</t>
        </is>
      </c>
      <c r="AY913" t="inlineStr">
        <is>
          <t>991001110989702656</t>
        </is>
      </c>
      <c r="AZ913" t="inlineStr">
        <is>
          <t>991001110989702656</t>
        </is>
      </c>
      <c r="BA913" t="inlineStr">
        <is>
          <t>2270273990002656</t>
        </is>
      </c>
      <c r="BB913" t="inlineStr">
        <is>
          <t>BOOK</t>
        </is>
      </c>
      <c r="BD913" t="inlineStr">
        <is>
          <t>9780216923737</t>
        </is>
      </c>
      <c r="BE913" t="inlineStr">
        <is>
          <t>32285001549608</t>
        </is>
      </c>
      <c r="BF913" t="inlineStr">
        <is>
          <t>893872285</t>
        </is>
      </c>
    </row>
    <row r="914">
      <c r="B914" t="inlineStr">
        <is>
          <t>CURAL</t>
        </is>
      </c>
      <c r="C914" t="inlineStr">
        <is>
          <t>SHELVES</t>
        </is>
      </c>
      <c r="D914" t="inlineStr">
        <is>
          <t>QP86 .F73 1981</t>
        </is>
      </c>
      <c r="E914" t="inlineStr">
        <is>
          <t>0                      QP 0086000F  73          1981</t>
        </is>
      </c>
      <c r="F914" t="inlineStr">
        <is>
          <t>Vitality and aging : implications of the rectangular curve / James F. Fries, Lawrence M. Crapo.</t>
        </is>
      </c>
      <c r="H914" t="inlineStr">
        <is>
          <t>No</t>
        </is>
      </c>
      <c r="I914" t="inlineStr">
        <is>
          <t>1</t>
        </is>
      </c>
      <c r="J914" t="inlineStr">
        <is>
          <t>Yes</t>
        </is>
      </c>
      <c r="K914" t="inlineStr">
        <is>
          <t>No</t>
        </is>
      </c>
      <c r="L914" t="inlineStr">
        <is>
          <t>0</t>
        </is>
      </c>
      <c r="M914" t="inlineStr">
        <is>
          <t>Fries, James F.</t>
        </is>
      </c>
      <c r="N914" t="inlineStr">
        <is>
          <t>San Francisco : W.H. Freeman, c1981.</t>
        </is>
      </c>
      <c r="O914" t="inlineStr">
        <is>
          <t>1981</t>
        </is>
      </c>
      <c r="Q914" t="inlineStr">
        <is>
          <t>eng</t>
        </is>
      </c>
      <c r="R914" t="inlineStr">
        <is>
          <t>cau</t>
        </is>
      </c>
      <c r="T914" t="inlineStr">
        <is>
          <t xml:space="preserve">QP </t>
        </is>
      </c>
      <c r="U914" t="n">
        <v>1</v>
      </c>
      <c r="V914" t="n">
        <v>1</v>
      </c>
      <c r="W914" t="inlineStr">
        <is>
          <t>1998-10-06</t>
        </is>
      </c>
      <c r="X914" t="inlineStr">
        <is>
          <t>1998-10-06</t>
        </is>
      </c>
      <c r="Y914" t="inlineStr">
        <is>
          <t>1993-02-26</t>
        </is>
      </c>
      <c r="Z914" t="inlineStr">
        <is>
          <t>1993-02-26</t>
        </is>
      </c>
      <c r="AA914" t="n">
        <v>631</v>
      </c>
      <c r="AB914" t="n">
        <v>529</v>
      </c>
      <c r="AC914" t="n">
        <v>538</v>
      </c>
      <c r="AD914" t="n">
        <v>5</v>
      </c>
      <c r="AE914" t="n">
        <v>5</v>
      </c>
      <c r="AF914" t="n">
        <v>26</v>
      </c>
      <c r="AG914" t="n">
        <v>26</v>
      </c>
      <c r="AH914" t="n">
        <v>11</v>
      </c>
      <c r="AI914" t="n">
        <v>11</v>
      </c>
      <c r="AJ914" t="n">
        <v>4</v>
      </c>
      <c r="AK914" t="n">
        <v>4</v>
      </c>
      <c r="AL914" t="n">
        <v>18</v>
      </c>
      <c r="AM914" t="n">
        <v>18</v>
      </c>
      <c r="AN914" t="n">
        <v>3</v>
      </c>
      <c r="AO914" t="n">
        <v>3</v>
      </c>
      <c r="AP914" t="n">
        <v>0</v>
      </c>
      <c r="AQ914" t="n">
        <v>0</v>
      </c>
      <c r="AR914" t="inlineStr">
        <is>
          <t>No</t>
        </is>
      </c>
      <c r="AS914" t="inlineStr">
        <is>
          <t>No</t>
        </is>
      </c>
      <c r="AU914">
        <f>HYPERLINK("https://creighton-primo.hosted.exlibrisgroup.com/primo-explore/search?tab=default_tab&amp;search_scope=EVERYTHING&amp;vid=01CRU&amp;lang=en_US&amp;offset=0&amp;query=any,contains,991005099039702656","Catalog Record")</f>
        <v/>
      </c>
      <c r="AV914">
        <f>HYPERLINK("http://www.worldcat.org/oclc/7278520","WorldCat Record")</f>
        <v/>
      </c>
      <c r="AW914" t="inlineStr">
        <is>
          <t>836670046:eng</t>
        </is>
      </c>
      <c r="AX914" t="inlineStr">
        <is>
          <t>7278520</t>
        </is>
      </c>
      <c r="AY914" t="inlineStr">
        <is>
          <t>991005099039702656</t>
        </is>
      </c>
      <c r="AZ914" t="inlineStr">
        <is>
          <t>991005099039702656</t>
        </is>
      </c>
      <c r="BA914" t="inlineStr">
        <is>
          <t>2263324920002656</t>
        </is>
      </c>
      <c r="BB914" t="inlineStr">
        <is>
          <t>BOOK</t>
        </is>
      </c>
      <c r="BD914" t="inlineStr">
        <is>
          <t>9780716713081</t>
        </is>
      </c>
      <c r="BE914" t="inlineStr">
        <is>
          <t>32285001549616</t>
        </is>
      </c>
      <c r="BF914" t="inlineStr">
        <is>
          <t>893236269</t>
        </is>
      </c>
    </row>
    <row r="915">
      <c r="B915" t="inlineStr">
        <is>
          <t>CURAL</t>
        </is>
      </c>
      <c r="C915" t="inlineStr">
        <is>
          <t>SHELVES</t>
        </is>
      </c>
      <c r="D915" t="inlineStr">
        <is>
          <t>QP86 .G395 1990</t>
        </is>
      </c>
      <c r="E915" t="inlineStr">
        <is>
          <t>0                      QP 0086000G  395         1990</t>
        </is>
      </c>
      <c r="F915" t="inlineStr">
        <is>
          <t>Genetic effects on aging II / [edited by] David E. Harrison.</t>
        </is>
      </c>
      <c r="H915" t="inlineStr">
        <is>
          <t>No</t>
        </is>
      </c>
      <c r="I915" t="inlineStr">
        <is>
          <t>1</t>
        </is>
      </c>
      <c r="J915" t="inlineStr">
        <is>
          <t>No</t>
        </is>
      </c>
      <c r="K915" t="inlineStr">
        <is>
          <t>No</t>
        </is>
      </c>
      <c r="L915" t="inlineStr">
        <is>
          <t>0</t>
        </is>
      </c>
      <c r="N915" t="inlineStr">
        <is>
          <t>Caldwell, N.J. : Telford Press, c1990.</t>
        </is>
      </c>
      <c r="O915" t="inlineStr">
        <is>
          <t>1990</t>
        </is>
      </c>
      <c r="Q915" t="inlineStr">
        <is>
          <t>eng</t>
        </is>
      </c>
      <c r="R915" t="inlineStr">
        <is>
          <t>nju</t>
        </is>
      </c>
      <c r="T915" t="inlineStr">
        <is>
          <t xml:space="preserve">QP </t>
        </is>
      </c>
      <c r="U915" t="n">
        <v>10</v>
      </c>
      <c r="V915" t="n">
        <v>10</v>
      </c>
      <c r="W915" t="inlineStr">
        <is>
          <t>1999-10-04</t>
        </is>
      </c>
      <c r="X915" t="inlineStr">
        <is>
          <t>1999-10-04</t>
        </is>
      </c>
      <c r="Y915" t="inlineStr">
        <is>
          <t>1991-05-20</t>
        </is>
      </c>
      <c r="Z915" t="inlineStr">
        <is>
          <t>1991-05-20</t>
        </is>
      </c>
      <c r="AA915" t="n">
        <v>146</v>
      </c>
      <c r="AB915" t="n">
        <v>124</v>
      </c>
      <c r="AC915" t="n">
        <v>126</v>
      </c>
      <c r="AD915" t="n">
        <v>2</v>
      </c>
      <c r="AE915" t="n">
        <v>2</v>
      </c>
      <c r="AF915" t="n">
        <v>5</v>
      </c>
      <c r="AG915" t="n">
        <v>5</v>
      </c>
      <c r="AH915" t="n">
        <v>2</v>
      </c>
      <c r="AI915" t="n">
        <v>2</v>
      </c>
      <c r="AJ915" t="n">
        <v>1</v>
      </c>
      <c r="AK915" t="n">
        <v>1</v>
      </c>
      <c r="AL915" t="n">
        <v>1</v>
      </c>
      <c r="AM915" t="n">
        <v>1</v>
      </c>
      <c r="AN915" t="n">
        <v>1</v>
      </c>
      <c r="AO915" t="n">
        <v>1</v>
      </c>
      <c r="AP915" t="n">
        <v>0</v>
      </c>
      <c r="AQ915" t="n">
        <v>0</v>
      </c>
      <c r="AR915" t="inlineStr">
        <is>
          <t>No</t>
        </is>
      </c>
      <c r="AS915" t="inlineStr">
        <is>
          <t>No</t>
        </is>
      </c>
      <c r="AU915">
        <f>HYPERLINK("https://creighton-primo.hosted.exlibrisgroup.com/primo-explore/search?tab=default_tab&amp;search_scope=EVERYTHING&amp;vid=01CRU&amp;lang=en_US&amp;offset=0&amp;query=any,contains,991001643359702656","Catalog Record")</f>
        <v/>
      </c>
      <c r="AV915">
        <f>HYPERLINK("http://www.worldcat.org/oclc/21038639","WorldCat Record")</f>
        <v/>
      </c>
      <c r="AW915" t="inlineStr">
        <is>
          <t>2762352892:eng</t>
        </is>
      </c>
      <c r="AX915" t="inlineStr">
        <is>
          <t>21038639</t>
        </is>
      </c>
      <c r="AY915" t="inlineStr">
        <is>
          <t>991001643359702656</t>
        </is>
      </c>
      <c r="AZ915" t="inlineStr">
        <is>
          <t>991001643359702656</t>
        </is>
      </c>
      <c r="BA915" t="inlineStr">
        <is>
          <t>2256516810002656</t>
        </is>
      </c>
      <c r="BB915" t="inlineStr">
        <is>
          <t>BOOK</t>
        </is>
      </c>
      <c r="BD915" t="inlineStr">
        <is>
          <t>9780936923314</t>
        </is>
      </c>
      <c r="BE915" t="inlineStr">
        <is>
          <t>32285000574441</t>
        </is>
      </c>
      <c r="BF915" t="inlineStr">
        <is>
          <t>893432970</t>
        </is>
      </c>
    </row>
    <row r="916">
      <c r="B916" t="inlineStr">
        <is>
          <t>CURAL</t>
        </is>
      </c>
      <c r="C916" t="inlineStr">
        <is>
          <t>SHELVES</t>
        </is>
      </c>
      <c r="D916" t="inlineStr">
        <is>
          <t>QP86 .H3 1923</t>
        </is>
      </c>
      <c r="E916" t="inlineStr">
        <is>
          <t>0                      QP 0086000H  3           1923</t>
        </is>
      </c>
      <c r="F916" t="inlineStr">
        <is>
          <t>Senescence : the last half of life / by G. Stanley Hall.</t>
        </is>
      </c>
      <c r="H916" t="inlineStr">
        <is>
          <t>No</t>
        </is>
      </c>
      <c r="I916" t="inlineStr">
        <is>
          <t>1</t>
        </is>
      </c>
      <c r="J916" t="inlineStr">
        <is>
          <t>No</t>
        </is>
      </c>
      <c r="K916" t="inlineStr">
        <is>
          <t>No</t>
        </is>
      </c>
      <c r="L916" t="inlineStr">
        <is>
          <t>0</t>
        </is>
      </c>
      <c r="M916" t="inlineStr">
        <is>
          <t>Hall, G. Stanley (Granville Stanley), 1844-1924.</t>
        </is>
      </c>
      <c r="N916" t="inlineStr">
        <is>
          <t>New York : D. Appleton and company, 1923.</t>
        </is>
      </c>
      <c r="O916" t="inlineStr">
        <is>
          <t>1923</t>
        </is>
      </c>
      <c r="Q916" t="inlineStr">
        <is>
          <t>eng</t>
        </is>
      </c>
      <c r="R916" t="inlineStr">
        <is>
          <t xml:space="preserve">xx </t>
        </is>
      </c>
      <c r="T916" t="inlineStr">
        <is>
          <t xml:space="preserve">QP </t>
        </is>
      </c>
      <c r="U916" t="n">
        <v>5</v>
      </c>
      <c r="V916" t="n">
        <v>5</v>
      </c>
      <c r="W916" t="inlineStr">
        <is>
          <t>2009-02-27</t>
        </is>
      </c>
      <c r="X916" t="inlineStr">
        <is>
          <t>2009-02-27</t>
        </is>
      </c>
      <c r="Y916" t="inlineStr">
        <is>
          <t>1993-05-18</t>
        </is>
      </c>
      <c r="Z916" t="inlineStr">
        <is>
          <t>1993-05-18</t>
        </is>
      </c>
      <c r="AA916" t="n">
        <v>51</v>
      </c>
      <c r="AB916" t="n">
        <v>46</v>
      </c>
      <c r="AC916" t="n">
        <v>448</v>
      </c>
      <c r="AD916" t="n">
        <v>1</v>
      </c>
      <c r="AE916" t="n">
        <v>7</v>
      </c>
      <c r="AF916" t="n">
        <v>3</v>
      </c>
      <c r="AG916" t="n">
        <v>26</v>
      </c>
      <c r="AH916" t="n">
        <v>1</v>
      </c>
      <c r="AI916" t="n">
        <v>9</v>
      </c>
      <c r="AJ916" t="n">
        <v>0</v>
      </c>
      <c r="AK916" t="n">
        <v>6</v>
      </c>
      <c r="AL916" t="n">
        <v>3</v>
      </c>
      <c r="AM916" t="n">
        <v>12</v>
      </c>
      <c r="AN916" t="n">
        <v>0</v>
      </c>
      <c r="AO916" t="n">
        <v>5</v>
      </c>
      <c r="AP916" t="n">
        <v>0</v>
      </c>
      <c r="AQ916" t="n">
        <v>0</v>
      </c>
      <c r="AR916" t="inlineStr">
        <is>
          <t>No</t>
        </is>
      </c>
      <c r="AS916" t="inlineStr">
        <is>
          <t>No</t>
        </is>
      </c>
      <c r="AU916">
        <f>HYPERLINK("https://creighton-primo.hosted.exlibrisgroup.com/primo-explore/search?tab=default_tab&amp;search_scope=EVERYTHING&amp;vid=01CRU&amp;lang=en_US&amp;offset=0&amp;query=any,contains,991004763909702656","Catalog Record")</f>
        <v/>
      </c>
      <c r="AV916">
        <f>HYPERLINK("http://www.worldcat.org/oclc/5020509","WorldCat Record")</f>
        <v/>
      </c>
      <c r="AW916" t="inlineStr">
        <is>
          <t>1510420:eng</t>
        </is>
      </c>
      <c r="AX916" t="inlineStr">
        <is>
          <t>5020509</t>
        </is>
      </c>
      <c r="AY916" t="inlineStr">
        <is>
          <t>991004763909702656</t>
        </is>
      </c>
      <c r="AZ916" t="inlineStr">
        <is>
          <t>991004763909702656</t>
        </is>
      </c>
      <c r="BA916" t="inlineStr">
        <is>
          <t>2256364870002656</t>
        </is>
      </c>
      <c r="BB916" t="inlineStr">
        <is>
          <t>BOOK</t>
        </is>
      </c>
      <c r="BE916" t="inlineStr">
        <is>
          <t>32285001658292</t>
        </is>
      </c>
      <c r="BF916" t="inlineStr">
        <is>
          <t>893625089</t>
        </is>
      </c>
    </row>
    <row r="917">
      <c r="B917" t="inlineStr">
        <is>
          <t>CURAL</t>
        </is>
      </c>
      <c r="C917" t="inlineStr">
        <is>
          <t>SHELVES</t>
        </is>
      </c>
      <c r="D917" t="inlineStr">
        <is>
          <t>QP86 .H65 1995</t>
        </is>
      </c>
      <c r="E917" t="inlineStr">
        <is>
          <t>0                      QP 0086000H  65          1995</t>
        </is>
      </c>
      <c r="F917" t="inlineStr">
        <is>
          <t>Understanding ageing / Robin Holliday.</t>
        </is>
      </c>
      <c r="H917" t="inlineStr">
        <is>
          <t>No</t>
        </is>
      </c>
      <c r="I917" t="inlineStr">
        <is>
          <t>1</t>
        </is>
      </c>
      <c r="J917" t="inlineStr">
        <is>
          <t>No</t>
        </is>
      </c>
      <c r="K917" t="inlineStr">
        <is>
          <t>No</t>
        </is>
      </c>
      <c r="L917" t="inlineStr">
        <is>
          <t>0</t>
        </is>
      </c>
      <c r="M917" t="inlineStr">
        <is>
          <t>Holliday, R. (Robin), 1932-2014.</t>
        </is>
      </c>
      <c r="N917" t="inlineStr">
        <is>
          <t>Cambridge ; New York : Cambridge University Press, 1995.</t>
        </is>
      </c>
      <c r="O917" t="inlineStr">
        <is>
          <t>1995</t>
        </is>
      </c>
      <c r="Q917" t="inlineStr">
        <is>
          <t>eng</t>
        </is>
      </c>
      <c r="R917" t="inlineStr">
        <is>
          <t>enk</t>
        </is>
      </c>
      <c r="S917" t="inlineStr">
        <is>
          <t>Developmental and cell biology series ; 30</t>
        </is>
      </c>
      <c r="T917" t="inlineStr">
        <is>
          <t xml:space="preserve">QP </t>
        </is>
      </c>
      <c r="U917" t="n">
        <v>13</v>
      </c>
      <c r="V917" t="n">
        <v>13</v>
      </c>
      <c r="W917" t="inlineStr">
        <is>
          <t>2010-03-14</t>
        </is>
      </c>
      <c r="X917" t="inlineStr">
        <is>
          <t>2010-03-14</t>
        </is>
      </c>
      <c r="Y917" t="inlineStr">
        <is>
          <t>1995-05-31</t>
        </is>
      </c>
      <c r="Z917" t="inlineStr">
        <is>
          <t>1995-05-31</t>
        </is>
      </c>
      <c r="AA917" t="n">
        <v>441</v>
      </c>
      <c r="AB917" t="n">
        <v>327</v>
      </c>
      <c r="AC917" t="n">
        <v>343</v>
      </c>
      <c r="AD917" t="n">
        <v>4</v>
      </c>
      <c r="AE917" t="n">
        <v>4</v>
      </c>
      <c r="AF917" t="n">
        <v>16</v>
      </c>
      <c r="AG917" t="n">
        <v>17</v>
      </c>
      <c r="AH917" t="n">
        <v>5</v>
      </c>
      <c r="AI917" t="n">
        <v>6</v>
      </c>
      <c r="AJ917" t="n">
        <v>3</v>
      </c>
      <c r="AK917" t="n">
        <v>3</v>
      </c>
      <c r="AL917" t="n">
        <v>7</v>
      </c>
      <c r="AM917" t="n">
        <v>8</v>
      </c>
      <c r="AN917" t="n">
        <v>3</v>
      </c>
      <c r="AO917" t="n">
        <v>3</v>
      </c>
      <c r="AP917" t="n">
        <v>0</v>
      </c>
      <c r="AQ917" t="n">
        <v>0</v>
      </c>
      <c r="AR917" t="inlineStr">
        <is>
          <t>No</t>
        </is>
      </c>
      <c r="AS917" t="inlineStr">
        <is>
          <t>No</t>
        </is>
      </c>
      <c r="AU917">
        <f>HYPERLINK("https://creighton-primo.hosted.exlibrisgroup.com/primo-explore/search?tab=default_tab&amp;search_scope=EVERYTHING&amp;vid=01CRU&amp;lang=en_US&amp;offset=0&amp;query=any,contains,991002318259702656","Catalog Record")</f>
        <v/>
      </c>
      <c r="AV917">
        <f>HYPERLINK("http://www.worldcat.org/oclc/30074869","WorldCat Record")</f>
        <v/>
      </c>
      <c r="AW917" t="inlineStr">
        <is>
          <t>32145073:eng</t>
        </is>
      </c>
      <c r="AX917" t="inlineStr">
        <is>
          <t>30074869</t>
        </is>
      </c>
      <c r="AY917" t="inlineStr">
        <is>
          <t>991002318259702656</t>
        </is>
      </c>
      <c r="AZ917" t="inlineStr">
        <is>
          <t>991002318259702656</t>
        </is>
      </c>
      <c r="BA917" t="inlineStr">
        <is>
          <t>2258316960002656</t>
        </is>
      </c>
      <c r="BB917" t="inlineStr">
        <is>
          <t>BOOK</t>
        </is>
      </c>
      <c r="BD917" t="inlineStr">
        <is>
          <t>9780521417884</t>
        </is>
      </c>
      <c r="BE917" t="inlineStr">
        <is>
          <t>32285002048238</t>
        </is>
      </c>
      <c r="BF917" t="inlineStr">
        <is>
          <t>893510585</t>
        </is>
      </c>
    </row>
    <row r="918">
      <c r="B918" t="inlineStr">
        <is>
          <t>CURAL</t>
        </is>
      </c>
      <c r="C918" t="inlineStr">
        <is>
          <t>SHELVES</t>
        </is>
      </c>
      <c r="D918" t="inlineStr">
        <is>
          <t>QP86 .H75 1982</t>
        </is>
      </c>
      <c r="E918" t="inlineStr">
        <is>
          <t>0                      QP 0086000H  75          1982</t>
        </is>
      </c>
      <c r="F918" t="inlineStr">
        <is>
          <t>Human aging / staff of Research and Education Association.</t>
        </is>
      </c>
      <c r="H918" t="inlineStr">
        <is>
          <t>No</t>
        </is>
      </c>
      <c r="I918" t="inlineStr">
        <is>
          <t>1</t>
        </is>
      </c>
      <c r="J918" t="inlineStr">
        <is>
          <t>No</t>
        </is>
      </c>
      <c r="K918" t="inlineStr">
        <is>
          <t>No</t>
        </is>
      </c>
      <c r="L918" t="inlineStr">
        <is>
          <t>0</t>
        </is>
      </c>
      <c r="N918" t="inlineStr">
        <is>
          <t>New York, N.Y. : REA, c1982.</t>
        </is>
      </c>
      <c r="O918" t="inlineStr">
        <is>
          <t>1982</t>
        </is>
      </c>
      <c r="Q918" t="inlineStr">
        <is>
          <t>eng</t>
        </is>
      </c>
      <c r="R918" t="inlineStr">
        <is>
          <t>nyu</t>
        </is>
      </c>
      <c r="T918" t="inlineStr">
        <is>
          <t xml:space="preserve">QP </t>
        </is>
      </c>
      <c r="U918" t="n">
        <v>1</v>
      </c>
      <c r="V918" t="n">
        <v>1</v>
      </c>
      <c r="W918" t="inlineStr">
        <is>
          <t>1998-10-10</t>
        </is>
      </c>
      <c r="X918" t="inlineStr">
        <is>
          <t>1998-10-10</t>
        </is>
      </c>
      <c r="Y918" t="inlineStr">
        <is>
          <t>1995-03-17</t>
        </is>
      </c>
      <c r="Z918" t="inlineStr">
        <is>
          <t>1995-03-17</t>
        </is>
      </c>
      <c r="AA918" t="n">
        <v>174</v>
      </c>
      <c r="AB918" t="n">
        <v>158</v>
      </c>
      <c r="AC918" t="n">
        <v>160</v>
      </c>
      <c r="AD918" t="n">
        <v>4</v>
      </c>
      <c r="AE918" t="n">
        <v>4</v>
      </c>
      <c r="AF918" t="n">
        <v>8</v>
      </c>
      <c r="AG918" t="n">
        <v>8</v>
      </c>
      <c r="AH918" t="n">
        <v>4</v>
      </c>
      <c r="AI918" t="n">
        <v>4</v>
      </c>
      <c r="AJ918" t="n">
        <v>1</v>
      </c>
      <c r="AK918" t="n">
        <v>1</v>
      </c>
      <c r="AL918" t="n">
        <v>2</v>
      </c>
      <c r="AM918" t="n">
        <v>2</v>
      </c>
      <c r="AN918" t="n">
        <v>3</v>
      </c>
      <c r="AO918" t="n">
        <v>3</v>
      </c>
      <c r="AP918" t="n">
        <v>0</v>
      </c>
      <c r="AQ918" t="n">
        <v>0</v>
      </c>
      <c r="AR918" t="inlineStr">
        <is>
          <t>No</t>
        </is>
      </c>
      <c r="AS918" t="inlineStr">
        <is>
          <t>Yes</t>
        </is>
      </c>
      <c r="AT918">
        <f>HYPERLINK("http://catalog.hathitrust.org/Record/006254630","HathiTrust Record")</f>
        <v/>
      </c>
      <c r="AU918">
        <f>HYPERLINK("https://creighton-primo.hosted.exlibrisgroup.com/primo-explore/search?tab=default_tab&amp;search_scope=EVERYTHING&amp;vid=01CRU&amp;lang=en_US&amp;offset=0&amp;query=any,contains,991000068689702656","Catalog Record")</f>
        <v/>
      </c>
      <c r="AV918">
        <f>HYPERLINK("http://www.worldcat.org/oclc/8765867","WorldCat Record")</f>
        <v/>
      </c>
      <c r="AW918" t="inlineStr">
        <is>
          <t>54523150:eng</t>
        </is>
      </c>
      <c r="AX918" t="inlineStr">
        <is>
          <t>8765867</t>
        </is>
      </c>
      <c r="AY918" t="inlineStr">
        <is>
          <t>991000068689702656</t>
        </is>
      </c>
      <c r="AZ918" t="inlineStr">
        <is>
          <t>991000068689702656</t>
        </is>
      </c>
      <c r="BA918" t="inlineStr">
        <is>
          <t>2267928070002656</t>
        </is>
      </c>
      <c r="BB918" t="inlineStr">
        <is>
          <t>BOOK</t>
        </is>
      </c>
      <c r="BD918" t="inlineStr">
        <is>
          <t>9780878915361</t>
        </is>
      </c>
      <c r="BE918" t="inlineStr">
        <is>
          <t>32285002020476</t>
        </is>
      </c>
      <c r="BF918" t="inlineStr">
        <is>
          <t>893242947</t>
        </is>
      </c>
    </row>
    <row r="919">
      <c r="B919" t="inlineStr">
        <is>
          <t>CURAL</t>
        </is>
      </c>
      <c r="C919" t="inlineStr">
        <is>
          <t>SHELVES</t>
        </is>
      </c>
      <c r="D919" t="inlineStr">
        <is>
          <t>QP86 .K335 1994</t>
        </is>
      </c>
      <c r="E919" t="inlineStr">
        <is>
          <t>0                      QP 0086000K  335         1994</t>
        </is>
      </c>
      <c r="F919" t="inlineStr">
        <is>
          <t>Genes and aging / M.S. Kanungo.</t>
        </is>
      </c>
      <c r="H919" t="inlineStr">
        <is>
          <t>No</t>
        </is>
      </c>
      <c r="I919" t="inlineStr">
        <is>
          <t>1</t>
        </is>
      </c>
      <c r="J919" t="inlineStr">
        <is>
          <t>No</t>
        </is>
      </c>
      <c r="K919" t="inlineStr">
        <is>
          <t>No</t>
        </is>
      </c>
      <c r="L919" t="inlineStr">
        <is>
          <t>0</t>
        </is>
      </c>
      <c r="M919" t="inlineStr">
        <is>
          <t>Kanungo, M. S. (Madhu Sudan), 1927-</t>
        </is>
      </c>
      <c r="N919" t="inlineStr">
        <is>
          <t>Cambridge [England] ; New York, NY, USA : Cambridge University Press, 1994.</t>
        </is>
      </c>
      <c r="O919" t="inlineStr">
        <is>
          <t>1994</t>
        </is>
      </c>
      <c r="Q919" t="inlineStr">
        <is>
          <t>eng</t>
        </is>
      </c>
      <c r="R919" t="inlineStr">
        <is>
          <t>enk</t>
        </is>
      </c>
      <c r="T919" t="inlineStr">
        <is>
          <t xml:space="preserve">QP </t>
        </is>
      </c>
      <c r="U919" t="n">
        <v>20</v>
      </c>
      <c r="V919" t="n">
        <v>20</v>
      </c>
      <c r="W919" t="inlineStr">
        <is>
          <t>2007-10-24</t>
        </is>
      </c>
      <c r="X919" t="inlineStr">
        <is>
          <t>2007-10-24</t>
        </is>
      </c>
      <c r="Y919" t="inlineStr">
        <is>
          <t>1995-08-14</t>
        </is>
      </c>
      <c r="Z919" t="inlineStr">
        <is>
          <t>1995-08-14</t>
        </is>
      </c>
      <c r="AA919" t="n">
        <v>321</v>
      </c>
      <c r="AB919" t="n">
        <v>239</v>
      </c>
      <c r="AC919" t="n">
        <v>262</v>
      </c>
      <c r="AD919" t="n">
        <v>3</v>
      </c>
      <c r="AE919" t="n">
        <v>3</v>
      </c>
      <c r="AF919" t="n">
        <v>12</v>
      </c>
      <c r="AG919" t="n">
        <v>12</v>
      </c>
      <c r="AH919" t="n">
        <v>3</v>
      </c>
      <c r="AI919" t="n">
        <v>3</v>
      </c>
      <c r="AJ919" t="n">
        <v>3</v>
      </c>
      <c r="AK919" t="n">
        <v>3</v>
      </c>
      <c r="AL919" t="n">
        <v>6</v>
      </c>
      <c r="AM919" t="n">
        <v>6</v>
      </c>
      <c r="AN919" t="n">
        <v>2</v>
      </c>
      <c r="AO919" t="n">
        <v>2</v>
      </c>
      <c r="AP919" t="n">
        <v>0</v>
      </c>
      <c r="AQ919" t="n">
        <v>0</v>
      </c>
      <c r="AR919" t="inlineStr">
        <is>
          <t>No</t>
        </is>
      </c>
      <c r="AS919" t="inlineStr">
        <is>
          <t>No</t>
        </is>
      </c>
      <c r="AU919">
        <f>HYPERLINK("https://creighton-primo.hosted.exlibrisgroup.com/primo-explore/search?tab=default_tab&amp;search_scope=EVERYTHING&amp;vid=01CRU&amp;lang=en_US&amp;offset=0&amp;query=any,contains,991002138939702656","Catalog Record")</f>
        <v/>
      </c>
      <c r="AV919">
        <f>HYPERLINK("http://www.worldcat.org/oclc/27430412","WorldCat Record")</f>
        <v/>
      </c>
      <c r="AW919" t="inlineStr">
        <is>
          <t>342626:eng</t>
        </is>
      </c>
      <c r="AX919" t="inlineStr">
        <is>
          <t>27430412</t>
        </is>
      </c>
      <c r="AY919" t="inlineStr">
        <is>
          <t>991002138939702656</t>
        </is>
      </c>
      <c r="AZ919" t="inlineStr">
        <is>
          <t>991002138939702656</t>
        </is>
      </c>
      <c r="BA919" t="inlineStr">
        <is>
          <t>2266122100002656</t>
        </is>
      </c>
      <c r="BB919" t="inlineStr">
        <is>
          <t>BOOK</t>
        </is>
      </c>
      <c r="BD919" t="inlineStr">
        <is>
          <t>9780521382991</t>
        </is>
      </c>
      <c r="BE919" t="inlineStr">
        <is>
          <t>32285002077138</t>
        </is>
      </c>
      <c r="BF919" t="inlineStr">
        <is>
          <t>893773256</t>
        </is>
      </c>
    </row>
    <row r="920">
      <c r="B920" t="inlineStr">
        <is>
          <t>CURAL</t>
        </is>
      </c>
      <c r="C920" t="inlineStr">
        <is>
          <t>SHELVES</t>
        </is>
      </c>
      <c r="D920" t="inlineStr">
        <is>
          <t>QP86 .L35</t>
        </is>
      </c>
      <c r="E920" t="inlineStr">
        <is>
          <t>0                      QP 0086000L  35</t>
        </is>
      </c>
      <c r="F920" t="inlineStr">
        <is>
          <t>Biology of ageing / Marion J. Lamb.</t>
        </is>
      </c>
      <c r="H920" t="inlineStr">
        <is>
          <t>No</t>
        </is>
      </c>
      <c r="I920" t="inlineStr">
        <is>
          <t>1</t>
        </is>
      </c>
      <c r="J920" t="inlineStr">
        <is>
          <t>No</t>
        </is>
      </c>
      <c r="K920" t="inlineStr">
        <is>
          <t>No</t>
        </is>
      </c>
      <c r="L920" t="inlineStr">
        <is>
          <t>0</t>
        </is>
      </c>
      <c r="M920" t="inlineStr">
        <is>
          <t>Lamb, Marion J.</t>
        </is>
      </c>
      <c r="N920" t="inlineStr">
        <is>
          <t>New York : Wiley, 1977.</t>
        </is>
      </c>
      <c r="O920" t="inlineStr">
        <is>
          <t>1977</t>
        </is>
      </c>
      <c r="Q920" t="inlineStr">
        <is>
          <t>eng</t>
        </is>
      </c>
      <c r="R920" t="inlineStr">
        <is>
          <t>nyu</t>
        </is>
      </c>
      <c r="S920" t="inlineStr">
        <is>
          <t>Tertiary level biology</t>
        </is>
      </c>
      <c r="T920" t="inlineStr">
        <is>
          <t xml:space="preserve">QP </t>
        </is>
      </c>
      <c r="U920" t="n">
        <v>1</v>
      </c>
      <c r="V920" t="n">
        <v>1</v>
      </c>
      <c r="W920" t="inlineStr">
        <is>
          <t>1998-10-08</t>
        </is>
      </c>
      <c r="X920" t="inlineStr">
        <is>
          <t>1998-10-08</t>
        </is>
      </c>
      <c r="Y920" t="inlineStr">
        <is>
          <t>1997-09-22</t>
        </is>
      </c>
      <c r="Z920" t="inlineStr">
        <is>
          <t>1997-09-22</t>
        </is>
      </c>
      <c r="AA920" t="n">
        <v>374</v>
      </c>
      <c r="AB920" t="n">
        <v>354</v>
      </c>
      <c r="AC920" t="n">
        <v>472</v>
      </c>
      <c r="AD920" t="n">
        <v>3</v>
      </c>
      <c r="AE920" t="n">
        <v>4</v>
      </c>
      <c r="AF920" t="n">
        <v>16</v>
      </c>
      <c r="AG920" t="n">
        <v>22</v>
      </c>
      <c r="AH920" t="n">
        <v>6</v>
      </c>
      <c r="AI920" t="n">
        <v>8</v>
      </c>
      <c r="AJ920" t="n">
        <v>4</v>
      </c>
      <c r="AK920" t="n">
        <v>5</v>
      </c>
      <c r="AL920" t="n">
        <v>8</v>
      </c>
      <c r="AM920" t="n">
        <v>11</v>
      </c>
      <c r="AN920" t="n">
        <v>2</v>
      </c>
      <c r="AO920" t="n">
        <v>3</v>
      </c>
      <c r="AP920" t="n">
        <v>0</v>
      </c>
      <c r="AQ920" t="n">
        <v>0</v>
      </c>
      <c r="AR920" t="inlineStr">
        <is>
          <t>No</t>
        </is>
      </c>
      <c r="AS920" t="inlineStr">
        <is>
          <t>Yes</t>
        </is>
      </c>
      <c r="AT920">
        <f>HYPERLINK("http://catalog.hathitrust.org/Record/000157668","HathiTrust Record")</f>
        <v/>
      </c>
      <c r="AU920">
        <f>HYPERLINK("https://creighton-primo.hosted.exlibrisgroup.com/primo-explore/search?tab=default_tab&amp;search_scope=EVERYTHING&amp;vid=01CRU&amp;lang=en_US&amp;offset=0&amp;query=any,contains,991004334189702656","Catalog Record")</f>
        <v/>
      </c>
      <c r="AV920">
        <f>HYPERLINK("http://www.worldcat.org/oclc/3071754","WorldCat Record")</f>
        <v/>
      </c>
      <c r="AW920" t="inlineStr">
        <is>
          <t>7504134:eng</t>
        </is>
      </c>
      <c r="AX920" t="inlineStr">
        <is>
          <t>3071754</t>
        </is>
      </c>
      <c r="AY920" t="inlineStr">
        <is>
          <t>991004334189702656</t>
        </is>
      </c>
      <c r="AZ920" t="inlineStr">
        <is>
          <t>991004334189702656</t>
        </is>
      </c>
      <c r="BA920" t="inlineStr">
        <is>
          <t>2267852410002656</t>
        </is>
      </c>
      <c r="BB920" t="inlineStr">
        <is>
          <t>BOOK</t>
        </is>
      </c>
      <c r="BD920" t="inlineStr">
        <is>
          <t>9780470992210</t>
        </is>
      </c>
      <c r="BE920" t="inlineStr">
        <is>
          <t>32285003174629</t>
        </is>
      </c>
      <c r="BF920" t="inlineStr">
        <is>
          <t>893888583</t>
        </is>
      </c>
    </row>
    <row r="921">
      <c r="B921" t="inlineStr">
        <is>
          <t>CURAL</t>
        </is>
      </c>
      <c r="C921" t="inlineStr">
        <is>
          <t>SHELVES</t>
        </is>
      </c>
      <c r="D921" t="inlineStr">
        <is>
          <t>QP86 .L88 1979</t>
        </is>
      </c>
      <c r="E921" t="inlineStr">
        <is>
          <t>0                      QP 0086000L  88          1979</t>
        </is>
      </c>
      <c r="F921" t="inlineStr">
        <is>
          <t>The psychobiology of aging : problems and perspectives : proceedings of the First Luxembourg Conference on the Psychobiology of Aging held in Walferdange, Luxembourg on May 24-25, 1979 / editor, Donald G. Stein.</t>
        </is>
      </c>
      <c r="H921" t="inlineStr">
        <is>
          <t>No</t>
        </is>
      </c>
      <c r="I921" t="inlineStr">
        <is>
          <t>1</t>
        </is>
      </c>
      <c r="J921" t="inlineStr">
        <is>
          <t>No</t>
        </is>
      </c>
      <c r="K921" t="inlineStr">
        <is>
          <t>No</t>
        </is>
      </c>
      <c r="L921" t="inlineStr">
        <is>
          <t>0</t>
        </is>
      </c>
      <c r="M921" t="inlineStr">
        <is>
          <t>Luxembourg Conference on the Psychobiology of Aging (1st : 1979 : Walferdange, Luxembourg)</t>
        </is>
      </c>
      <c r="N921" t="inlineStr">
        <is>
          <t>New York : Elsevier/North-Holland, c1980.</t>
        </is>
      </c>
      <c r="O921" t="inlineStr">
        <is>
          <t>1980</t>
        </is>
      </c>
      <c r="Q921" t="inlineStr">
        <is>
          <t>eng</t>
        </is>
      </c>
      <c r="R921" t="inlineStr">
        <is>
          <t>nyu</t>
        </is>
      </c>
      <c r="T921" t="inlineStr">
        <is>
          <t xml:space="preserve">QP </t>
        </is>
      </c>
      <c r="U921" t="n">
        <v>1</v>
      </c>
      <c r="V921" t="n">
        <v>1</v>
      </c>
      <c r="W921" t="inlineStr">
        <is>
          <t>2004-11-12</t>
        </is>
      </c>
      <c r="X921" t="inlineStr">
        <is>
          <t>2004-11-12</t>
        </is>
      </c>
      <c r="Y921" t="inlineStr">
        <is>
          <t>1993-02-26</t>
        </is>
      </c>
      <c r="Z921" t="inlineStr">
        <is>
          <t>1993-02-26</t>
        </is>
      </c>
      <c r="AA921" t="n">
        <v>218</v>
      </c>
      <c r="AB921" t="n">
        <v>158</v>
      </c>
      <c r="AC921" t="n">
        <v>160</v>
      </c>
      <c r="AD921" t="n">
        <v>2</v>
      </c>
      <c r="AE921" t="n">
        <v>2</v>
      </c>
      <c r="AF921" t="n">
        <v>3</v>
      </c>
      <c r="AG921" t="n">
        <v>3</v>
      </c>
      <c r="AH921" t="n">
        <v>0</v>
      </c>
      <c r="AI921" t="n">
        <v>0</v>
      </c>
      <c r="AJ921" t="n">
        <v>0</v>
      </c>
      <c r="AK921" t="n">
        <v>0</v>
      </c>
      <c r="AL921" t="n">
        <v>2</v>
      </c>
      <c r="AM921" t="n">
        <v>2</v>
      </c>
      <c r="AN921" t="n">
        <v>1</v>
      </c>
      <c r="AO921" t="n">
        <v>1</v>
      </c>
      <c r="AP921" t="n">
        <v>0</v>
      </c>
      <c r="AQ921" t="n">
        <v>0</v>
      </c>
      <c r="AR921" t="inlineStr">
        <is>
          <t>No</t>
        </is>
      </c>
      <c r="AS921" t="inlineStr">
        <is>
          <t>Yes</t>
        </is>
      </c>
      <c r="AT921">
        <f>HYPERLINK("http://catalog.hathitrust.org/Record/000227492","HathiTrust Record")</f>
        <v/>
      </c>
      <c r="AU921">
        <f>HYPERLINK("https://creighton-primo.hosted.exlibrisgroup.com/primo-explore/search?tab=default_tab&amp;search_scope=EVERYTHING&amp;vid=01CRU&amp;lang=en_US&amp;offset=0&amp;query=any,contains,991004984059702656","Catalog Record")</f>
        <v/>
      </c>
      <c r="AV921">
        <f>HYPERLINK("http://www.worldcat.org/oclc/6446604","WorldCat Record")</f>
        <v/>
      </c>
      <c r="AW921" t="inlineStr">
        <is>
          <t>509201001:eng</t>
        </is>
      </c>
      <c r="AX921" t="inlineStr">
        <is>
          <t>6446604</t>
        </is>
      </c>
      <c r="AY921" t="inlineStr">
        <is>
          <t>991004984059702656</t>
        </is>
      </c>
      <c r="AZ921" t="inlineStr">
        <is>
          <t>991004984059702656</t>
        </is>
      </c>
      <c r="BA921" t="inlineStr">
        <is>
          <t>2255957490002656</t>
        </is>
      </c>
      <c r="BB921" t="inlineStr">
        <is>
          <t>BOOK</t>
        </is>
      </c>
      <c r="BD921" t="inlineStr">
        <is>
          <t>9780444003911</t>
        </is>
      </c>
      <c r="BE921" t="inlineStr">
        <is>
          <t>32285001549632</t>
        </is>
      </c>
      <c r="BF921" t="inlineStr">
        <is>
          <t>893807690</t>
        </is>
      </c>
    </row>
    <row r="922">
      <c r="B922" t="inlineStr">
        <is>
          <t>CURAL</t>
        </is>
      </c>
      <c r="C922" t="inlineStr">
        <is>
          <t>SHELVES</t>
        </is>
      </c>
      <c r="D922" t="inlineStr">
        <is>
          <t>QP86 .M26</t>
        </is>
      </c>
      <c r="E922" t="inlineStr">
        <is>
          <t>0                      QP 0086000M  26</t>
        </is>
      </c>
      <c r="F922" t="inlineStr">
        <is>
          <t>Aging and old age / Sheila C. McKenzie.</t>
        </is>
      </c>
      <c r="H922" t="inlineStr">
        <is>
          <t>No</t>
        </is>
      </c>
      <c r="I922" t="inlineStr">
        <is>
          <t>1</t>
        </is>
      </c>
      <c r="J922" t="inlineStr">
        <is>
          <t>No</t>
        </is>
      </c>
      <c r="K922" t="inlineStr">
        <is>
          <t>No</t>
        </is>
      </c>
      <c r="L922" t="inlineStr">
        <is>
          <t>0</t>
        </is>
      </c>
      <c r="M922" t="inlineStr">
        <is>
          <t>McKenzie, Sheila C., 1943-</t>
        </is>
      </c>
      <c r="N922" t="inlineStr">
        <is>
          <t>Glenview, Ill. : Scott, Foresman, c1980.</t>
        </is>
      </c>
      <c r="O922" t="inlineStr">
        <is>
          <t>1980</t>
        </is>
      </c>
      <c r="Q922" t="inlineStr">
        <is>
          <t>eng</t>
        </is>
      </c>
      <c r="R922" t="inlineStr">
        <is>
          <t>ilu</t>
        </is>
      </c>
      <c r="T922" t="inlineStr">
        <is>
          <t xml:space="preserve">QP </t>
        </is>
      </c>
      <c r="U922" t="n">
        <v>7</v>
      </c>
      <c r="V922" t="n">
        <v>7</v>
      </c>
      <c r="W922" t="inlineStr">
        <is>
          <t>1997-10-09</t>
        </is>
      </c>
      <c r="X922" t="inlineStr">
        <is>
          <t>1997-10-09</t>
        </is>
      </c>
      <c r="Y922" t="inlineStr">
        <is>
          <t>1993-08-20</t>
        </is>
      </c>
      <c r="Z922" t="inlineStr">
        <is>
          <t>1993-08-20</t>
        </is>
      </c>
      <c r="AA922" t="n">
        <v>296</v>
      </c>
      <c r="AB922" t="n">
        <v>250</v>
      </c>
      <c r="AC922" t="n">
        <v>253</v>
      </c>
      <c r="AD922" t="n">
        <v>3</v>
      </c>
      <c r="AE922" t="n">
        <v>3</v>
      </c>
      <c r="AF922" t="n">
        <v>13</v>
      </c>
      <c r="AG922" t="n">
        <v>13</v>
      </c>
      <c r="AH922" t="n">
        <v>4</v>
      </c>
      <c r="AI922" t="n">
        <v>4</v>
      </c>
      <c r="AJ922" t="n">
        <v>2</v>
      </c>
      <c r="AK922" t="n">
        <v>2</v>
      </c>
      <c r="AL922" t="n">
        <v>7</v>
      </c>
      <c r="AM922" t="n">
        <v>7</v>
      </c>
      <c r="AN922" t="n">
        <v>2</v>
      </c>
      <c r="AO922" t="n">
        <v>2</v>
      </c>
      <c r="AP922" t="n">
        <v>0</v>
      </c>
      <c r="AQ922" t="n">
        <v>0</v>
      </c>
      <c r="AR922" t="inlineStr">
        <is>
          <t>No</t>
        </is>
      </c>
      <c r="AS922" t="inlineStr">
        <is>
          <t>Yes</t>
        </is>
      </c>
      <c r="AT922">
        <f>HYPERLINK("http://catalog.hathitrust.org/Record/003869777","HathiTrust Record")</f>
        <v/>
      </c>
      <c r="AU922">
        <f>HYPERLINK("https://creighton-primo.hosted.exlibrisgroup.com/primo-explore/search?tab=default_tab&amp;search_scope=EVERYTHING&amp;vid=01CRU&amp;lang=en_US&amp;offset=0&amp;query=any,contains,991004864339702656","Catalog Record")</f>
        <v/>
      </c>
      <c r="AV922">
        <f>HYPERLINK("http://www.worldcat.org/oclc/5726080","WorldCat Record")</f>
        <v/>
      </c>
      <c r="AW922" t="inlineStr">
        <is>
          <t>3901550823:eng</t>
        </is>
      </c>
      <c r="AX922" t="inlineStr">
        <is>
          <t>5726080</t>
        </is>
      </c>
      <c r="AY922" t="inlineStr">
        <is>
          <t>991004864339702656</t>
        </is>
      </c>
      <c r="AZ922" t="inlineStr">
        <is>
          <t>991004864339702656</t>
        </is>
      </c>
      <c r="BA922" t="inlineStr">
        <is>
          <t>2260817090002656</t>
        </is>
      </c>
      <c r="BB922" t="inlineStr">
        <is>
          <t>BOOK</t>
        </is>
      </c>
      <c r="BD922" t="inlineStr">
        <is>
          <t>9780673152503</t>
        </is>
      </c>
      <c r="BE922" t="inlineStr">
        <is>
          <t>32285001760619</t>
        </is>
      </c>
      <c r="BF922" t="inlineStr">
        <is>
          <t>893236009</t>
        </is>
      </c>
    </row>
    <row r="923">
      <c r="B923" t="inlineStr">
        <is>
          <t>CURAL</t>
        </is>
      </c>
      <c r="C923" t="inlineStr">
        <is>
          <t>SHELVES</t>
        </is>
      </c>
      <c r="D923" t="inlineStr">
        <is>
          <t>QP86 .M65 1985</t>
        </is>
      </c>
      <c r="E923" t="inlineStr">
        <is>
          <t>0                      QP 0086000M  65          1985</t>
        </is>
      </c>
      <c r="F923" t="inlineStr">
        <is>
          <t>Modification of proteins during aging : proceedings of the mini-symposium session "Impact of aging on biochemical function," held during the 75th Annual Meeting of the American Society of Biological Chemists, St. Louis, Missouri, June 3-7, 1984 / editors, Richard C. Adelman, Eugene E. Dekker.</t>
        </is>
      </c>
      <c r="H923" t="inlineStr">
        <is>
          <t>No</t>
        </is>
      </c>
      <c r="I923" t="inlineStr">
        <is>
          <t>1</t>
        </is>
      </c>
      <c r="J923" t="inlineStr">
        <is>
          <t>No</t>
        </is>
      </c>
      <c r="K923" t="inlineStr">
        <is>
          <t>No</t>
        </is>
      </c>
      <c r="L923" t="inlineStr">
        <is>
          <t>0</t>
        </is>
      </c>
      <c r="N923" t="inlineStr">
        <is>
          <t>New York : Liss, c1985.</t>
        </is>
      </c>
      <c r="O923" t="inlineStr">
        <is>
          <t>1985</t>
        </is>
      </c>
      <c r="Q923" t="inlineStr">
        <is>
          <t>eng</t>
        </is>
      </c>
      <c r="R923" t="inlineStr">
        <is>
          <t>nyu</t>
        </is>
      </c>
      <c r="S923" t="inlineStr">
        <is>
          <t>Modern aging research ; v. 7</t>
        </is>
      </c>
      <c r="T923" t="inlineStr">
        <is>
          <t xml:space="preserve">QP </t>
        </is>
      </c>
      <c r="U923" t="n">
        <v>9</v>
      </c>
      <c r="V923" t="n">
        <v>9</v>
      </c>
      <c r="W923" t="inlineStr">
        <is>
          <t>1998-10-06</t>
        </is>
      </c>
      <c r="X923" t="inlineStr">
        <is>
          <t>1998-10-06</t>
        </is>
      </c>
      <c r="Y923" t="inlineStr">
        <is>
          <t>1992-04-08</t>
        </is>
      </c>
      <c r="Z923" t="inlineStr">
        <is>
          <t>1992-04-08</t>
        </is>
      </c>
      <c r="AA923" t="n">
        <v>150</v>
      </c>
      <c r="AB923" t="n">
        <v>131</v>
      </c>
      <c r="AC923" t="n">
        <v>136</v>
      </c>
      <c r="AD923" t="n">
        <v>1</v>
      </c>
      <c r="AE923" t="n">
        <v>1</v>
      </c>
      <c r="AF923" t="n">
        <v>3</v>
      </c>
      <c r="AG923" t="n">
        <v>4</v>
      </c>
      <c r="AH923" t="n">
        <v>0</v>
      </c>
      <c r="AI923" t="n">
        <v>0</v>
      </c>
      <c r="AJ923" t="n">
        <v>1</v>
      </c>
      <c r="AK923" t="n">
        <v>2</v>
      </c>
      <c r="AL923" t="n">
        <v>2</v>
      </c>
      <c r="AM923" t="n">
        <v>3</v>
      </c>
      <c r="AN923" t="n">
        <v>0</v>
      </c>
      <c r="AO923" t="n">
        <v>0</v>
      </c>
      <c r="AP923" t="n">
        <v>0</v>
      </c>
      <c r="AQ923" t="n">
        <v>0</v>
      </c>
      <c r="AR923" t="inlineStr">
        <is>
          <t>No</t>
        </is>
      </c>
      <c r="AS923" t="inlineStr">
        <is>
          <t>Yes</t>
        </is>
      </c>
      <c r="AT923">
        <f>HYPERLINK("http://catalog.hathitrust.org/Record/000419324","HathiTrust Record")</f>
        <v/>
      </c>
      <c r="AU923">
        <f>HYPERLINK("https://creighton-primo.hosted.exlibrisgroup.com/primo-explore/search?tab=default_tab&amp;search_scope=EVERYTHING&amp;vid=01CRU&amp;lang=en_US&amp;offset=0&amp;query=any,contains,991000652739702656","Catalog Record")</f>
        <v/>
      </c>
      <c r="AV923">
        <f>HYPERLINK("http://www.worldcat.org/oclc/12188617","WorldCat Record")</f>
        <v/>
      </c>
      <c r="AW923" t="inlineStr">
        <is>
          <t>5197960:eng</t>
        </is>
      </c>
      <c r="AX923" t="inlineStr">
        <is>
          <t>12188617</t>
        </is>
      </c>
      <c r="AY923" t="inlineStr">
        <is>
          <t>991000652739702656</t>
        </is>
      </c>
      <c r="AZ923" t="inlineStr">
        <is>
          <t>991000652739702656</t>
        </is>
      </c>
      <c r="BA923" t="inlineStr">
        <is>
          <t>2254935570002656</t>
        </is>
      </c>
      <c r="BB923" t="inlineStr">
        <is>
          <t>BOOK</t>
        </is>
      </c>
      <c r="BD923" t="inlineStr">
        <is>
          <t>9780845123072</t>
        </is>
      </c>
      <c r="BE923" t="inlineStr">
        <is>
          <t>32285001056133</t>
        </is>
      </c>
      <c r="BF923" t="inlineStr">
        <is>
          <t>893890901</t>
        </is>
      </c>
    </row>
    <row r="924">
      <c r="B924" t="inlineStr">
        <is>
          <t>CURAL</t>
        </is>
      </c>
      <c r="C924" t="inlineStr">
        <is>
          <t>SHELVES</t>
        </is>
      </c>
      <c r="D924" t="inlineStr">
        <is>
          <t>QP86 .M68 1984</t>
        </is>
      </c>
      <c r="E924" t="inlineStr">
        <is>
          <t>0                      QP 0086000M  68          1984</t>
        </is>
      </c>
      <c r="F924" t="inlineStr">
        <is>
          <t>Molecular basis of aging / edited by A.K. Roy, B. Chatterjee.</t>
        </is>
      </c>
      <c r="H924" t="inlineStr">
        <is>
          <t>No</t>
        </is>
      </c>
      <c r="I924" t="inlineStr">
        <is>
          <t>1</t>
        </is>
      </c>
      <c r="J924" t="inlineStr">
        <is>
          <t>No</t>
        </is>
      </c>
      <c r="K924" t="inlineStr">
        <is>
          <t>No</t>
        </is>
      </c>
      <c r="L924" t="inlineStr">
        <is>
          <t>0</t>
        </is>
      </c>
      <c r="N924" t="inlineStr">
        <is>
          <t>Orlando : Academic Press, 1984.</t>
        </is>
      </c>
      <c r="O924" t="inlineStr">
        <is>
          <t>1984</t>
        </is>
      </c>
      <c r="Q924" t="inlineStr">
        <is>
          <t>eng</t>
        </is>
      </c>
      <c r="R924" t="inlineStr">
        <is>
          <t>flu</t>
        </is>
      </c>
      <c r="T924" t="inlineStr">
        <is>
          <t xml:space="preserve">QP </t>
        </is>
      </c>
      <c r="U924" t="n">
        <v>5</v>
      </c>
      <c r="V924" t="n">
        <v>5</v>
      </c>
      <c r="W924" t="inlineStr">
        <is>
          <t>1998-10-10</t>
        </is>
      </c>
      <c r="X924" t="inlineStr">
        <is>
          <t>1998-10-10</t>
        </is>
      </c>
      <c r="Y924" t="inlineStr">
        <is>
          <t>1993-08-20</t>
        </is>
      </c>
      <c r="Z924" t="inlineStr">
        <is>
          <t>1993-08-20</t>
        </is>
      </c>
      <c r="AA924" t="n">
        <v>222</v>
      </c>
      <c r="AB924" t="n">
        <v>185</v>
      </c>
      <c r="AC924" t="n">
        <v>231</v>
      </c>
      <c r="AD924" t="n">
        <v>3</v>
      </c>
      <c r="AE924" t="n">
        <v>3</v>
      </c>
      <c r="AF924" t="n">
        <v>6</v>
      </c>
      <c r="AG924" t="n">
        <v>9</v>
      </c>
      <c r="AH924" t="n">
        <v>0</v>
      </c>
      <c r="AI924" t="n">
        <v>2</v>
      </c>
      <c r="AJ924" t="n">
        <v>2</v>
      </c>
      <c r="AK924" t="n">
        <v>4</v>
      </c>
      <c r="AL924" t="n">
        <v>3</v>
      </c>
      <c r="AM924" t="n">
        <v>3</v>
      </c>
      <c r="AN924" t="n">
        <v>2</v>
      </c>
      <c r="AO924" t="n">
        <v>2</v>
      </c>
      <c r="AP924" t="n">
        <v>0</v>
      </c>
      <c r="AQ924" t="n">
        <v>0</v>
      </c>
      <c r="AR924" t="inlineStr">
        <is>
          <t>No</t>
        </is>
      </c>
      <c r="AS924" t="inlineStr">
        <is>
          <t>Yes</t>
        </is>
      </c>
      <c r="AT924">
        <f>HYPERLINK("http://catalog.hathitrust.org/Record/000574802","HathiTrust Record")</f>
        <v/>
      </c>
      <c r="AU924">
        <f>HYPERLINK("https://creighton-primo.hosted.exlibrisgroup.com/primo-explore/search?tab=default_tab&amp;search_scope=EVERYTHING&amp;vid=01CRU&amp;lang=en_US&amp;offset=0&amp;query=any,contains,991000513039702656","Catalog Record")</f>
        <v/>
      </c>
      <c r="AV924">
        <f>HYPERLINK("http://www.worldcat.org/oclc/11259947","WorldCat Record")</f>
        <v/>
      </c>
      <c r="AW924" t="inlineStr">
        <is>
          <t>54671925:eng</t>
        </is>
      </c>
      <c r="AX924" t="inlineStr">
        <is>
          <t>11259947</t>
        </is>
      </c>
      <c r="AY924" t="inlineStr">
        <is>
          <t>991000513039702656</t>
        </is>
      </c>
      <c r="AZ924" t="inlineStr">
        <is>
          <t>991000513039702656</t>
        </is>
      </c>
      <c r="BA924" t="inlineStr">
        <is>
          <t>2272727020002656</t>
        </is>
      </c>
      <c r="BB924" t="inlineStr">
        <is>
          <t>BOOK</t>
        </is>
      </c>
      <c r="BD924" t="inlineStr">
        <is>
          <t>9780126010602</t>
        </is>
      </c>
      <c r="BE924" t="inlineStr">
        <is>
          <t>32285001760627</t>
        </is>
      </c>
      <c r="BF924" t="inlineStr">
        <is>
          <t>893871737</t>
        </is>
      </c>
    </row>
    <row r="925">
      <c r="B925" t="inlineStr">
        <is>
          <t>CURAL</t>
        </is>
      </c>
      <c r="C925" t="inlineStr">
        <is>
          <t>SHELVES</t>
        </is>
      </c>
      <c r="D925" t="inlineStr">
        <is>
          <t>QP86 .M683 1995</t>
        </is>
      </c>
      <c r="E925" t="inlineStr">
        <is>
          <t>0                      QP 0086000M  683         1995</t>
        </is>
      </c>
      <c r="F925" t="inlineStr">
        <is>
          <t>Molecular basis of aging / edited by Alvaro Macieira-Coelho.</t>
        </is>
      </c>
      <c r="H925" t="inlineStr">
        <is>
          <t>No</t>
        </is>
      </c>
      <c r="I925" t="inlineStr">
        <is>
          <t>1</t>
        </is>
      </c>
      <c r="J925" t="inlineStr">
        <is>
          <t>No</t>
        </is>
      </c>
      <c r="K925" t="inlineStr">
        <is>
          <t>No</t>
        </is>
      </c>
      <c r="L925" t="inlineStr">
        <is>
          <t>0</t>
        </is>
      </c>
      <c r="N925" t="inlineStr">
        <is>
          <t>Boca Raton : CRC Press, 1995.</t>
        </is>
      </c>
      <c r="O925" t="inlineStr">
        <is>
          <t>1995</t>
        </is>
      </c>
      <c r="Q925" t="inlineStr">
        <is>
          <t>eng</t>
        </is>
      </c>
      <c r="R925" t="inlineStr">
        <is>
          <t>flu</t>
        </is>
      </c>
      <c r="T925" t="inlineStr">
        <is>
          <t xml:space="preserve">QP </t>
        </is>
      </c>
      <c r="U925" t="n">
        <v>8</v>
      </c>
      <c r="V925" t="n">
        <v>8</v>
      </c>
      <c r="W925" t="inlineStr">
        <is>
          <t>2005-09-27</t>
        </is>
      </c>
      <c r="X925" t="inlineStr">
        <is>
          <t>2005-09-27</t>
        </is>
      </c>
      <c r="Y925" t="inlineStr">
        <is>
          <t>1995-08-21</t>
        </is>
      </c>
      <c r="Z925" t="inlineStr">
        <is>
          <t>1995-08-21</t>
        </is>
      </c>
      <c r="AA925" t="n">
        <v>178</v>
      </c>
      <c r="AB925" t="n">
        <v>122</v>
      </c>
      <c r="AC925" t="n">
        <v>151</v>
      </c>
      <c r="AD925" t="n">
        <v>1</v>
      </c>
      <c r="AE925" t="n">
        <v>1</v>
      </c>
      <c r="AF925" t="n">
        <v>6</v>
      </c>
      <c r="AG925" t="n">
        <v>6</v>
      </c>
      <c r="AH925" t="n">
        <v>1</v>
      </c>
      <c r="AI925" t="n">
        <v>1</v>
      </c>
      <c r="AJ925" t="n">
        <v>3</v>
      </c>
      <c r="AK925" t="n">
        <v>3</v>
      </c>
      <c r="AL925" t="n">
        <v>5</v>
      </c>
      <c r="AM925" t="n">
        <v>5</v>
      </c>
      <c r="AN925" t="n">
        <v>0</v>
      </c>
      <c r="AO925" t="n">
        <v>0</v>
      </c>
      <c r="AP925" t="n">
        <v>0</v>
      </c>
      <c r="AQ925" t="n">
        <v>0</v>
      </c>
      <c r="AR925" t="inlineStr">
        <is>
          <t>No</t>
        </is>
      </c>
      <c r="AS925" t="inlineStr">
        <is>
          <t>No</t>
        </is>
      </c>
      <c r="AU925">
        <f>HYPERLINK("https://creighton-primo.hosted.exlibrisgroup.com/primo-explore/search?tab=default_tab&amp;search_scope=EVERYTHING&amp;vid=01CRU&amp;lang=en_US&amp;offset=0&amp;query=any,contains,991002490729702656","Catalog Record")</f>
        <v/>
      </c>
      <c r="AV925">
        <f>HYPERLINK("http://www.worldcat.org/oclc/32397494","WorldCat Record")</f>
        <v/>
      </c>
      <c r="AW925" t="inlineStr">
        <is>
          <t>3773708:eng</t>
        </is>
      </c>
      <c r="AX925" t="inlineStr">
        <is>
          <t>32397494</t>
        </is>
      </c>
      <c r="AY925" t="inlineStr">
        <is>
          <t>991002490729702656</t>
        </is>
      </c>
      <c r="AZ925" t="inlineStr">
        <is>
          <t>991002490729702656</t>
        </is>
      </c>
      <c r="BA925" t="inlineStr">
        <is>
          <t>2254817850002656</t>
        </is>
      </c>
      <c r="BB925" t="inlineStr">
        <is>
          <t>BOOK</t>
        </is>
      </c>
      <c r="BD925" t="inlineStr">
        <is>
          <t>9780849347863</t>
        </is>
      </c>
      <c r="BE925" t="inlineStr">
        <is>
          <t>32285002077856</t>
        </is>
      </c>
      <c r="BF925" t="inlineStr">
        <is>
          <t>893609913</t>
        </is>
      </c>
    </row>
    <row r="926">
      <c r="B926" t="inlineStr">
        <is>
          <t>CURAL</t>
        </is>
      </c>
      <c r="C926" t="inlineStr">
        <is>
          <t>SHELVES</t>
        </is>
      </c>
      <c r="D926" t="inlineStr">
        <is>
          <t>QP86 .P557 1994</t>
        </is>
      </c>
      <c r="E926" t="inlineStr">
        <is>
          <t>0                      QP 0086000P  557         1994</t>
        </is>
      </c>
      <c r="F926" t="inlineStr">
        <is>
          <t>Physiological basis of aging and geriatrics / edited by Paola S. Timiras.</t>
        </is>
      </c>
      <c r="H926" t="inlineStr">
        <is>
          <t>No</t>
        </is>
      </c>
      <c r="I926" t="inlineStr">
        <is>
          <t>1</t>
        </is>
      </c>
      <c r="J926" t="inlineStr">
        <is>
          <t>No</t>
        </is>
      </c>
      <c r="K926" t="inlineStr">
        <is>
          <t>No</t>
        </is>
      </c>
      <c r="L926" t="inlineStr">
        <is>
          <t>0</t>
        </is>
      </c>
      <c r="N926" t="inlineStr">
        <is>
          <t>Boca Raton : CRC Press, c1994.</t>
        </is>
      </c>
      <c r="O926" t="inlineStr">
        <is>
          <t>1994</t>
        </is>
      </c>
      <c r="P926" t="inlineStr">
        <is>
          <t>2nd ed.</t>
        </is>
      </c>
      <c r="Q926" t="inlineStr">
        <is>
          <t>eng</t>
        </is>
      </c>
      <c r="R926" t="inlineStr">
        <is>
          <t>flu</t>
        </is>
      </c>
      <c r="T926" t="inlineStr">
        <is>
          <t xml:space="preserve">QP </t>
        </is>
      </c>
      <c r="U926" t="n">
        <v>7</v>
      </c>
      <c r="V926" t="n">
        <v>7</v>
      </c>
      <c r="W926" t="inlineStr">
        <is>
          <t>2005-09-28</t>
        </is>
      </c>
      <c r="X926" t="inlineStr">
        <is>
          <t>2005-09-28</t>
        </is>
      </c>
      <c r="Y926" t="inlineStr">
        <is>
          <t>1995-01-10</t>
        </is>
      </c>
      <c r="Z926" t="inlineStr">
        <is>
          <t>1995-01-10</t>
        </is>
      </c>
      <c r="AA926" t="n">
        <v>305</v>
      </c>
      <c r="AB926" t="n">
        <v>226</v>
      </c>
      <c r="AC926" t="n">
        <v>424</v>
      </c>
      <c r="AD926" t="n">
        <v>3</v>
      </c>
      <c r="AE926" t="n">
        <v>3</v>
      </c>
      <c r="AF926" t="n">
        <v>10</v>
      </c>
      <c r="AG926" t="n">
        <v>20</v>
      </c>
      <c r="AH926" t="n">
        <v>3</v>
      </c>
      <c r="AI926" t="n">
        <v>9</v>
      </c>
      <c r="AJ926" t="n">
        <v>3</v>
      </c>
      <c r="AK926" t="n">
        <v>5</v>
      </c>
      <c r="AL926" t="n">
        <v>4</v>
      </c>
      <c r="AM926" t="n">
        <v>10</v>
      </c>
      <c r="AN926" t="n">
        <v>2</v>
      </c>
      <c r="AO926" t="n">
        <v>2</v>
      </c>
      <c r="AP926" t="n">
        <v>0</v>
      </c>
      <c r="AQ926" t="n">
        <v>0</v>
      </c>
      <c r="AR926" t="inlineStr">
        <is>
          <t>No</t>
        </is>
      </c>
      <c r="AS926" t="inlineStr">
        <is>
          <t>Yes</t>
        </is>
      </c>
      <c r="AT926">
        <f>HYPERLINK("http://catalog.hathitrust.org/Record/002915891","HathiTrust Record")</f>
        <v/>
      </c>
      <c r="AU926">
        <f>HYPERLINK("https://creighton-primo.hosted.exlibrisgroup.com/primo-explore/search?tab=default_tab&amp;search_scope=EVERYTHING&amp;vid=01CRU&amp;lang=en_US&amp;offset=0&amp;query=any,contains,991002270209702656","Catalog Record")</f>
        <v/>
      </c>
      <c r="AV926">
        <f>HYPERLINK("http://www.worldcat.org/oclc/29466953","WorldCat Record")</f>
        <v/>
      </c>
      <c r="AW926" t="inlineStr">
        <is>
          <t>821887574:eng</t>
        </is>
      </c>
      <c r="AX926" t="inlineStr">
        <is>
          <t>29466953</t>
        </is>
      </c>
      <c r="AY926" t="inlineStr">
        <is>
          <t>991002270209702656</t>
        </is>
      </c>
      <c r="AZ926" t="inlineStr">
        <is>
          <t>991002270209702656</t>
        </is>
      </c>
      <c r="BA926" t="inlineStr">
        <is>
          <t>2259932730002656</t>
        </is>
      </c>
      <c r="BB926" t="inlineStr">
        <is>
          <t>BOOK</t>
        </is>
      </c>
      <c r="BD926" t="inlineStr">
        <is>
          <t>9780849389795</t>
        </is>
      </c>
      <c r="BE926" t="inlineStr">
        <is>
          <t>32285001991966</t>
        </is>
      </c>
      <c r="BF926" t="inlineStr">
        <is>
          <t>893232763</t>
        </is>
      </c>
    </row>
    <row r="927">
      <c r="B927" t="inlineStr">
        <is>
          <t>CURAL</t>
        </is>
      </c>
      <c r="C927" t="inlineStr">
        <is>
          <t>SHELVES</t>
        </is>
      </c>
      <c r="D927" t="inlineStr">
        <is>
          <t>QP86 .R525 1995</t>
        </is>
      </c>
      <c r="E927" t="inlineStr">
        <is>
          <t>0                      QP 0086000R  525         1995</t>
        </is>
      </c>
      <c r="F927" t="inlineStr">
        <is>
          <t>Aging : a natural history / Robert E. Ricklefs, Caleb E. Finch.</t>
        </is>
      </c>
      <c r="H927" t="inlineStr">
        <is>
          <t>No</t>
        </is>
      </c>
      <c r="I927" t="inlineStr">
        <is>
          <t>1</t>
        </is>
      </c>
      <c r="J927" t="inlineStr">
        <is>
          <t>No</t>
        </is>
      </c>
      <c r="K927" t="inlineStr">
        <is>
          <t>No</t>
        </is>
      </c>
      <c r="L927" t="inlineStr">
        <is>
          <t>0</t>
        </is>
      </c>
      <c r="M927" t="inlineStr">
        <is>
          <t>Ricklefs, Robert E.</t>
        </is>
      </c>
      <c r="N927" t="inlineStr">
        <is>
          <t>New York : Scientific American Library : Distributed by W.H. Freeman, c1995.</t>
        </is>
      </c>
      <c r="O927" t="inlineStr">
        <is>
          <t>1995</t>
        </is>
      </c>
      <c r="Q927" t="inlineStr">
        <is>
          <t>eng</t>
        </is>
      </c>
      <c r="R927" t="inlineStr">
        <is>
          <t>nyu</t>
        </is>
      </c>
      <c r="T927" t="inlineStr">
        <is>
          <t xml:space="preserve">QP </t>
        </is>
      </c>
      <c r="U927" t="n">
        <v>5</v>
      </c>
      <c r="V927" t="n">
        <v>5</v>
      </c>
      <c r="W927" t="inlineStr">
        <is>
          <t>1998-10-01</t>
        </is>
      </c>
      <c r="X927" t="inlineStr">
        <is>
          <t>1998-10-01</t>
        </is>
      </c>
      <c r="Y927" t="inlineStr">
        <is>
          <t>1996-03-01</t>
        </is>
      </c>
      <c r="Z927" t="inlineStr">
        <is>
          <t>1996-03-01</t>
        </is>
      </c>
      <c r="AA927" t="n">
        <v>880</v>
      </c>
      <c r="AB927" t="n">
        <v>751</v>
      </c>
      <c r="AC927" t="n">
        <v>754</v>
      </c>
      <c r="AD927" t="n">
        <v>8</v>
      </c>
      <c r="AE927" t="n">
        <v>8</v>
      </c>
      <c r="AF927" t="n">
        <v>29</v>
      </c>
      <c r="AG927" t="n">
        <v>29</v>
      </c>
      <c r="AH927" t="n">
        <v>9</v>
      </c>
      <c r="AI927" t="n">
        <v>9</v>
      </c>
      <c r="AJ927" t="n">
        <v>3</v>
      </c>
      <c r="AK927" t="n">
        <v>3</v>
      </c>
      <c r="AL927" t="n">
        <v>15</v>
      </c>
      <c r="AM927" t="n">
        <v>15</v>
      </c>
      <c r="AN927" t="n">
        <v>6</v>
      </c>
      <c r="AO927" t="n">
        <v>6</v>
      </c>
      <c r="AP927" t="n">
        <v>0</v>
      </c>
      <c r="AQ927" t="n">
        <v>0</v>
      </c>
      <c r="AR927" t="inlineStr">
        <is>
          <t>No</t>
        </is>
      </c>
      <c r="AS927" t="inlineStr">
        <is>
          <t>No</t>
        </is>
      </c>
      <c r="AU927">
        <f>HYPERLINK("https://creighton-primo.hosted.exlibrisgroup.com/primo-explore/search?tab=default_tab&amp;search_scope=EVERYTHING&amp;vid=01CRU&amp;lang=en_US&amp;offset=0&amp;query=any,contains,991002451159702656","Catalog Record")</f>
        <v/>
      </c>
      <c r="AV927">
        <f>HYPERLINK("http://www.worldcat.org/oclc/31969925","WorldCat Record")</f>
        <v/>
      </c>
      <c r="AW927" t="inlineStr">
        <is>
          <t>499087268:eng</t>
        </is>
      </c>
      <c r="AX927" t="inlineStr">
        <is>
          <t>31969925</t>
        </is>
      </c>
      <c r="AY927" t="inlineStr">
        <is>
          <t>991002451159702656</t>
        </is>
      </c>
      <c r="AZ927" t="inlineStr">
        <is>
          <t>991002451159702656</t>
        </is>
      </c>
      <c r="BA927" t="inlineStr">
        <is>
          <t>2260783720002656</t>
        </is>
      </c>
      <c r="BB927" t="inlineStr">
        <is>
          <t>BOOK</t>
        </is>
      </c>
      <c r="BD927" t="inlineStr">
        <is>
          <t>9780716750567</t>
        </is>
      </c>
      <c r="BE927" t="inlineStr">
        <is>
          <t>32285002139441</t>
        </is>
      </c>
      <c r="BF927" t="inlineStr">
        <is>
          <t>893779828</t>
        </is>
      </c>
    </row>
    <row r="928">
      <c r="B928" t="inlineStr">
        <is>
          <t>CURAL</t>
        </is>
      </c>
      <c r="C928" t="inlineStr">
        <is>
          <t>SHELVES</t>
        </is>
      </c>
      <c r="D928" t="inlineStr">
        <is>
          <t>QP86 .S478 1997</t>
        </is>
      </c>
      <c r="E928" t="inlineStr">
        <is>
          <t>0                      QP 0086000S  478         1997</t>
        </is>
      </c>
      <c r="F928" t="inlineStr">
        <is>
          <t>Aging, physical activity, and health / Roy J. Shephard.</t>
        </is>
      </c>
      <c r="H928" t="inlineStr">
        <is>
          <t>No</t>
        </is>
      </c>
      <c r="I928" t="inlineStr">
        <is>
          <t>1</t>
        </is>
      </c>
      <c r="J928" t="inlineStr">
        <is>
          <t>No</t>
        </is>
      </c>
      <c r="K928" t="inlineStr">
        <is>
          <t>No</t>
        </is>
      </c>
      <c r="L928" t="inlineStr">
        <is>
          <t>0</t>
        </is>
      </c>
      <c r="M928" t="inlineStr">
        <is>
          <t>Shephard, Roy J.</t>
        </is>
      </c>
      <c r="N928" t="inlineStr">
        <is>
          <t>Champaign, IL : Human Kinetics, c1997.</t>
        </is>
      </c>
      <c r="O928" t="inlineStr">
        <is>
          <t>1997</t>
        </is>
      </c>
      <c r="Q928" t="inlineStr">
        <is>
          <t>eng</t>
        </is>
      </c>
      <c r="R928" t="inlineStr">
        <is>
          <t>ilu</t>
        </is>
      </c>
      <c r="T928" t="inlineStr">
        <is>
          <t xml:space="preserve">QP </t>
        </is>
      </c>
      <c r="U928" t="n">
        <v>3</v>
      </c>
      <c r="V928" t="n">
        <v>3</v>
      </c>
      <c r="W928" t="inlineStr">
        <is>
          <t>2001-05-16</t>
        </is>
      </c>
      <c r="X928" t="inlineStr">
        <is>
          <t>2001-05-16</t>
        </is>
      </c>
      <c r="Y928" t="inlineStr">
        <is>
          <t>2001-01-24</t>
        </is>
      </c>
      <c r="Z928" t="inlineStr">
        <is>
          <t>2001-01-24</t>
        </is>
      </c>
      <c r="AA928" t="n">
        <v>620</v>
      </c>
      <c r="AB928" t="n">
        <v>462</v>
      </c>
      <c r="AC928" t="n">
        <v>464</v>
      </c>
      <c r="AD928" t="n">
        <v>5</v>
      </c>
      <c r="AE928" t="n">
        <v>5</v>
      </c>
      <c r="AF928" t="n">
        <v>23</v>
      </c>
      <c r="AG928" t="n">
        <v>23</v>
      </c>
      <c r="AH928" t="n">
        <v>11</v>
      </c>
      <c r="AI928" t="n">
        <v>11</v>
      </c>
      <c r="AJ928" t="n">
        <v>3</v>
      </c>
      <c r="AK928" t="n">
        <v>3</v>
      </c>
      <c r="AL928" t="n">
        <v>12</v>
      </c>
      <c r="AM928" t="n">
        <v>12</v>
      </c>
      <c r="AN928" t="n">
        <v>4</v>
      </c>
      <c r="AO928" t="n">
        <v>4</v>
      </c>
      <c r="AP928" t="n">
        <v>0</v>
      </c>
      <c r="AQ928" t="n">
        <v>0</v>
      </c>
      <c r="AR928" t="inlineStr">
        <is>
          <t>No</t>
        </is>
      </c>
      <c r="AS928" t="inlineStr">
        <is>
          <t>Yes</t>
        </is>
      </c>
      <c r="AT928">
        <f>HYPERLINK("http://catalog.hathitrust.org/Record/003140223","HathiTrust Record")</f>
        <v/>
      </c>
      <c r="AU928">
        <f>HYPERLINK("https://creighton-primo.hosted.exlibrisgroup.com/primo-explore/search?tab=default_tab&amp;search_scope=EVERYTHING&amp;vid=01CRU&amp;lang=en_US&amp;offset=0&amp;query=any,contains,991003353359702656","Catalog Record")</f>
        <v/>
      </c>
      <c r="AV928">
        <f>HYPERLINK("http://www.worldcat.org/oclc/35593580","WorldCat Record")</f>
        <v/>
      </c>
      <c r="AW928" t="inlineStr">
        <is>
          <t>3901575644:eng</t>
        </is>
      </c>
      <c r="AX928" t="inlineStr">
        <is>
          <t>35593580</t>
        </is>
      </c>
      <c r="AY928" t="inlineStr">
        <is>
          <t>991003353359702656</t>
        </is>
      </c>
      <c r="AZ928" t="inlineStr">
        <is>
          <t>991003353359702656</t>
        </is>
      </c>
      <c r="BA928" t="inlineStr">
        <is>
          <t>2271918210002656</t>
        </is>
      </c>
      <c r="BB928" t="inlineStr">
        <is>
          <t>BOOK</t>
        </is>
      </c>
      <c r="BD928" t="inlineStr">
        <is>
          <t>9780873228893</t>
        </is>
      </c>
      <c r="BE928" t="inlineStr">
        <is>
          <t>32285004291349</t>
        </is>
      </c>
      <c r="BF928" t="inlineStr">
        <is>
          <t>893234095</t>
        </is>
      </c>
    </row>
    <row r="929">
      <c r="B929" t="inlineStr">
        <is>
          <t>CURAL</t>
        </is>
      </c>
      <c r="C929" t="inlineStr">
        <is>
          <t>SHELVES</t>
        </is>
      </c>
      <c r="D929" t="inlineStr">
        <is>
          <t>QP86 .S65 2005</t>
        </is>
      </c>
      <c r="E929" t="inlineStr">
        <is>
          <t>0                      QP 0086000S  65          2005</t>
        </is>
      </c>
      <c r="F929" t="inlineStr">
        <is>
          <t>Physical dimensions of aging / Waneen W. Spirduso, Karen L. Francis, Priscilla G. MacRae.</t>
        </is>
      </c>
      <c r="H929" t="inlineStr">
        <is>
          <t>No</t>
        </is>
      </c>
      <c r="I929" t="inlineStr">
        <is>
          <t>1</t>
        </is>
      </c>
      <c r="J929" t="inlineStr">
        <is>
          <t>No</t>
        </is>
      </c>
      <c r="K929" t="inlineStr">
        <is>
          <t>No</t>
        </is>
      </c>
      <c r="L929" t="inlineStr">
        <is>
          <t>0</t>
        </is>
      </c>
      <c r="M929" t="inlineStr">
        <is>
          <t>Spirduso, Waneen Wyrick.</t>
        </is>
      </c>
      <c r="N929" t="inlineStr">
        <is>
          <t>Champaign, IL : Human Kinetics, c2005.</t>
        </is>
      </c>
      <c r="O929" t="inlineStr">
        <is>
          <t>2005</t>
        </is>
      </c>
      <c r="P929" t="inlineStr">
        <is>
          <t>2nd ed.</t>
        </is>
      </c>
      <c r="Q929" t="inlineStr">
        <is>
          <t>eng</t>
        </is>
      </c>
      <c r="R929" t="inlineStr">
        <is>
          <t>ilu</t>
        </is>
      </c>
      <c r="T929" t="inlineStr">
        <is>
          <t xml:space="preserve">QP </t>
        </is>
      </c>
      <c r="U929" t="n">
        <v>1</v>
      </c>
      <c r="V929" t="n">
        <v>1</v>
      </c>
      <c r="W929" t="inlineStr">
        <is>
          <t>2010-03-03</t>
        </is>
      </c>
      <c r="X929" t="inlineStr">
        <is>
          <t>2010-03-03</t>
        </is>
      </c>
      <c r="Y929" t="inlineStr">
        <is>
          <t>2010-03-03</t>
        </is>
      </c>
      <c r="Z929" t="inlineStr">
        <is>
          <t>2010-03-03</t>
        </is>
      </c>
      <c r="AA929" t="n">
        <v>486</v>
      </c>
      <c r="AB929" t="n">
        <v>332</v>
      </c>
      <c r="AC929" t="n">
        <v>673</v>
      </c>
      <c r="AD929" t="n">
        <v>4</v>
      </c>
      <c r="AE929" t="n">
        <v>6</v>
      </c>
      <c r="AF929" t="n">
        <v>21</v>
      </c>
      <c r="AG929" t="n">
        <v>33</v>
      </c>
      <c r="AH929" t="n">
        <v>11</v>
      </c>
      <c r="AI929" t="n">
        <v>16</v>
      </c>
      <c r="AJ929" t="n">
        <v>4</v>
      </c>
      <c r="AK929" t="n">
        <v>5</v>
      </c>
      <c r="AL929" t="n">
        <v>9</v>
      </c>
      <c r="AM929" t="n">
        <v>15</v>
      </c>
      <c r="AN929" t="n">
        <v>3</v>
      </c>
      <c r="AO929" t="n">
        <v>5</v>
      </c>
      <c r="AP929" t="n">
        <v>0</v>
      </c>
      <c r="AQ929" t="n">
        <v>0</v>
      </c>
      <c r="AR929" t="inlineStr">
        <is>
          <t>No</t>
        </is>
      </c>
      <c r="AS929" t="inlineStr">
        <is>
          <t>Yes</t>
        </is>
      </c>
      <c r="AT929">
        <f>HYPERLINK("http://catalog.hathitrust.org/Record/004928144","HathiTrust Record")</f>
        <v/>
      </c>
      <c r="AU929">
        <f>HYPERLINK("https://creighton-primo.hosted.exlibrisgroup.com/primo-explore/search?tab=default_tab&amp;search_scope=EVERYTHING&amp;vid=01CRU&amp;lang=en_US&amp;offset=0&amp;query=any,contains,991005365729702656","Catalog Record")</f>
        <v/>
      </c>
      <c r="AV929">
        <f>HYPERLINK("http://www.worldcat.org/oclc/56011721","WorldCat Record")</f>
        <v/>
      </c>
      <c r="AW929" t="inlineStr">
        <is>
          <t>4160740815:eng</t>
        </is>
      </c>
      <c r="AX929" t="inlineStr">
        <is>
          <t>56011721</t>
        </is>
      </c>
      <c r="AY929" t="inlineStr">
        <is>
          <t>991005365729702656</t>
        </is>
      </c>
      <c r="AZ929" t="inlineStr">
        <is>
          <t>991005365729702656</t>
        </is>
      </c>
      <c r="BA929" t="inlineStr">
        <is>
          <t>2254980650002656</t>
        </is>
      </c>
      <c r="BB929" t="inlineStr">
        <is>
          <t>BOOK</t>
        </is>
      </c>
      <c r="BD929" t="inlineStr">
        <is>
          <t>9780736033152</t>
        </is>
      </c>
      <c r="BE929" t="inlineStr">
        <is>
          <t>32285005576045</t>
        </is>
      </c>
      <c r="BF929" t="inlineStr">
        <is>
          <t>893418828</t>
        </is>
      </c>
    </row>
    <row r="930">
      <c r="B930" t="inlineStr">
        <is>
          <t>CURAL</t>
        </is>
      </c>
      <c r="C930" t="inlineStr">
        <is>
          <t>SHELVES</t>
        </is>
      </c>
      <c r="D930" t="inlineStr">
        <is>
          <t>QP86 .T29 2008</t>
        </is>
      </c>
      <c r="E930" t="inlineStr">
        <is>
          <t>0                      QP 0086000T  29          2008</t>
        </is>
      </c>
      <c r="F930" t="inlineStr">
        <is>
          <t>Physiology of exercise and healthy aging / Albert W. Taylor, Michel J. Johnson.</t>
        </is>
      </c>
      <c r="H930" t="inlineStr">
        <is>
          <t>No</t>
        </is>
      </c>
      <c r="I930" t="inlineStr">
        <is>
          <t>1</t>
        </is>
      </c>
      <c r="J930" t="inlineStr">
        <is>
          <t>No</t>
        </is>
      </c>
      <c r="K930" t="inlineStr">
        <is>
          <t>No</t>
        </is>
      </c>
      <c r="L930" t="inlineStr">
        <is>
          <t>0</t>
        </is>
      </c>
      <c r="M930" t="inlineStr">
        <is>
          <t>Taylor, Albert W.</t>
        </is>
      </c>
      <c r="N930" t="inlineStr">
        <is>
          <t>Champaign, IL : Human Kinetics, c2008.</t>
        </is>
      </c>
      <c r="O930" t="inlineStr">
        <is>
          <t>2008</t>
        </is>
      </c>
      <c r="Q930" t="inlineStr">
        <is>
          <t>eng</t>
        </is>
      </c>
      <c r="R930" t="inlineStr">
        <is>
          <t>ilu</t>
        </is>
      </c>
      <c r="T930" t="inlineStr">
        <is>
          <t xml:space="preserve">QP </t>
        </is>
      </c>
      <c r="U930" t="n">
        <v>1</v>
      </c>
      <c r="V930" t="n">
        <v>1</v>
      </c>
      <c r="W930" t="inlineStr">
        <is>
          <t>2010-03-03</t>
        </is>
      </c>
      <c r="X930" t="inlineStr">
        <is>
          <t>2010-03-03</t>
        </is>
      </c>
      <c r="Y930" t="inlineStr">
        <is>
          <t>2010-03-03</t>
        </is>
      </c>
      <c r="Z930" t="inlineStr">
        <is>
          <t>2010-03-03</t>
        </is>
      </c>
      <c r="AA930" t="n">
        <v>361</v>
      </c>
      <c r="AB930" t="n">
        <v>234</v>
      </c>
      <c r="AC930" t="n">
        <v>234</v>
      </c>
      <c r="AD930" t="n">
        <v>1</v>
      </c>
      <c r="AE930" t="n">
        <v>1</v>
      </c>
      <c r="AF930" t="n">
        <v>9</v>
      </c>
      <c r="AG930" t="n">
        <v>9</v>
      </c>
      <c r="AH930" t="n">
        <v>6</v>
      </c>
      <c r="AI930" t="n">
        <v>6</v>
      </c>
      <c r="AJ930" t="n">
        <v>2</v>
      </c>
      <c r="AK930" t="n">
        <v>2</v>
      </c>
      <c r="AL930" t="n">
        <v>5</v>
      </c>
      <c r="AM930" t="n">
        <v>5</v>
      </c>
      <c r="AN930" t="n">
        <v>0</v>
      </c>
      <c r="AO930" t="n">
        <v>0</v>
      </c>
      <c r="AP930" t="n">
        <v>0</v>
      </c>
      <c r="AQ930" t="n">
        <v>0</v>
      </c>
      <c r="AR930" t="inlineStr">
        <is>
          <t>No</t>
        </is>
      </c>
      <c r="AS930" t="inlineStr">
        <is>
          <t>No</t>
        </is>
      </c>
      <c r="AU930">
        <f>HYPERLINK("https://creighton-primo.hosted.exlibrisgroup.com/primo-explore/search?tab=default_tab&amp;search_scope=EVERYTHING&amp;vid=01CRU&amp;lang=en_US&amp;offset=0&amp;query=any,contains,991005366129702656","Catalog Record")</f>
        <v/>
      </c>
      <c r="AV930">
        <f>HYPERLINK("http://www.worldcat.org/oclc/124505706","WorldCat Record")</f>
        <v/>
      </c>
      <c r="AW930" t="inlineStr">
        <is>
          <t>102736729:eng</t>
        </is>
      </c>
      <c r="AX930" t="inlineStr">
        <is>
          <t>124505706</t>
        </is>
      </c>
      <c r="AY930" t="inlineStr">
        <is>
          <t>991005366129702656</t>
        </is>
      </c>
      <c r="AZ930" t="inlineStr">
        <is>
          <t>991005366129702656</t>
        </is>
      </c>
      <c r="BA930" t="inlineStr">
        <is>
          <t>2269219900002656</t>
        </is>
      </c>
      <c r="BB930" t="inlineStr">
        <is>
          <t>BOOK</t>
        </is>
      </c>
      <c r="BD930" t="inlineStr">
        <is>
          <t>9780736058384</t>
        </is>
      </c>
      <c r="BE930" t="inlineStr">
        <is>
          <t>32285005576086</t>
        </is>
      </c>
      <c r="BF930" t="inlineStr">
        <is>
          <t>893263797</t>
        </is>
      </c>
    </row>
    <row r="931">
      <c r="B931" t="inlineStr">
        <is>
          <t>CURAL</t>
        </is>
      </c>
      <c r="C931" t="inlineStr">
        <is>
          <t>SHELVES</t>
        </is>
      </c>
      <c r="D931" t="inlineStr">
        <is>
          <t>QP86 .T35 1983</t>
        </is>
      </c>
      <c r="E931" t="inlineStr">
        <is>
          <t>0                      QP 0086000T  35          1983</t>
        </is>
      </c>
      <c r="F931" t="inlineStr">
        <is>
          <t>Testing the theories of aging / editors, Richard C. Adelman, George S. Roth.</t>
        </is>
      </c>
      <c r="H931" t="inlineStr">
        <is>
          <t>No</t>
        </is>
      </c>
      <c r="I931" t="inlineStr">
        <is>
          <t>1</t>
        </is>
      </c>
      <c r="J931" t="inlineStr">
        <is>
          <t>No</t>
        </is>
      </c>
      <c r="K931" t="inlineStr">
        <is>
          <t>No</t>
        </is>
      </c>
      <c r="L931" t="inlineStr">
        <is>
          <t>0</t>
        </is>
      </c>
      <c r="N931" t="inlineStr">
        <is>
          <t>Boca Raton, FL : CRC Press, [1983] c1982.</t>
        </is>
      </c>
      <c r="O931" t="inlineStr">
        <is>
          <t>1983</t>
        </is>
      </c>
      <c r="Q931" t="inlineStr">
        <is>
          <t>eng</t>
        </is>
      </c>
      <c r="R931" t="inlineStr">
        <is>
          <t>flu</t>
        </is>
      </c>
      <c r="S931" t="inlineStr">
        <is>
          <t>CRC series in aging</t>
        </is>
      </c>
      <c r="T931" t="inlineStr">
        <is>
          <t xml:space="preserve">QP </t>
        </is>
      </c>
      <c r="U931" t="n">
        <v>3</v>
      </c>
      <c r="V931" t="n">
        <v>3</v>
      </c>
      <c r="W931" t="inlineStr">
        <is>
          <t>2007-09-28</t>
        </is>
      </c>
      <c r="X931" t="inlineStr">
        <is>
          <t>2007-09-28</t>
        </is>
      </c>
      <c r="Y931" t="inlineStr">
        <is>
          <t>1993-02-26</t>
        </is>
      </c>
      <c r="Z931" t="inlineStr">
        <is>
          <t>1993-02-26</t>
        </is>
      </c>
      <c r="AA931" t="n">
        <v>165</v>
      </c>
      <c r="AB931" t="n">
        <v>150</v>
      </c>
      <c r="AC931" t="n">
        <v>180</v>
      </c>
      <c r="AD931" t="n">
        <v>2</v>
      </c>
      <c r="AE931" t="n">
        <v>2</v>
      </c>
      <c r="AF931" t="n">
        <v>6</v>
      </c>
      <c r="AG931" t="n">
        <v>6</v>
      </c>
      <c r="AH931" t="n">
        <v>0</v>
      </c>
      <c r="AI931" t="n">
        <v>0</v>
      </c>
      <c r="AJ931" t="n">
        <v>1</v>
      </c>
      <c r="AK931" t="n">
        <v>1</v>
      </c>
      <c r="AL931" t="n">
        <v>5</v>
      </c>
      <c r="AM931" t="n">
        <v>5</v>
      </c>
      <c r="AN931" t="n">
        <v>1</v>
      </c>
      <c r="AO931" t="n">
        <v>1</v>
      </c>
      <c r="AP931" t="n">
        <v>0</v>
      </c>
      <c r="AQ931" t="n">
        <v>0</v>
      </c>
      <c r="AR931" t="inlineStr">
        <is>
          <t>No</t>
        </is>
      </c>
      <c r="AS931" t="inlineStr">
        <is>
          <t>Yes</t>
        </is>
      </c>
      <c r="AT931">
        <f>HYPERLINK("http://catalog.hathitrust.org/Record/006254632","HathiTrust Record")</f>
        <v/>
      </c>
      <c r="AU931">
        <f>HYPERLINK("https://creighton-primo.hosted.exlibrisgroup.com/primo-explore/search?tab=default_tab&amp;search_scope=EVERYTHING&amp;vid=01CRU&amp;lang=en_US&amp;offset=0&amp;query=any,contains,991005219649702656","Catalog Record")</f>
        <v/>
      </c>
      <c r="AV931">
        <f>HYPERLINK("http://www.worldcat.org/oclc/8219646","WorldCat Record")</f>
        <v/>
      </c>
      <c r="AW931" t="inlineStr">
        <is>
          <t>431993308:eng</t>
        </is>
      </c>
      <c r="AX931" t="inlineStr">
        <is>
          <t>8219646</t>
        </is>
      </c>
      <c r="AY931" t="inlineStr">
        <is>
          <t>991005219649702656</t>
        </is>
      </c>
      <c r="AZ931" t="inlineStr">
        <is>
          <t>991005219649702656</t>
        </is>
      </c>
      <c r="BA931" t="inlineStr">
        <is>
          <t>2255696940002656</t>
        </is>
      </c>
      <c r="BB931" t="inlineStr">
        <is>
          <t>BOOK</t>
        </is>
      </c>
      <c r="BD931" t="inlineStr">
        <is>
          <t>9780849358296</t>
        </is>
      </c>
      <c r="BE931" t="inlineStr">
        <is>
          <t>32285001549699</t>
        </is>
      </c>
      <c r="BF931" t="inlineStr">
        <is>
          <t>893344862</t>
        </is>
      </c>
    </row>
    <row r="932">
      <c r="B932" t="inlineStr">
        <is>
          <t>CURAL</t>
        </is>
      </c>
      <c r="C932" t="inlineStr">
        <is>
          <t>SHELVES</t>
        </is>
      </c>
      <c r="D932" t="inlineStr">
        <is>
          <t>QP86 .W53 1998</t>
        </is>
      </c>
      <c r="E932" t="inlineStr">
        <is>
          <t>0                      QP 0086000W  53          1998</t>
        </is>
      </c>
      <c r="F932" t="inlineStr">
        <is>
          <t>The causes of aging / Andrew P. Wickens.</t>
        </is>
      </c>
      <c r="H932" t="inlineStr">
        <is>
          <t>No</t>
        </is>
      </c>
      <c r="I932" t="inlineStr">
        <is>
          <t>1</t>
        </is>
      </c>
      <c r="J932" t="inlineStr">
        <is>
          <t>No</t>
        </is>
      </c>
      <c r="K932" t="inlineStr">
        <is>
          <t>No</t>
        </is>
      </c>
      <c r="L932" t="inlineStr">
        <is>
          <t>0</t>
        </is>
      </c>
      <c r="M932" t="inlineStr">
        <is>
          <t>Wickens, Andrew P.</t>
        </is>
      </c>
      <c r="N932" t="inlineStr">
        <is>
          <t>Australia : Harwood Academic Publishers, c1998.</t>
        </is>
      </c>
      <c r="O932" t="inlineStr">
        <is>
          <t>1998</t>
        </is>
      </c>
      <c r="Q932" t="inlineStr">
        <is>
          <t>eng</t>
        </is>
      </c>
      <c r="R932" t="inlineStr">
        <is>
          <t xml:space="preserve">at </t>
        </is>
      </c>
      <c r="T932" t="inlineStr">
        <is>
          <t xml:space="preserve">QP </t>
        </is>
      </c>
      <c r="U932" t="n">
        <v>9</v>
      </c>
      <c r="V932" t="n">
        <v>9</v>
      </c>
      <c r="W932" t="inlineStr">
        <is>
          <t>2007-10-24</t>
        </is>
      </c>
      <c r="X932" t="inlineStr">
        <is>
          <t>2007-10-24</t>
        </is>
      </c>
      <c r="Y932" t="inlineStr">
        <is>
          <t>1999-11-03</t>
        </is>
      </c>
      <c r="Z932" t="inlineStr">
        <is>
          <t>1999-11-03</t>
        </is>
      </c>
      <c r="AA932" t="n">
        <v>139</v>
      </c>
      <c r="AB932" t="n">
        <v>103</v>
      </c>
      <c r="AC932" t="n">
        <v>136</v>
      </c>
      <c r="AD932" t="n">
        <v>2</v>
      </c>
      <c r="AE932" t="n">
        <v>2</v>
      </c>
      <c r="AF932" t="n">
        <v>8</v>
      </c>
      <c r="AG932" t="n">
        <v>9</v>
      </c>
      <c r="AH932" t="n">
        <v>2</v>
      </c>
      <c r="AI932" t="n">
        <v>2</v>
      </c>
      <c r="AJ932" t="n">
        <v>5</v>
      </c>
      <c r="AK932" t="n">
        <v>5</v>
      </c>
      <c r="AL932" t="n">
        <v>3</v>
      </c>
      <c r="AM932" t="n">
        <v>4</v>
      </c>
      <c r="AN932" t="n">
        <v>1</v>
      </c>
      <c r="AO932" t="n">
        <v>1</v>
      </c>
      <c r="AP932" t="n">
        <v>0</v>
      </c>
      <c r="AQ932" t="n">
        <v>0</v>
      </c>
      <c r="AR932" t="inlineStr">
        <is>
          <t>No</t>
        </is>
      </c>
      <c r="AS932" t="inlineStr">
        <is>
          <t>No</t>
        </is>
      </c>
      <c r="AU932">
        <f>HYPERLINK("https://creighton-primo.hosted.exlibrisgroup.com/primo-explore/search?tab=default_tab&amp;search_scope=EVERYTHING&amp;vid=01CRU&amp;lang=en_US&amp;offset=0&amp;query=any,contains,991003004299702656","Catalog Record")</f>
        <v/>
      </c>
      <c r="AV932">
        <f>HYPERLINK("http://www.worldcat.org/oclc/40704538","WorldCat Record")</f>
        <v/>
      </c>
      <c r="AW932" t="inlineStr">
        <is>
          <t>23509430:eng</t>
        </is>
      </c>
      <c r="AX932" t="inlineStr">
        <is>
          <t>40704538</t>
        </is>
      </c>
      <c r="AY932" t="inlineStr">
        <is>
          <t>991003004299702656</t>
        </is>
      </c>
      <c r="AZ932" t="inlineStr">
        <is>
          <t>991003004299702656</t>
        </is>
      </c>
      <c r="BA932" t="inlineStr">
        <is>
          <t>2270699310002656</t>
        </is>
      </c>
      <c r="BB932" t="inlineStr">
        <is>
          <t>BOOK</t>
        </is>
      </c>
      <c r="BD932" t="inlineStr">
        <is>
          <t>9789057023132</t>
        </is>
      </c>
      <c r="BE932" t="inlineStr">
        <is>
          <t>32285003617528</t>
        </is>
      </c>
      <c r="BF932" t="inlineStr">
        <is>
          <t>893721750</t>
        </is>
      </c>
    </row>
    <row r="933">
      <c r="B933" t="inlineStr">
        <is>
          <t>CURAL</t>
        </is>
      </c>
      <c r="C933" t="inlineStr">
        <is>
          <t>SHELVES</t>
        </is>
      </c>
      <c r="D933" t="inlineStr">
        <is>
          <t>QP86 .Z7 1994</t>
        </is>
      </c>
      <c r="E933" t="inlineStr">
        <is>
          <t>0                      QP 0086000Z  7           1994</t>
        </is>
      </c>
      <c r="F933" t="inlineStr">
        <is>
          <t>The membrane hypothesis of aging / by Imre Zs.-Nagy.</t>
        </is>
      </c>
      <c r="H933" t="inlineStr">
        <is>
          <t>No</t>
        </is>
      </c>
      <c r="I933" t="inlineStr">
        <is>
          <t>1</t>
        </is>
      </c>
      <c r="J933" t="inlineStr">
        <is>
          <t>No</t>
        </is>
      </c>
      <c r="K933" t="inlineStr">
        <is>
          <t>No</t>
        </is>
      </c>
      <c r="L933" t="inlineStr">
        <is>
          <t>0</t>
        </is>
      </c>
      <c r="M933" t="inlineStr">
        <is>
          <t>Zs.-Nagy, Imre.</t>
        </is>
      </c>
      <c r="N933" t="inlineStr">
        <is>
          <t>Boca Raton : CRC Press, c1994.</t>
        </is>
      </c>
      <c r="O933" t="inlineStr">
        <is>
          <t>1994</t>
        </is>
      </c>
      <c r="Q933" t="inlineStr">
        <is>
          <t>eng</t>
        </is>
      </c>
      <c r="R933" t="inlineStr">
        <is>
          <t>flu</t>
        </is>
      </c>
      <c r="T933" t="inlineStr">
        <is>
          <t xml:space="preserve">QP </t>
        </is>
      </c>
      <c r="U933" t="n">
        <v>10</v>
      </c>
      <c r="V933" t="n">
        <v>10</v>
      </c>
      <c r="W933" t="inlineStr">
        <is>
          <t>2005-09-27</t>
        </is>
      </c>
      <c r="X933" t="inlineStr">
        <is>
          <t>2005-09-27</t>
        </is>
      </c>
      <c r="Y933" t="inlineStr">
        <is>
          <t>1994-12-21</t>
        </is>
      </c>
      <c r="Z933" t="inlineStr">
        <is>
          <t>1994-12-21</t>
        </is>
      </c>
      <c r="AA933" t="n">
        <v>76</v>
      </c>
      <c r="AB933" t="n">
        <v>54</v>
      </c>
      <c r="AC933" t="n">
        <v>54</v>
      </c>
      <c r="AD933" t="n">
        <v>1</v>
      </c>
      <c r="AE933" t="n">
        <v>1</v>
      </c>
      <c r="AF933" t="n">
        <v>0</v>
      </c>
      <c r="AG933" t="n">
        <v>0</v>
      </c>
      <c r="AH933" t="n">
        <v>0</v>
      </c>
      <c r="AI933" t="n">
        <v>0</v>
      </c>
      <c r="AJ933" t="n">
        <v>0</v>
      </c>
      <c r="AK933" t="n">
        <v>0</v>
      </c>
      <c r="AL933" t="n">
        <v>0</v>
      </c>
      <c r="AM933" t="n">
        <v>0</v>
      </c>
      <c r="AN933" t="n">
        <v>0</v>
      </c>
      <c r="AO933" t="n">
        <v>0</v>
      </c>
      <c r="AP933" t="n">
        <v>0</v>
      </c>
      <c r="AQ933" t="n">
        <v>0</v>
      </c>
      <c r="AR933" t="inlineStr">
        <is>
          <t>No</t>
        </is>
      </c>
      <c r="AS933" t="inlineStr">
        <is>
          <t>No</t>
        </is>
      </c>
      <c r="AU933">
        <f>HYPERLINK("https://creighton-primo.hosted.exlibrisgroup.com/primo-explore/search?tab=default_tab&amp;search_scope=EVERYTHING&amp;vid=01CRU&amp;lang=en_US&amp;offset=0&amp;query=any,contains,991002292539702656","Catalog Record")</f>
        <v/>
      </c>
      <c r="AV933">
        <f>HYPERLINK("http://www.worldcat.org/oclc/29704154","WorldCat Record")</f>
        <v/>
      </c>
      <c r="AW933" t="inlineStr">
        <is>
          <t>21024403:eng</t>
        </is>
      </c>
      <c r="AX933" t="inlineStr">
        <is>
          <t>29704154</t>
        </is>
      </c>
      <c r="AY933" t="inlineStr">
        <is>
          <t>991002292539702656</t>
        </is>
      </c>
      <c r="AZ933" t="inlineStr">
        <is>
          <t>991002292539702656</t>
        </is>
      </c>
      <c r="BA933" t="inlineStr">
        <is>
          <t>2260066680002656</t>
        </is>
      </c>
      <c r="BB933" t="inlineStr">
        <is>
          <t>BOOK</t>
        </is>
      </c>
      <c r="BD933" t="inlineStr">
        <is>
          <t>9780849367380</t>
        </is>
      </c>
      <c r="BE933" t="inlineStr">
        <is>
          <t>32285001978088</t>
        </is>
      </c>
      <c r="BF933" t="inlineStr">
        <is>
          <t>893691454</t>
        </is>
      </c>
    </row>
    <row r="934">
      <c r="B934" t="inlineStr">
        <is>
          <t>CURAL</t>
        </is>
      </c>
      <c r="C934" t="inlineStr">
        <is>
          <t>SHELVES</t>
        </is>
      </c>
      <c r="D934" t="inlineStr">
        <is>
          <t>QP88 .L65 1992</t>
        </is>
      </c>
      <c r="E934" t="inlineStr">
        <is>
          <t>0                      QP 0088000L  65          1992</t>
        </is>
      </c>
      <c r="F934" t="inlineStr">
        <is>
          <t>Advances in body composition assessment / Timothy G. Lohman.</t>
        </is>
      </c>
      <c r="H934" t="inlineStr">
        <is>
          <t>No</t>
        </is>
      </c>
      <c r="I934" t="inlineStr">
        <is>
          <t>1</t>
        </is>
      </c>
      <c r="J934" t="inlineStr">
        <is>
          <t>No</t>
        </is>
      </c>
      <c r="K934" t="inlineStr">
        <is>
          <t>No</t>
        </is>
      </c>
      <c r="L934" t="inlineStr">
        <is>
          <t>0</t>
        </is>
      </c>
      <c r="M934" t="inlineStr">
        <is>
          <t>Lohman, Timothy G., 1940-</t>
        </is>
      </c>
      <c r="N934" t="inlineStr">
        <is>
          <t>Champaign, IL : Human Kinetics Publ., c1992.</t>
        </is>
      </c>
      <c r="O934" t="inlineStr">
        <is>
          <t>1992</t>
        </is>
      </c>
      <c r="Q934" t="inlineStr">
        <is>
          <t>eng</t>
        </is>
      </c>
      <c r="R934" t="inlineStr">
        <is>
          <t>ilu</t>
        </is>
      </c>
      <c r="S934" t="inlineStr">
        <is>
          <t>Current issues in exercise science ; monograph no. 3</t>
        </is>
      </c>
      <c r="T934" t="inlineStr">
        <is>
          <t xml:space="preserve">QP </t>
        </is>
      </c>
      <c r="U934" t="n">
        <v>4</v>
      </c>
      <c r="V934" t="n">
        <v>4</v>
      </c>
      <c r="W934" t="inlineStr">
        <is>
          <t>1999-10-04</t>
        </is>
      </c>
      <c r="X934" t="inlineStr">
        <is>
          <t>1999-10-04</t>
        </is>
      </c>
      <c r="Y934" t="inlineStr">
        <is>
          <t>1992-06-30</t>
        </is>
      </c>
      <c r="Z934" t="inlineStr">
        <is>
          <t>1992-06-30</t>
        </is>
      </c>
      <c r="AA934" t="n">
        <v>405</v>
      </c>
      <c r="AB934" t="n">
        <v>293</v>
      </c>
      <c r="AC934" t="n">
        <v>298</v>
      </c>
      <c r="AD934" t="n">
        <v>3</v>
      </c>
      <c r="AE934" t="n">
        <v>3</v>
      </c>
      <c r="AF934" t="n">
        <v>11</v>
      </c>
      <c r="AG934" t="n">
        <v>11</v>
      </c>
      <c r="AH934" t="n">
        <v>5</v>
      </c>
      <c r="AI934" t="n">
        <v>5</v>
      </c>
      <c r="AJ934" t="n">
        <v>3</v>
      </c>
      <c r="AK934" t="n">
        <v>3</v>
      </c>
      <c r="AL934" t="n">
        <v>6</v>
      </c>
      <c r="AM934" t="n">
        <v>6</v>
      </c>
      <c r="AN934" t="n">
        <v>2</v>
      </c>
      <c r="AO934" t="n">
        <v>2</v>
      </c>
      <c r="AP934" t="n">
        <v>0</v>
      </c>
      <c r="AQ934" t="n">
        <v>0</v>
      </c>
      <c r="AR934" t="inlineStr">
        <is>
          <t>No</t>
        </is>
      </c>
      <c r="AS934" t="inlineStr">
        <is>
          <t>No</t>
        </is>
      </c>
      <c r="AU934">
        <f>HYPERLINK("https://creighton-primo.hosted.exlibrisgroup.com/primo-explore/search?tab=default_tab&amp;search_scope=EVERYTHING&amp;vid=01CRU&amp;lang=en_US&amp;offset=0&amp;query=any,contains,991002010289702656","Catalog Record")</f>
        <v/>
      </c>
      <c r="AV934">
        <f>HYPERLINK("http://www.worldcat.org/oclc/25550576","WorldCat Record")</f>
        <v/>
      </c>
      <c r="AW934" t="inlineStr">
        <is>
          <t>27568119:eng</t>
        </is>
      </c>
      <c r="AX934" t="inlineStr">
        <is>
          <t>25550576</t>
        </is>
      </c>
      <c r="AY934" t="inlineStr">
        <is>
          <t>991002010289702656</t>
        </is>
      </c>
      <c r="AZ934" t="inlineStr">
        <is>
          <t>991002010289702656</t>
        </is>
      </c>
      <c r="BA934" t="inlineStr">
        <is>
          <t>2265520100002656</t>
        </is>
      </c>
      <c r="BB934" t="inlineStr">
        <is>
          <t>BOOK</t>
        </is>
      </c>
      <c r="BD934" t="inlineStr">
        <is>
          <t>9780873223270</t>
        </is>
      </c>
      <c r="BE934" t="inlineStr">
        <is>
          <t>32285001156750</t>
        </is>
      </c>
      <c r="BF934" t="inlineStr">
        <is>
          <t>893779320</t>
        </is>
      </c>
    </row>
    <row r="935">
      <c r="B935" t="inlineStr">
        <is>
          <t>CURAL</t>
        </is>
      </c>
      <c r="C935" t="inlineStr">
        <is>
          <t>SHELVES</t>
        </is>
      </c>
      <c r="D935" t="inlineStr">
        <is>
          <t>QP88.23 .C43 1991</t>
        </is>
      </c>
      <c r="E935" t="inlineStr">
        <is>
          <t>0                      QP 0088230C  43          1991</t>
        </is>
      </c>
      <c r="F935" t="inlineStr">
        <is>
          <t>Cell biology of extracellular matrix / edited by Elizabeth D. Hay.</t>
        </is>
      </c>
      <c r="H935" t="inlineStr">
        <is>
          <t>No</t>
        </is>
      </c>
      <c r="I935" t="inlineStr">
        <is>
          <t>1</t>
        </is>
      </c>
      <c r="J935" t="inlineStr">
        <is>
          <t>Yes</t>
        </is>
      </c>
      <c r="K935" t="inlineStr">
        <is>
          <t>No</t>
        </is>
      </c>
      <c r="L935" t="inlineStr">
        <is>
          <t>0</t>
        </is>
      </c>
      <c r="N935" t="inlineStr">
        <is>
          <t>New York : Plenum Press, c1991.</t>
        </is>
      </c>
      <c r="O935" t="inlineStr">
        <is>
          <t>1991</t>
        </is>
      </c>
      <c r="P935" t="inlineStr">
        <is>
          <t>2nd ed.</t>
        </is>
      </c>
      <c r="Q935" t="inlineStr">
        <is>
          <t>eng</t>
        </is>
      </c>
      <c r="R935" t="inlineStr">
        <is>
          <t>nyu</t>
        </is>
      </c>
      <c r="T935" t="inlineStr">
        <is>
          <t xml:space="preserve">QP </t>
        </is>
      </c>
      <c r="U935" t="n">
        <v>8</v>
      </c>
      <c r="V935" t="n">
        <v>25</v>
      </c>
      <c r="W935" t="inlineStr">
        <is>
          <t>1999-04-19</t>
        </is>
      </c>
      <c r="X935" t="inlineStr">
        <is>
          <t>1999-04-19</t>
        </is>
      </c>
      <c r="Y935" t="inlineStr">
        <is>
          <t>1992-03-11</t>
        </is>
      </c>
      <c r="Z935" t="inlineStr">
        <is>
          <t>1992-03-11</t>
        </is>
      </c>
      <c r="AA935" t="n">
        <v>340</v>
      </c>
      <c r="AB935" t="n">
        <v>231</v>
      </c>
      <c r="AC935" t="n">
        <v>426</v>
      </c>
      <c r="AD935" t="n">
        <v>6</v>
      </c>
      <c r="AE935" t="n">
        <v>6</v>
      </c>
      <c r="AF935" t="n">
        <v>12</v>
      </c>
      <c r="AG935" t="n">
        <v>18</v>
      </c>
      <c r="AH935" t="n">
        <v>2</v>
      </c>
      <c r="AI935" t="n">
        <v>4</v>
      </c>
      <c r="AJ935" t="n">
        <v>4</v>
      </c>
      <c r="AK935" t="n">
        <v>4</v>
      </c>
      <c r="AL935" t="n">
        <v>5</v>
      </c>
      <c r="AM935" t="n">
        <v>11</v>
      </c>
      <c r="AN935" t="n">
        <v>4</v>
      </c>
      <c r="AO935" t="n">
        <v>4</v>
      </c>
      <c r="AP935" t="n">
        <v>0</v>
      </c>
      <c r="AQ935" t="n">
        <v>0</v>
      </c>
      <c r="AR935" t="inlineStr">
        <is>
          <t>No</t>
        </is>
      </c>
      <c r="AS935" t="inlineStr">
        <is>
          <t>No</t>
        </is>
      </c>
      <c r="AU935">
        <f>HYPERLINK("https://creighton-primo.hosted.exlibrisgroup.com/primo-explore/search?tab=default_tab&amp;search_scope=EVERYTHING&amp;vid=01CRU&amp;lang=en_US&amp;offset=0&amp;query=any,contains,991001780509702656","Catalog Record")</f>
        <v/>
      </c>
      <c r="AV935">
        <f>HYPERLINK("http://www.worldcat.org/oclc/24467503","WorldCat Record")</f>
        <v/>
      </c>
      <c r="AW935" t="inlineStr">
        <is>
          <t>54474060:eng</t>
        </is>
      </c>
      <c r="AX935" t="inlineStr">
        <is>
          <t>24467503</t>
        </is>
      </c>
      <c r="AY935" t="inlineStr">
        <is>
          <t>991001780509702656</t>
        </is>
      </c>
      <c r="AZ935" t="inlineStr">
        <is>
          <t>991001780509702656</t>
        </is>
      </c>
      <c r="BA935" t="inlineStr">
        <is>
          <t>2267044540002656</t>
        </is>
      </c>
      <c r="BB935" t="inlineStr">
        <is>
          <t>BOOK</t>
        </is>
      </c>
      <c r="BD935" t="inlineStr">
        <is>
          <t>9780306439513</t>
        </is>
      </c>
      <c r="BE935" t="inlineStr">
        <is>
          <t>32285000939412</t>
        </is>
      </c>
      <c r="BF935" t="inlineStr">
        <is>
          <t>893340693</t>
        </is>
      </c>
    </row>
    <row r="936">
      <c r="B936" t="inlineStr">
        <is>
          <t>CURAL</t>
        </is>
      </c>
      <c r="C936" t="inlineStr">
        <is>
          <t>SHELVES</t>
        </is>
      </c>
      <c r="D936" t="inlineStr">
        <is>
          <t>QP88.23 .E954 1990</t>
        </is>
      </c>
      <c r="E936" t="inlineStr">
        <is>
          <t>0                      QP 0088230E  954         1990</t>
        </is>
      </c>
      <c r="F936" t="inlineStr">
        <is>
          <t>Extracellular matrix genes / edited by Linda J. Sandell, Charles D. Boyd.</t>
        </is>
      </c>
      <c r="H936" t="inlineStr">
        <is>
          <t>No</t>
        </is>
      </c>
      <c r="I936" t="inlineStr">
        <is>
          <t>1</t>
        </is>
      </c>
      <c r="J936" t="inlineStr">
        <is>
          <t>No</t>
        </is>
      </c>
      <c r="K936" t="inlineStr">
        <is>
          <t>No</t>
        </is>
      </c>
      <c r="L936" t="inlineStr">
        <is>
          <t>0</t>
        </is>
      </c>
      <c r="N936" t="inlineStr">
        <is>
          <t>San Diego : Academic Press, c1990.</t>
        </is>
      </c>
      <c r="O936" t="inlineStr">
        <is>
          <t>1990</t>
        </is>
      </c>
      <c r="Q936" t="inlineStr">
        <is>
          <t>eng</t>
        </is>
      </c>
      <c r="R936" t="inlineStr">
        <is>
          <t>cau</t>
        </is>
      </c>
      <c r="S936" t="inlineStr">
        <is>
          <t>Biology of extracellular matrix</t>
        </is>
      </c>
      <c r="T936" t="inlineStr">
        <is>
          <t xml:space="preserve">QP </t>
        </is>
      </c>
      <c r="U936" t="n">
        <v>1</v>
      </c>
      <c r="V936" t="n">
        <v>1</v>
      </c>
      <c r="W936" t="inlineStr">
        <is>
          <t>1993-05-26</t>
        </is>
      </c>
      <c r="X936" t="inlineStr">
        <is>
          <t>1993-05-26</t>
        </is>
      </c>
      <c r="Y936" t="inlineStr">
        <is>
          <t>1991-08-27</t>
        </is>
      </c>
      <c r="Z936" t="inlineStr">
        <is>
          <t>1991-08-27</t>
        </is>
      </c>
      <c r="AA936" t="n">
        <v>227</v>
      </c>
      <c r="AB936" t="n">
        <v>171</v>
      </c>
      <c r="AC936" t="n">
        <v>212</v>
      </c>
      <c r="AD936" t="n">
        <v>1</v>
      </c>
      <c r="AE936" t="n">
        <v>2</v>
      </c>
      <c r="AF936" t="n">
        <v>4</v>
      </c>
      <c r="AG936" t="n">
        <v>8</v>
      </c>
      <c r="AH936" t="n">
        <v>0</v>
      </c>
      <c r="AI936" t="n">
        <v>2</v>
      </c>
      <c r="AJ936" t="n">
        <v>3</v>
      </c>
      <c r="AK936" t="n">
        <v>5</v>
      </c>
      <c r="AL936" t="n">
        <v>3</v>
      </c>
      <c r="AM936" t="n">
        <v>3</v>
      </c>
      <c r="AN936" t="n">
        <v>0</v>
      </c>
      <c r="AO936" t="n">
        <v>1</v>
      </c>
      <c r="AP936" t="n">
        <v>0</v>
      </c>
      <c r="AQ936" t="n">
        <v>0</v>
      </c>
      <c r="AR936" t="inlineStr">
        <is>
          <t>No</t>
        </is>
      </c>
      <c r="AS936" t="inlineStr">
        <is>
          <t>Yes</t>
        </is>
      </c>
      <c r="AT936">
        <f>HYPERLINK("http://catalog.hathitrust.org/Record/002233359","HathiTrust Record")</f>
        <v/>
      </c>
      <c r="AU936">
        <f>HYPERLINK("https://creighton-primo.hosted.exlibrisgroup.com/primo-explore/search?tab=default_tab&amp;search_scope=EVERYTHING&amp;vid=01CRU&amp;lang=en_US&amp;offset=0&amp;query=any,contains,991001668669702656","Catalog Record")</f>
        <v/>
      </c>
      <c r="AV936">
        <f>HYPERLINK("http://www.worldcat.org/oclc/21231830","WorldCat Record")</f>
        <v/>
      </c>
      <c r="AW936" t="inlineStr">
        <is>
          <t>365201638:eng</t>
        </is>
      </c>
      <c r="AX936" t="inlineStr">
        <is>
          <t>21231830</t>
        </is>
      </c>
      <c r="AY936" t="inlineStr">
        <is>
          <t>991001668669702656</t>
        </is>
      </c>
      <c r="AZ936" t="inlineStr">
        <is>
          <t>991001668669702656</t>
        </is>
      </c>
      <c r="BA936" t="inlineStr">
        <is>
          <t>2262564840002656</t>
        </is>
      </c>
      <c r="BB936" t="inlineStr">
        <is>
          <t>BOOK</t>
        </is>
      </c>
      <c r="BD936" t="inlineStr">
        <is>
          <t>9780126181555</t>
        </is>
      </c>
      <c r="BE936" t="inlineStr">
        <is>
          <t>32285000702349</t>
        </is>
      </c>
      <c r="BF936" t="inlineStr">
        <is>
          <t>893872699</t>
        </is>
      </c>
    </row>
    <row r="937">
      <c r="B937" t="inlineStr">
        <is>
          <t>CURAL</t>
        </is>
      </c>
      <c r="C937" t="inlineStr">
        <is>
          <t>SHELVES</t>
        </is>
      </c>
      <c r="D937" t="inlineStr">
        <is>
          <t>QP88.3 .V34</t>
        </is>
      </c>
      <c r="E937" t="inlineStr">
        <is>
          <t>0                      QP 0088300V  34</t>
        </is>
      </c>
      <c r="F937" t="inlineStr">
        <is>
          <t>Trace elements in human hair / Vlado Valković.</t>
        </is>
      </c>
      <c r="H937" t="inlineStr">
        <is>
          <t>No</t>
        </is>
      </c>
      <c r="I937" t="inlineStr">
        <is>
          <t>1</t>
        </is>
      </c>
      <c r="J937" t="inlineStr">
        <is>
          <t>No</t>
        </is>
      </c>
      <c r="K937" t="inlineStr">
        <is>
          <t>No</t>
        </is>
      </c>
      <c r="L937" t="inlineStr">
        <is>
          <t>0</t>
        </is>
      </c>
      <c r="M937" t="inlineStr">
        <is>
          <t>Valković, Vlado.</t>
        </is>
      </c>
      <c r="N937" t="inlineStr">
        <is>
          <t>New York : Garland STPM, c1977.</t>
        </is>
      </c>
      <c r="O937" t="inlineStr">
        <is>
          <t>1977</t>
        </is>
      </c>
      <c r="Q937" t="inlineStr">
        <is>
          <t>eng</t>
        </is>
      </c>
      <c r="R937" t="inlineStr">
        <is>
          <t>nyu</t>
        </is>
      </c>
      <c r="T937" t="inlineStr">
        <is>
          <t xml:space="preserve">QP </t>
        </is>
      </c>
      <c r="U937" t="n">
        <v>1</v>
      </c>
      <c r="V937" t="n">
        <v>1</v>
      </c>
      <c r="W937" t="inlineStr">
        <is>
          <t>1997-09-12</t>
        </is>
      </c>
      <c r="X937" t="inlineStr">
        <is>
          <t>1997-09-12</t>
        </is>
      </c>
      <c r="Y937" t="inlineStr">
        <is>
          <t>1997-08-06</t>
        </is>
      </c>
      <c r="Z937" t="inlineStr">
        <is>
          <t>1997-08-06</t>
        </is>
      </c>
      <c r="AA937" t="n">
        <v>179</v>
      </c>
      <c r="AB937" t="n">
        <v>135</v>
      </c>
      <c r="AC937" t="n">
        <v>135</v>
      </c>
      <c r="AD937" t="n">
        <v>2</v>
      </c>
      <c r="AE937" t="n">
        <v>2</v>
      </c>
      <c r="AF937" t="n">
        <v>4</v>
      </c>
      <c r="AG937" t="n">
        <v>4</v>
      </c>
      <c r="AH937" t="n">
        <v>2</v>
      </c>
      <c r="AI937" t="n">
        <v>2</v>
      </c>
      <c r="AJ937" t="n">
        <v>0</v>
      </c>
      <c r="AK937" t="n">
        <v>0</v>
      </c>
      <c r="AL937" t="n">
        <v>3</v>
      </c>
      <c r="AM937" t="n">
        <v>3</v>
      </c>
      <c r="AN937" t="n">
        <v>1</v>
      </c>
      <c r="AO937" t="n">
        <v>1</v>
      </c>
      <c r="AP937" t="n">
        <v>0</v>
      </c>
      <c r="AQ937" t="n">
        <v>0</v>
      </c>
      <c r="AR937" t="inlineStr">
        <is>
          <t>No</t>
        </is>
      </c>
      <c r="AS937" t="inlineStr">
        <is>
          <t>No</t>
        </is>
      </c>
      <c r="AU937">
        <f>HYPERLINK("https://creighton-primo.hosted.exlibrisgroup.com/primo-explore/search?tab=default_tab&amp;search_scope=EVERYTHING&amp;vid=01CRU&amp;lang=en_US&amp;offset=0&amp;query=any,contains,991004313359702656","Catalog Record")</f>
        <v/>
      </c>
      <c r="AV937">
        <f>HYPERLINK("http://www.worldcat.org/oclc/3002195","WorldCat Record")</f>
        <v/>
      </c>
      <c r="AW937" t="inlineStr">
        <is>
          <t>6692336:eng</t>
        </is>
      </c>
      <c r="AX937" t="inlineStr">
        <is>
          <t>3002195</t>
        </is>
      </c>
      <c r="AY937" t="inlineStr">
        <is>
          <t>991004313359702656</t>
        </is>
      </c>
      <c r="AZ937" t="inlineStr">
        <is>
          <t>991004313359702656</t>
        </is>
      </c>
      <c r="BA937" t="inlineStr">
        <is>
          <t>2272247090002656</t>
        </is>
      </c>
      <c r="BB937" t="inlineStr">
        <is>
          <t>BOOK</t>
        </is>
      </c>
      <c r="BD937" t="inlineStr">
        <is>
          <t>9780824098612</t>
        </is>
      </c>
      <c r="BE937" t="inlineStr">
        <is>
          <t>32285003012548</t>
        </is>
      </c>
      <c r="BF937" t="inlineStr">
        <is>
          <t>893722371</t>
        </is>
      </c>
    </row>
    <row r="938">
      <c r="B938" t="inlineStr">
        <is>
          <t>CURAL</t>
        </is>
      </c>
      <c r="C938" t="inlineStr">
        <is>
          <t>SHELVES</t>
        </is>
      </c>
      <c r="D938" t="inlineStr">
        <is>
          <t>QP88.4 .P4825 1987</t>
        </is>
      </c>
      <c r="E938" t="inlineStr">
        <is>
          <t>0                      QP 0088400P  4825        1987</t>
        </is>
      </c>
      <c r="F938" t="inlineStr">
        <is>
          <t>Membrane transport processes in organized systems / edited by Thomas E. Andreoli ... [et al.].</t>
        </is>
      </c>
      <c r="H938" t="inlineStr">
        <is>
          <t>No</t>
        </is>
      </c>
      <c r="I938" t="inlineStr">
        <is>
          <t>1</t>
        </is>
      </c>
      <c r="J938" t="inlineStr">
        <is>
          <t>Yes</t>
        </is>
      </c>
      <c r="K938" t="inlineStr">
        <is>
          <t>No</t>
        </is>
      </c>
      <c r="L938" t="inlineStr">
        <is>
          <t>0</t>
        </is>
      </c>
      <c r="M938" t="inlineStr">
        <is>
          <t>Physiology of membrane disorders. Selections.</t>
        </is>
      </c>
      <c r="N938" t="inlineStr">
        <is>
          <t>New York : Plenum Medical Book Co., c1987.</t>
        </is>
      </c>
      <c r="O938" t="inlineStr">
        <is>
          <t>1987</t>
        </is>
      </c>
      <c r="Q938" t="inlineStr">
        <is>
          <t>eng</t>
        </is>
      </c>
      <c r="R938" t="inlineStr">
        <is>
          <t>nyu</t>
        </is>
      </c>
      <c r="T938" t="inlineStr">
        <is>
          <t xml:space="preserve">QP </t>
        </is>
      </c>
      <c r="U938" t="n">
        <v>2</v>
      </c>
      <c r="V938" t="n">
        <v>2</v>
      </c>
      <c r="W938" t="inlineStr">
        <is>
          <t>1994-01-07</t>
        </is>
      </c>
      <c r="X938" t="inlineStr">
        <is>
          <t>1994-01-07</t>
        </is>
      </c>
      <c r="Y938" t="inlineStr">
        <is>
          <t>1993-02-26</t>
        </is>
      </c>
      <c r="Z938" t="inlineStr">
        <is>
          <t>1993-02-26</t>
        </is>
      </c>
      <c r="AA938" t="n">
        <v>89</v>
      </c>
      <c r="AB938" t="n">
        <v>64</v>
      </c>
      <c r="AC938" t="n">
        <v>86</v>
      </c>
      <c r="AD938" t="n">
        <v>2</v>
      </c>
      <c r="AE938" t="n">
        <v>2</v>
      </c>
      <c r="AF938" t="n">
        <v>2</v>
      </c>
      <c r="AG938" t="n">
        <v>2</v>
      </c>
      <c r="AH938" t="n">
        <v>0</v>
      </c>
      <c r="AI938" t="n">
        <v>0</v>
      </c>
      <c r="AJ938" t="n">
        <v>0</v>
      </c>
      <c r="AK938" t="n">
        <v>0</v>
      </c>
      <c r="AL938" t="n">
        <v>2</v>
      </c>
      <c r="AM938" t="n">
        <v>2</v>
      </c>
      <c r="AN938" t="n">
        <v>0</v>
      </c>
      <c r="AO938" t="n">
        <v>0</v>
      </c>
      <c r="AP938" t="n">
        <v>0</v>
      </c>
      <c r="AQ938" t="n">
        <v>0</v>
      </c>
      <c r="AR938" t="inlineStr">
        <is>
          <t>No</t>
        </is>
      </c>
      <c r="AS938" t="inlineStr">
        <is>
          <t>No</t>
        </is>
      </c>
      <c r="AU938">
        <f>HYPERLINK("https://creighton-primo.hosted.exlibrisgroup.com/primo-explore/search?tab=default_tab&amp;search_scope=EVERYTHING&amp;vid=01CRU&amp;lang=en_US&amp;offset=0&amp;query=any,contains,991001091659702656","Catalog Record")</f>
        <v/>
      </c>
      <c r="AV938">
        <f>HYPERLINK("http://www.worldcat.org/oclc/16224881","WorldCat Record")</f>
        <v/>
      </c>
      <c r="AW938" t="inlineStr">
        <is>
          <t>143840029:eng</t>
        </is>
      </c>
      <c r="AX938" t="inlineStr">
        <is>
          <t>16224881</t>
        </is>
      </c>
      <c r="AY938" t="inlineStr">
        <is>
          <t>991001091659702656</t>
        </is>
      </c>
      <c r="AZ938" t="inlineStr">
        <is>
          <t>991001091659702656</t>
        </is>
      </c>
      <c r="BA938" t="inlineStr">
        <is>
          <t>2268282590002656</t>
        </is>
      </c>
      <c r="BB938" t="inlineStr">
        <is>
          <t>BOOK</t>
        </is>
      </c>
      <c r="BD938" t="inlineStr">
        <is>
          <t>9780306426988</t>
        </is>
      </c>
      <c r="BE938" t="inlineStr">
        <is>
          <t>32285001549715</t>
        </is>
      </c>
      <c r="BF938" t="inlineStr">
        <is>
          <t>893528651</t>
        </is>
      </c>
    </row>
    <row r="939">
      <c r="B939" t="inlineStr">
        <is>
          <t>CURAL</t>
        </is>
      </c>
      <c r="C939" t="inlineStr">
        <is>
          <t>SHELVES</t>
        </is>
      </c>
      <c r="D939" t="inlineStr">
        <is>
          <t>QP88.5 .A375 1993</t>
        </is>
      </c>
      <c r="E939" t="inlineStr">
        <is>
          <t>0                      QP 0088500A  375         1993</t>
        </is>
      </c>
      <c r="F939" t="inlineStr">
        <is>
          <t>Aging skin : properties and functional changes / edited by Jean-Luc Lévèque, Pierre G. Agache.</t>
        </is>
      </c>
      <c r="H939" t="inlineStr">
        <is>
          <t>No</t>
        </is>
      </c>
      <c r="I939" t="inlineStr">
        <is>
          <t>1</t>
        </is>
      </c>
      <c r="J939" t="inlineStr">
        <is>
          <t>No</t>
        </is>
      </c>
      <c r="K939" t="inlineStr">
        <is>
          <t>No</t>
        </is>
      </c>
      <c r="L939" t="inlineStr">
        <is>
          <t>0</t>
        </is>
      </c>
      <c r="N939" t="inlineStr">
        <is>
          <t>New York : Dekker, c1993.</t>
        </is>
      </c>
      <c r="O939" t="inlineStr">
        <is>
          <t>1993</t>
        </is>
      </c>
      <c r="Q939" t="inlineStr">
        <is>
          <t>eng</t>
        </is>
      </c>
      <c r="R939" t="inlineStr">
        <is>
          <t>nyu</t>
        </is>
      </c>
      <c r="S939" t="inlineStr">
        <is>
          <t>Clinical dermatology ; 4</t>
        </is>
      </c>
      <c r="T939" t="inlineStr">
        <is>
          <t xml:space="preserve">QP </t>
        </is>
      </c>
      <c r="U939" t="n">
        <v>6</v>
      </c>
      <c r="V939" t="n">
        <v>6</v>
      </c>
      <c r="W939" t="inlineStr">
        <is>
          <t>2007-10-29</t>
        </is>
      </c>
      <c r="X939" t="inlineStr">
        <is>
          <t>2007-10-29</t>
        </is>
      </c>
      <c r="Y939" t="inlineStr">
        <is>
          <t>1994-06-27</t>
        </is>
      </c>
      <c r="Z939" t="inlineStr">
        <is>
          <t>1994-06-27</t>
        </is>
      </c>
      <c r="AA939" t="n">
        <v>84</v>
      </c>
      <c r="AB939" t="n">
        <v>59</v>
      </c>
      <c r="AC939" t="n">
        <v>59</v>
      </c>
      <c r="AD939" t="n">
        <v>2</v>
      </c>
      <c r="AE939" t="n">
        <v>2</v>
      </c>
      <c r="AF939" t="n">
        <v>3</v>
      </c>
      <c r="AG939" t="n">
        <v>3</v>
      </c>
      <c r="AH939" t="n">
        <v>0</v>
      </c>
      <c r="AI939" t="n">
        <v>0</v>
      </c>
      <c r="AJ939" t="n">
        <v>2</v>
      </c>
      <c r="AK939" t="n">
        <v>2</v>
      </c>
      <c r="AL939" t="n">
        <v>1</v>
      </c>
      <c r="AM939" t="n">
        <v>1</v>
      </c>
      <c r="AN939" t="n">
        <v>1</v>
      </c>
      <c r="AO939" t="n">
        <v>1</v>
      </c>
      <c r="AP939" t="n">
        <v>0</v>
      </c>
      <c r="AQ939" t="n">
        <v>0</v>
      </c>
      <c r="AR939" t="inlineStr">
        <is>
          <t>No</t>
        </is>
      </c>
      <c r="AS939" t="inlineStr">
        <is>
          <t>No</t>
        </is>
      </c>
      <c r="AU939">
        <f>HYPERLINK("https://creighton-primo.hosted.exlibrisgroup.com/primo-explore/search?tab=default_tab&amp;search_scope=EVERYTHING&amp;vid=01CRU&amp;lang=en_US&amp;offset=0&amp;query=any,contains,991002086119702656","Catalog Record")</f>
        <v/>
      </c>
      <c r="AV939">
        <f>HYPERLINK("http://www.worldcat.org/oclc/26765019","WorldCat Record")</f>
        <v/>
      </c>
      <c r="AW939" t="inlineStr">
        <is>
          <t>906229307:eng</t>
        </is>
      </c>
      <c r="AX939" t="inlineStr">
        <is>
          <t>26765019</t>
        </is>
      </c>
      <c r="AY939" t="inlineStr">
        <is>
          <t>991002086119702656</t>
        </is>
      </c>
      <c r="AZ939" t="inlineStr">
        <is>
          <t>991002086119702656</t>
        </is>
      </c>
      <c r="BA939" t="inlineStr">
        <is>
          <t>2265216550002656</t>
        </is>
      </c>
      <c r="BB939" t="inlineStr">
        <is>
          <t>BOOK</t>
        </is>
      </c>
      <c r="BD939" t="inlineStr">
        <is>
          <t>9780824787912</t>
        </is>
      </c>
      <c r="BE939" t="inlineStr">
        <is>
          <t>32285001924595</t>
        </is>
      </c>
      <c r="BF939" t="inlineStr">
        <is>
          <t>893590902</t>
        </is>
      </c>
    </row>
    <row r="940">
      <c r="B940" t="inlineStr">
        <is>
          <t>CURAL</t>
        </is>
      </c>
      <c r="C940" t="inlineStr">
        <is>
          <t>SHELVES</t>
        </is>
      </c>
      <c r="D940" t="inlineStr">
        <is>
          <t>QP90.2 .T76 1996</t>
        </is>
      </c>
      <c r="E940" t="inlineStr">
        <is>
          <t>0                      QP 0090200T  76          1996</t>
        </is>
      </c>
      <c r="F940" t="inlineStr">
        <is>
          <t>Limb regeneration / Panagiotis A. Tsonis.</t>
        </is>
      </c>
      <c r="H940" t="inlineStr">
        <is>
          <t>No</t>
        </is>
      </c>
      <c r="I940" t="inlineStr">
        <is>
          <t>1</t>
        </is>
      </c>
      <c r="J940" t="inlineStr">
        <is>
          <t>No</t>
        </is>
      </c>
      <c r="K940" t="inlineStr">
        <is>
          <t>No</t>
        </is>
      </c>
      <c r="L940" t="inlineStr">
        <is>
          <t>0</t>
        </is>
      </c>
      <c r="M940" t="inlineStr">
        <is>
          <t>Tsonis, Panagiotis A.</t>
        </is>
      </c>
      <c r="N940" t="inlineStr">
        <is>
          <t>Cambridge ; New York, NY, USA : Cambridge University Press, 1996.</t>
        </is>
      </c>
      <c r="O940" t="inlineStr">
        <is>
          <t>1996</t>
        </is>
      </c>
      <c r="Q940" t="inlineStr">
        <is>
          <t>eng</t>
        </is>
      </c>
      <c r="R940" t="inlineStr">
        <is>
          <t>enk</t>
        </is>
      </c>
      <c r="S940" t="inlineStr">
        <is>
          <t>Developmental and cell biology series</t>
        </is>
      </c>
      <c r="T940" t="inlineStr">
        <is>
          <t xml:space="preserve">QP </t>
        </is>
      </c>
      <c r="U940" t="n">
        <v>5</v>
      </c>
      <c r="V940" t="n">
        <v>5</v>
      </c>
      <c r="W940" t="inlineStr">
        <is>
          <t>1998-11-17</t>
        </is>
      </c>
      <c r="X940" t="inlineStr">
        <is>
          <t>1998-11-17</t>
        </is>
      </c>
      <c r="Y940" t="inlineStr">
        <is>
          <t>1996-08-14</t>
        </is>
      </c>
      <c r="Z940" t="inlineStr">
        <is>
          <t>1996-08-14</t>
        </is>
      </c>
      <c r="AA940" t="n">
        <v>225</v>
      </c>
      <c r="AB940" t="n">
        <v>178</v>
      </c>
      <c r="AC940" t="n">
        <v>183</v>
      </c>
      <c r="AD940" t="n">
        <v>1</v>
      </c>
      <c r="AE940" t="n">
        <v>1</v>
      </c>
      <c r="AF940" t="n">
        <v>6</v>
      </c>
      <c r="AG940" t="n">
        <v>6</v>
      </c>
      <c r="AH940" t="n">
        <v>2</v>
      </c>
      <c r="AI940" t="n">
        <v>2</v>
      </c>
      <c r="AJ940" t="n">
        <v>1</v>
      </c>
      <c r="AK940" t="n">
        <v>1</v>
      </c>
      <c r="AL940" t="n">
        <v>5</v>
      </c>
      <c r="AM940" t="n">
        <v>5</v>
      </c>
      <c r="AN940" t="n">
        <v>0</v>
      </c>
      <c r="AO940" t="n">
        <v>0</v>
      </c>
      <c r="AP940" t="n">
        <v>0</v>
      </c>
      <c r="AQ940" t="n">
        <v>0</v>
      </c>
      <c r="AR940" t="inlineStr">
        <is>
          <t>No</t>
        </is>
      </c>
      <c r="AS940" t="inlineStr">
        <is>
          <t>No</t>
        </is>
      </c>
      <c r="AU940">
        <f>HYPERLINK("https://creighton-primo.hosted.exlibrisgroup.com/primo-explore/search?tab=default_tab&amp;search_scope=EVERYTHING&amp;vid=01CRU&amp;lang=en_US&amp;offset=0&amp;query=any,contains,991002516229702656","Catalog Record")</f>
        <v/>
      </c>
      <c r="AV940">
        <f>HYPERLINK("http://www.worldcat.org/oclc/32705512","WorldCat Record")</f>
        <v/>
      </c>
      <c r="AW940" t="inlineStr">
        <is>
          <t>36359174:eng</t>
        </is>
      </c>
      <c r="AX940" t="inlineStr">
        <is>
          <t>32705512</t>
        </is>
      </c>
      <c r="AY940" t="inlineStr">
        <is>
          <t>991002516229702656</t>
        </is>
      </c>
      <c r="AZ940" t="inlineStr">
        <is>
          <t>991002516229702656</t>
        </is>
      </c>
      <c r="BA940" t="inlineStr">
        <is>
          <t>2271238580002656</t>
        </is>
      </c>
      <c r="BB940" t="inlineStr">
        <is>
          <t>BOOK</t>
        </is>
      </c>
      <c r="BD940" t="inlineStr">
        <is>
          <t>9780521441490</t>
        </is>
      </c>
      <c r="BE940" t="inlineStr">
        <is>
          <t>32285002290038</t>
        </is>
      </c>
      <c r="BF940" t="inlineStr">
        <is>
          <t>893886394</t>
        </is>
      </c>
    </row>
    <row r="941">
      <c r="B941" t="inlineStr">
        <is>
          <t>CURAL</t>
        </is>
      </c>
      <c r="C941" t="inlineStr">
        <is>
          <t>SHELVES</t>
        </is>
      </c>
      <c r="D941" t="inlineStr">
        <is>
          <t>QP90.5 .H54</t>
        </is>
      </c>
      <c r="E941" t="inlineStr">
        <is>
          <t>0                      QP 0090500H  54</t>
        </is>
      </c>
      <c r="F941" t="inlineStr">
        <is>
          <t>Acid-base balance : chemistry, physiology, pathophysiology / [by] A. Gorman Hills.</t>
        </is>
      </c>
      <c r="H941" t="inlineStr">
        <is>
          <t>No</t>
        </is>
      </c>
      <c r="I941" t="inlineStr">
        <is>
          <t>1</t>
        </is>
      </c>
      <c r="J941" t="inlineStr">
        <is>
          <t>No</t>
        </is>
      </c>
      <c r="K941" t="inlineStr">
        <is>
          <t>No</t>
        </is>
      </c>
      <c r="L941" t="inlineStr">
        <is>
          <t>0</t>
        </is>
      </c>
      <c r="M941" t="inlineStr">
        <is>
          <t>Hills, A. Gorman (Arthur Gorman), 1915-</t>
        </is>
      </c>
      <c r="N941" t="inlineStr">
        <is>
          <t>Baltimore : Williams &amp; Wilkins, 1973.</t>
        </is>
      </c>
      <c r="O941" t="inlineStr">
        <is>
          <t>1973</t>
        </is>
      </c>
      <c r="Q941" t="inlineStr">
        <is>
          <t>eng</t>
        </is>
      </c>
      <c r="R941" t="inlineStr">
        <is>
          <t>mdu</t>
        </is>
      </c>
      <c r="T941" t="inlineStr">
        <is>
          <t xml:space="preserve">QP </t>
        </is>
      </c>
      <c r="U941" t="n">
        <v>1</v>
      </c>
      <c r="V941" t="n">
        <v>1</v>
      </c>
      <c r="W941" t="inlineStr">
        <is>
          <t>1995-01-10</t>
        </is>
      </c>
      <c r="X941" t="inlineStr">
        <is>
          <t>1995-01-10</t>
        </is>
      </c>
      <c r="Y941" t="inlineStr">
        <is>
          <t>1995-01-10</t>
        </is>
      </c>
      <c r="Z941" t="inlineStr">
        <is>
          <t>1995-01-10</t>
        </is>
      </c>
      <c r="AA941" t="n">
        <v>225</v>
      </c>
      <c r="AB941" t="n">
        <v>178</v>
      </c>
      <c r="AC941" t="n">
        <v>180</v>
      </c>
      <c r="AD941" t="n">
        <v>1</v>
      </c>
      <c r="AE941" t="n">
        <v>1</v>
      </c>
      <c r="AF941" t="n">
        <v>8</v>
      </c>
      <c r="AG941" t="n">
        <v>8</v>
      </c>
      <c r="AH941" t="n">
        <v>2</v>
      </c>
      <c r="AI941" t="n">
        <v>2</v>
      </c>
      <c r="AJ941" t="n">
        <v>1</v>
      </c>
      <c r="AK941" t="n">
        <v>1</v>
      </c>
      <c r="AL941" t="n">
        <v>5</v>
      </c>
      <c r="AM941" t="n">
        <v>5</v>
      </c>
      <c r="AN941" t="n">
        <v>0</v>
      </c>
      <c r="AO941" t="n">
        <v>0</v>
      </c>
      <c r="AP941" t="n">
        <v>0</v>
      </c>
      <c r="AQ941" t="n">
        <v>0</v>
      </c>
      <c r="AR941" t="inlineStr">
        <is>
          <t>No</t>
        </is>
      </c>
      <c r="AS941" t="inlineStr">
        <is>
          <t>Yes</t>
        </is>
      </c>
      <c r="AT941">
        <f>HYPERLINK("http://catalog.hathitrust.org/Record/002076436","HathiTrust Record")</f>
        <v/>
      </c>
      <c r="AU941">
        <f>HYPERLINK("https://creighton-primo.hosted.exlibrisgroup.com/primo-explore/search?tab=default_tab&amp;search_scope=EVERYTHING&amp;vid=01CRU&amp;lang=en_US&amp;offset=0&amp;query=any,contains,991003654439702656","Catalog Record")</f>
        <v/>
      </c>
      <c r="AV941">
        <f>HYPERLINK("http://www.worldcat.org/oclc/1258213","WorldCat Record")</f>
        <v/>
      </c>
      <c r="AW941" t="inlineStr">
        <is>
          <t>2178759:eng</t>
        </is>
      </c>
      <c r="AX941" t="inlineStr">
        <is>
          <t>1258213</t>
        </is>
      </c>
      <c r="AY941" t="inlineStr">
        <is>
          <t>991003654439702656</t>
        </is>
      </c>
      <c r="AZ941" t="inlineStr">
        <is>
          <t>991003654439702656</t>
        </is>
      </c>
      <c r="BA941" t="inlineStr">
        <is>
          <t>2259473930002656</t>
        </is>
      </c>
      <c r="BB941" t="inlineStr">
        <is>
          <t>BOOK</t>
        </is>
      </c>
      <c r="BD941" t="inlineStr">
        <is>
          <t>9780683040043</t>
        </is>
      </c>
      <c r="BE941" t="inlineStr">
        <is>
          <t>32285001986362</t>
        </is>
      </c>
      <c r="BF941" t="inlineStr">
        <is>
          <t>893246589</t>
        </is>
      </c>
    </row>
    <row r="942">
      <c r="B942" t="inlineStr">
        <is>
          <t>CURAL</t>
        </is>
      </c>
      <c r="C942" t="inlineStr">
        <is>
          <t>SHELVES</t>
        </is>
      </c>
      <c r="D942" t="inlineStr">
        <is>
          <t>QP90.6 .B45</t>
        </is>
      </c>
      <c r="E942" t="inlineStr">
        <is>
          <t>0                      QP 0090600B  45</t>
        </is>
      </c>
      <c r="F942" t="inlineStr">
        <is>
          <t>Endocrines and osmoregulation; a comparative account of the regulation of water and salt in vertebrates, by P. J. Bentley.</t>
        </is>
      </c>
      <c r="H942" t="inlineStr">
        <is>
          <t>No</t>
        </is>
      </c>
      <c r="I942" t="inlineStr">
        <is>
          <t>1</t>
        </is>
      </c>
      <c r="J942" t="inlineStr">
        <is>
          <t>No</t>
        </is>
      </c>
      <c r="K942" t="inlineStr">
        <is>
          <t>No</t>
        </is>
      </c>
      <c r="L942" t="inlineStr">
        <is>
          <t>0</t>
        </is>
      </c>
      <c r="M942" t="inlineStr">
        <is>
          <t>Bentley, P. J.</t>
        </is>
      </c>
      <c r="N942" t="inlineStr">
        <is>
          <t>Berlin, New York, Springer-Verlag, 1971.</t>
        </is>
      </c>
      <c r="O942" t="inlineStr">
        <is>
          <t>1971</t>
        </is>
      </c>
      <c r="Q942" t="inlineStr">
        <is>
          <t>eng</t>
        </is>
      </c>
      <c r="R942" t="inlineStr">
        <is>
          <t xml:space="preserve">gw </t>
        </is>
      </c>
      <c r="S942" t="inlineStr">
        <is>
          <t>Zoophysiology and ecology ; 1</t>
        </is>
      </c>
      <c r="T942" t="inlineStr">
        <is>
          <t xml:space="preserve">QP </t>
        </is>
      </c>
      <c r="U942" t="n">
        <v>3</v>
      </c>
      <c r="V942" t="n">
        <v>3</v>
      </c>
      <c r="W942" t="inlineStr">
        <is>
          <t>2003-10-28</t>
        </is>
      </c>
      <c r="X942" t="inlineStr">
        <is>
          <t>2003-10-28</t>
        </is>
      </c>
      <c r="Y942" t="inlineStr">
        <is>
          <t>1997-08-06</t>
        </is>
      </c>
      <c r="Z942" t="inlineStr">
        <is>
          <t>1997-08-06</t>
        </is>
      </c>
      <c r="AA942" t="n">
        <v>519</v>
      </c>
      <c r="AB942" t="n">
        <v>371</v>
      </c>
      <c r="AC942" t="n">
        <v>389</v>
      </c>
      <c r="AD942" t="n">
        <v>4</v>
      </c>
      <c r="AE942" t="n">
        <v>4</v>
      </c>
      <c r="AF942" t="n">
        <v>12</v>
      </c>
      <c r="AG942" t="n">
        <v>14</v>
      </c>
      <c r="AH942" t="n">
        <v>2</v>
      </c>
      <c r="AI942" t="n">
        <v>3</v>
      </c>
      <c r="AJ942" t="n">
        <v>2</v>
      </c>
      <c r="AK942" t="n">
        <v>3</v>
      </c>
      <c r="AL942" t="n">
        <v>8</v>
      </c>
      <c r="AM942" t="n">
        <v>10</v>
      </c>
      <c r="AN942" t="n">
        <v>3</v>
      </c>
      <c r="AO942" t="n">
        <v>3</v>
      </c>
      <c r="AP942" t="n">
        <v>0</v>
      </c>
      <c r="AQ942" t="n">
        <v>0</v>
      </c>
      <c r="AR942" t="inlineStr">
        <is>
          <t>No</t>
        </is>
      </c>
      <c r="AS942" t="inlineStr">
        <is>
          <t>Yes</t>
        </is>
      </c>
      <c r="AT942">
        <f>HYPERLINK("http://catalog.hathitrust.org/Record/001553611","HathiTrust Record")</f>
        <v/>
      </c>
      <c r="AU942">
        <f>HYPERLINK("https://creighton-primo.hosted.exlibrisgroup.com/primo-explore/search?tab=default_tab&amp;search_scope=EVERYTHING&amp;vid=01CRU&amp;lang=en_US&amp;offset=0&amp;query=any,contains,991001234569702656","Catalog Record")</f>
        <v/>
      </c>
      <c r="AV942">
        <f>HYPERLINK("http://www.worldcat.org/oclc/205030","WorldCat Record")</f>
        <v/>
      </c>
      <c r="AW942" t="inlineStr">
        <is>
          <t>1264822:eng</t>
        </is>
      </c>
      <c r="AX942" t="inlineStr">
        <is>
          <t>205030</t>
        </is>
      </c>
      <c r="AY942" t="inlineStr">
        <is>
          <t>991001234569702656</t>
        </is>
      </c>
      <c r="AZ942" t="inlineStr">
        <is>
          <t>991001234569702656</t>
        </is>
      </c>
      <c r="BA942" t="inlineStr">
        <is>
          <t>2255370340002656</t>
        </is>
      </c>
      <c r="BB942" t="inlineStr">
        <is>
          <t>BOOK</t>
        </is>
      </c>
      <c r="BD942" t="inlineStr">
        <is>
          <t>9783540052739</t>
        </is>
      </c>
      <c r="BE942" t="inlineStr">
        <is>
          <t>32285003012563</t>
        </is>
      </c>
      <c r="BF942" t="inlineStr">
        <is>
          <t>893334182</t>
        </is>
      </c>
    </row>
    <row r="943">
      <c r="B943" t="inlineStr">
        <is>
          <t>CURAL</t>
        </is>
      </c>
      <c r="C943" t="inlineStr">
        <is>
          <t>SHELVES</t>
        </is>
      </c>
      <c r="D943" t="inlineStr">
        <is>
          <t>QP90.7 .A27 1986</t>
        </is>
      </c>
      <c r="E943" t="inlineStr">
        <is>
          <t>0                      QP 0090700A  27          1986</t>
        </is>
      </c>
      <c r="F943" t="inlineStr">
        <is>
          <t>Acid-base regulation in animals / edited by Norbert Heisler.</t>
        </is>
      </c>
      <c r="H943" t="inlineStr">
        <is>
          <t>No</t>
        </is>
      </c>
      <c r="I943" t="inlineStr">
        <is>
          <t>1</t>
        </is>
      </c>
      <c r="J943" t="inlineStr">
        <is>
          <t>No</t>
        </is>
      </c>
      <c r="K943" t="inlineStr">
        <is>
          <t>No</t>
        </is>
      </c>
      <c r="L943" t="inlineStr">
        <is>
          <t>0</t>
        </is>
      </c>
      <c r="N943" t="inlineStr">
        <is>
          <t>Amsterdam ; New York : Elsevier ; New York, NY, U.S.A. : Sole distributors for the U.S.A. and Canada, Elsevier Science Pub. Co., 1986.</t>
        </is>
      </c>
      <c r="O943" t="inlineStr">
        <is>
          <t>1986</t>
        </is>
      </c>
      <c r="Q943" t="inlineStr">
        <is>
          <t>eng</t>
        </is>
      </c>
      <c r="R943" t="inlineStr">
        <is>
          <t xml:space="preserve">ne </t>
        </is>
      </c>
      <c r="T943" t="inlineStr">
        <is>
          <t xml:space="preserve">QP </t>
        </is>
      </c>
      <c r="U943" t="n">
        <v>2</v>
      </c>
      <c r="V943" t="n">
        <v>2</v>
      </c>
      <c r="W943" t="inlineStr">
        <is>
          <t>1994-01-07</t>
        </is>
      </c>
      <c r="X943" t="inlineStr">
        <is>
          <t>1994-01-07</t>
        </is>
      </c>
      <c r="Y943" t="inlineStr">
        <is>
          <t>1993-02-26</t>
        </is>
      </c>
      <c r="Z943" t="inlineStr">
        <is>
          <t>1993-02-26</t>
        </is>
      </c>
      <c r="AA943" t="n">
        <v>156</v>
      </c>
      <c r="AB943" t="n">
        <v>94</v>
      </c>
      <c r="AC943" t="n">
        <v>96</v>
      </c>
      <c r="AD943" t="n">
        <v>2</v>
      </c>
      <c r="AE943" t="n">
        <v>2</v>
      </c>
      <c r="AF943" t="n">
        <v>2</v>
      </c>
      <c r="AG943" t="n">
        <v>2</v>
      </c>
      <c r="AH943" t="n">
        <v>0</v>
      </c>
      <c r="AI943" t="n">
        <v>0</v>
      </c>
      <c r="AJ943" t="n">
        <v>1</v>
      </c>
      <c r="AK943" t="n">
        <v>1</v>
      </c>
      <c r="AL943" t="n">
        <v>0</v>
      </c>
      <c r="AM943" t="n">
        <v>0</v>
      </c>
      <c r="AN943" t="n">
        <v>1</v>
      </c>
      <c r="AO943" t="n">
        <v>1</v>
      </c>
      <c r="AP943" t="n">
        <v>0</v>
      </c>
      <c r="AQ943" t="n">
        <v>0</v>
      </c>
      <c r="AR943" t="inlineStr">
        <is>
          <t>No</t>
        </is>
      </c>
      <c r="AS943" t="inlineStr">
        <is>
          <t>Yes</t>
        </is>
      </c>
      <c r="AT943">
        <f>HYPERLINK("http://catalog.hathitrust.org/Record/000438238","HathiTrust Record")</f>
        <v/>
      </c>
      <c r="AU943">
        <f>HYPERLINK("https://creighton-primo.hosted.exlibrisgroup.com/primo-explore/search?tab=default_tab&amp;search_scope=EVERYTHING&amp;vid=01CRU&amp;lang=en_US&amp;offset=0&amp;query=any,contains,991000804579702656","Catalog Record")</f>
        <v/>
      </c>
      <c r="AV943">
        <f>HYPERLINK("http://www.worldcat.org/oclc/13270655","WorldCat Record")</f>
        <v/>
      </c>
      <c r="AW943" t="inlineStr">
        <is>
          <t>7058896:eng</t>
        </is>
      </c>
      <c r="AX943" t="inlineStr">
        <is>
          <t>13270655</t>
        </is>
      </c>
      <c r="AY943" t="inlineStr">
        <is>
          <t>991000804579702656</t>
        </is>
      </c>
      <c r="AZ943" t="inlineStr">
        <is>
          <t>991000804579702656</t>
        </is>
      </c>
      <c r="BA943" t="inlineStr">
        <is>
          <t>2271832240002656</t>
        </is>
      </c>
      <c r="BB943" t="inlineStr">
        <is>
          <t>BOOK</t>
        </is>
      </c>
      <c r="BD943" t="inlineStr">
        <is>
          <t>9780444806963</t>
        </is>
      </c>
      <c r="BE943" t="inlineStr">
        <is>
          <t>32285001549749</t>
        </is>
      </c>
      <c r="BF943" t="inlineStr">
        <is>
          <t>893502820</t>
        </is>
      </c>
    </row>
    <row r="944">
      <c r="B944" t="inlineStr">
        <is>
          <t>CURAL</t>
        </is>
      </c>
      <c r="C944" t="inlineStr">
        <is>
          <t>SHELVES</t>
        </is>
      </c>
      <c r="D944" t="inlineStr">
        <is>
          <t>QP90.7 .K54</t>
        </is>
      </c>
      <c r="E944" t="inlineStr">
        <is>
          <t>0                      QP 0090700K  54</t>
        </is>
      </c>
      <c r="F944" t="inlineStr">
        <is>
          <t>Quantitative acid-base physiology : system physiology and pathophysiology of renal, gastrointestinal, and skeletal acid-base metabolism / by Poul Kildeberg.</t>
        </is>
      </c>
      <c r="H944" t="inlineStr">
        <is>
          <t>No</t>
        </is>
      </c>
      <c r="I944" t="inlineStr">
        <is>
          <t>1</t>
        </is>
      </c>
      <c r="J944" t="inlineStr">
        <is>
          <t>No</t>
        </is>
      </c>
      <c r="K944" t="inlineStr">
        <is>
          <t>No</t>
        </is>
      </c>
      <c r="L944" t="inlineStr">
        <is>
          <t>0</t>
        </is>
      </c>
      <c r="M944" t="inlineStr">
        <is>
          <t>Kildeberg, Poul.</t>
        </is>
      </c>
      <c r="N944" t="inlineStr">
        <is>
          <t>New York : Igaku-Shoin, 1981.</t>
        </is>
      </c>
      <c r="O944" t="inlineStr">
        <is>
          <t>1981</t>
        </is>
      </c>
      <c r="Q944" t="inlineStr">
        <is>
          <t>eng</t>
        </is>
      </c>
      <c r="R944" t="inlineStr">
        <is>
          <t>nyu</t>
        </is>
      </c>
      <c r="T944" t="inlineStr">
        <is>
          <t xml:space="preserve">QP </t>
        </is>
      </c>
      <c r="U944" t="n">
        <v>3</v>
      </c>
      <c r="V944" t="n">
        <v>3</v>
      </c>
      <c r="W944" t="inlineStr">
        <is>
          <t>1994-12-21</t>
        </is>
      </c>
      <c r="X944" t="inlineStr">
        <is>
          <t>1994-12-21</t>
        </is>
      </c>
      <c r="Y944" t="inlineStr">
        <is>
          <t>1993-02-26</t>
        </is>
      </c>
      <c r="Z944" t="inlineStr">
        <is>
          <t>1993-02-26</t>
        </is>
      </c>
      <c r="AA944" t="n">
        <v>69</v>
      </c>
      <c r="AB944" t="n">
        <v>62</v>
      </c>
      <c r="AC944" t="n">
        <v>75</v>
      </c>
      <c r="AD944" t="n">
        <v>2</v>
      </c>
      <c r="AE944" t="n">
        <v>2</v>
      </c>
      <c r="AF944" t="n">
        <v>2</v>
      </c>
      <c r="AG944" t="n">
        <v>2</v>
      </c>
      <c r="AH944" t="n">
        <v>0</v>
      </c>
      <c r="AI944" t="n">
        <v>0</v>
      </c>
      <c r="AJ944" t="n">
        <v>0</v>
      </c>
      <c r="AK944" t="n">
        <v>0</v>
      </c>
      <c r="AL944" t="n">
        <v>1</v>
      </c>
      <c r="AM944" t="n">
        <v>1</v>
      </c>
      <c r="AN944" t="n">
        <v>1</v>
      </c>
      <c r="AO944" t="n">
        <v>1</v>
      </c>
      <c r="AP944" t="n">
        <v>0</v>
      </c>
      <c r="AQ944" t="n">
        <v>0</v>
      </c>
      <c r="AR944" t="inlineStr">
        <is>
          <t>No</t>
        </is>
      </c>
      <c r="AS944" t="inlineStr">
        <is>
          <t>No</t>
        </is>
      </c>
      <c r="AU944">
        <f>HYPERLINK("https://creighton-primo.hosted.exlibrisgroup.com/primo-explore/search?tab=default_tab&amp;search_scope=EVERYTHING&amp;vid=01CRU&amp;lang=en_US&amp;offset=0&amp;query=any,contains,991005154079702656","Catalog Record")</f>
        <v/>
      </c>
      <c r="AV944">
        <f>HYPERLINK("http://www.worldcat.org/oclc/7737640","WorldCat Record")</f>
        <v/>
      </c>
      <c r="AW944" t="inlineStr">
        <is>
          <t>29746235:eng</t>
        </is>
      </c>
      <c r="AX944" t="inlineStr">
        <is>
          <t>7737640</t>
        </is>
      </c>
      <c r="AY944" t="inlineStr">
        <is>
          <t>991005154079702656</t>
        </is>
      </c>
      <c r="AZ944" t="inlineStr">
        <is>
          <t>991005154079702656</t>
        </is>
      </c>
      <c r="BA944" t="inlineStr">
        <is>
          <t>2259642520002656</t>
        </is>
      </c>
      <c r="BB944" t="inlineStr">
        <is>
          <t>BOOK</t>
        </is>
      </c>
      <c r="BD944" t="inlineStr">
        <is>
          <t>9780896400481</t>
        </is>
      </c>
      <c r="BE944" t="inlineStr">
        <is>
          <t>32285001549756</t>
        </is>
      </c>
      <c r="BF944" t="inlineStr">
        <is>
          <t>893520527</t>
        </is>
      </c>
    </row>
    <row r="945">
      <c r="B945" t="inlineStr">
        <is>
          <t>CURAL</t>
        </is>
      </c>
      <c r="C945" t="inlineStr">
        <is>
          <t>SHELVES</t>
        </is>
      </c>
      <c r="D945" t="inlineStr">
        <is>
          <t>QP90.7 .S73</t>
        </is>
      </c>
      <c r="E945" t="inlineStr">
        <is>
          <t>0                      QP 0090700S  73</t>
        </is>
      </c>
      <c r="F945" t="inlineStr">
        <is>
          <t>How to understand acid-base : a quantitative acid-base primer for biology and medicine / Peter A. Stewart.</t>
        </is>
      </c>
      <c r="H945" t="inlineStr">
        <is>
          <t>No</t>
        </is>
      </c>
      <c r="I945" t="inlineStr">
        <is>
          <t>1</t>
        </is>
      </c>
      <c r="J945" t="inlineStr">
        <is>
          <t>No</t>
        </is>
      </c>
      <c r="K945" t="inlineStr">
        <is>
          <t>No</t>
        </is>
      </c>
      <c r="L945" t="inlineStr">
        <is>
          <t>0</t>
        </is>
      </c>
      <c r="M945" t="inlineStr">
        <is>
          <t>Stewart, Peter A.</t>
        </is>
      </c>
      <c r="N945" t="inlineStr">
        <is>
          <t>New York : Elsevier, c1981.</t>
        </is>
      </c>
      <c r="O945" t="inlineStr">
        <is>
          <t>1981</t>
        </is>
      </c>
      <c r="Q945" t="inlineStr">
        <is>
          <t>eng</t>
        </is>
      </c>
      <c r="R945" t="inlineStr">
        <is>
          <t>nyu</t>
        </is>
      </c>
      <c r="T945" t="inlineStr">
        <is>
          <t xml:space="preserve">QP </t>
        </is>
      </c>
      <c r="U945" t="n">
        <v>13</v>
      </c>
      <c r="V945" t="n">
        <v>13</v>
      </c>
      <c r="W945" t="inlineStr">
        <is>
          <t>1996-01-11</t>
        </is>
      </c>
      <c r="X945" t="inlineStr">
        <is>
          <t>1996-01-11</t>
        </is>
      </c>
      <c r="Y945" t="inlineStr">
        <is>
          <t>1993-02-26</t>
        </is>
      </c>
      <c r="Z945" t="inlineStr">
        <is>
          <t>1993-02-26</t>
        </is>
      </c>
      <c r="AA945" t="n">
        <v>225</v>
      </c>
      <c r="AB945" t="n">
        <v>205</v>
      </c>
      <c r="AC945" t="n">
        <v>210</v>
      </c>
      <c r="AD945" t="n">
        <v>2</v>
      </c>
      <c r="AE945" t="n">
        <v>2</v>
      </c>
      <c r="AF945" t="n">
        <v>4</v>
      </c>
      <c r="AG945" t="n">
        <v>4</v>
      </c>
      <c r="AH945" t="n">
        <v>1</v>
      </c>
      <c r="AI945" t="n">
        <v>1</v>
      </c>
      <c r="AJ945" t="n">
        <v>2</v>
      </c>
      <c r="AK945" t="n">
        <v>2</v>
      </c>
      <c r="AL945" t="n">
        <v>1</v>
      </c>
      <c r="AM945" t="n">
        <v>1</v>
      </c>
      <c r="AN945" t="n">
        <v>1</v>
      </c>
      <c r="AO945" t="n">
        <v>1</v>
      </c>
      <c r="AP945" t="n">
        <v>0</v>
      </c>
      <c r="AQ945" t="n">
        <v>0</v>
      </c>
      <c r="AR945" t="inlineStr">
        <is>
          <t>No</t>
        </is>
      </c>
      <c r="AS945" t="inlineStr">
        <is>
          <t>No</t>
        </is>
      </c>
      <c r="AU945">
        <f>HYPERLINK("https://creighton-primo.hosted.exlibrisgroup.com/primo-explore/search?tab=default_tab&amp;search_scope=EVERYTHING&amp;vid=01CRU&amp;lang=en_US&amp;offset=0&amp;query=any,contains,991005012199702656","Catalog Record")</f>
        <v/>
      </c>
      <c r="AV945">
        <f>HYPERLINK("http://www.worldcat.org/oclc/6603444","WorldCat Record")</f>
        <v/>
      </c>
      <c r="AW945" t="inlineStr">
        <is>
          <t>836671424:eng</t>
        </is>
      </c>
      <c r="AX945" t="inlineStr">
        <is>
          <t>6603444</t>
        </is>
      </c>
      <c r="AY945" t="inlineStr">
        <is>
          <t>991005012199702656</t>
        </is>
      </c>
      <c r="AZ945" t="inlineStr">
        <is>
          <t>991005012199702656</t>
        </is>
      </c>
      <c r="BA945" t="inlineStr">
        <is>
          <t>2255011040002656</t>
        </is>
      </c>
      <c r="BB945" t="inlineStr">
        <is>
          <t>BOOK</t>
        </is>
      </c>
      <c r="BD945" t="inlineStr">
        <is>
          <t>9780444004062</t>
        </is>
      </c>
      <c r="BE945" t="inlineStr">
        <is>
          <t>32285001549764</t>
        </is>
      </c>
      <c r="BF945" t="inlineStr">
        <is>
          <t>893260435</t>
        </is>
      </c>
    </row>
    <row r="946">
      <c r="B946" t="inlineStr">
        <is>
          <t>CURAL</t>
        </is>
      </c>
      <c r="C946" t="inlineStr">
        <is>
          <t>SHELVES</t>
        </is>
      </c>
      <c r="D946" t="inlineStr">
        <is>
          <t>QP903 .M38</t>
        </is>
      </c>
      <c r="E946" t="inlineStr">
        <is>
          <t>0                      QP 0903000M  38</t>
        </is>
      </c>
      <c r="F946" t="inlineStr">
        <is>
          <t>Chemicals and life / [by] Kenneth E. Maxwell.</t>
        </is>
      </c>
      <c r="H946" t="inlineStr">
        <is>
          <t>No</t>
        </is>
      </c>
      <c r="I946" t="inlineStr">
        <is>
          <t>1</t>
        </is>
      </c>
      <c r="J946" t="inlineStr">
        <is>
          <t>No</t>
        </is>
      </c>
      <c r="K946" t="inlineStr">
        <is>
          <t>No</t>
        </is>
      </c>
      <c r="L946" t="inlineStr">
        <is>
          <t>0</t>
        </is>
      </c>
      <c r="M946" t="inlineStr">
        <is>
          <t>Maxwell, Kenneth E., 1908-, compiler.</t>
        </is>
      </c>
      <c r="N946" t="inlineStr">
        <is>
          <t>Belmont, Calif. : Dickenson Pub. Co., [1970]</t>
        </is>
      </c>
      <c r="O946" t="inlineStr">
        <is>
          <t>1970</t>
        </is>
      </c>
      <c r="Q946" t="inlineStr">
        <is>
          <t>eng</t>
        </is>
      </c>
      <c r="R946" t="inlineStr">
        <is>
          <t>cau</t>
        </is>
      </c>
      <c r="S946" t="inlineStr">
        <is>
          <t>Dickenson series in biology</t>
        </is>
      </c>
      <c r="T946" t="inlineStr">
        <is>
          <t xml:space="preserve">QP </t>
        </is>
      </c>
      <c r="U946" t="n">
        <v>4</v>
      </c>
      <c r="V946" t="n">
        <v>4</v>
      </c>
      <c r="W946" t="inlineStr">
        <is>
          <t>1995-03-21</t>
        </is>
      </c>
      <c r="X946" t="inlineStr">
        <is>
          <t>1995-03-21</t>
        </is>
      </c>
      <c r="Y946" t="inlineStr">
        <is>
          <t>1994-10-28</t>
        </is>
      </c>
      <c r="Z946" t="inlineStr">
        <is>
          <t>1994-10-28</t>
        </is>
      </c>
      <c r="AA946" t="n">
        <v>343</v>
      </c>
      <c r="AB946" t="n">
        <v>303</v>
      </c>
      <c r="AC946" t="n">
        <v>311</v>
      </c>
      <c r="AD946" t="n">
        <v>5</v>
      </c>
      <c r="AE946" t="n">
        <v>5</v>
      </c>
      <c r="AF946" t="n">
        <v>9</v>
      </c>
      <c r="AG946" t="n">
        <v>9</v>
      </c>
      <c r="AH946" t="n">
        <v>1</v>
      </c>
      <c r="AI946" t="n">
        <v>1</v>
      </c>
      <c r="AJ946" t="n">
        <v>1</v>
      </c>
      <c r="AK946" t="n">
        <v>1</v>
      </c>
      <c r="AL946" t="n">
        <v>4</v>
      </c>
      <c r="AM946" t="n">
        <v>4</v>
      </c>
      <c r="AN946" t="n">
        <v>4</v>
      </c>
      <c r="AO946" t="n">
        <v>4</v>
      </c>
      <c r="AP946" t="n">
        <v>0</v>
      </c>
      <c r="AQ946" t="n">
        <v>0</v>
      </c>
      <c r="AR946" t="inlineStr">
        <is>
          <t>No</t>
        </is>
      </c>
      <c r="AS946" t="inlineStr">
        <is>
          <t>Yes</t>
        </is>
      </c>
      <c r="AT946">
        <f>HYPERLINK("http://catalog.hathitrust.org/Record/001555931","HathiTrust Record")</f>
        <v/>
      </c>
      <c r="AU946">
        <f>HYPERLINK("https://creighton-primo.hosted.exlibrisgroup.com/primo-explore/search?tab=default_tab&amp;search_scope=EVERYTHING&amp;vid=01CRU&amp;lang=en_US&amp;offset=0&amp;query=any,contains,991000376159702656","Catalog Record")</f>
        <v/>
      </c>
      <c r="AV946">
        <f>HYPERLINK("http://www.worldcat.org/oclc/71794","WorldCat Record")</f>
        <v/>
      </c>
      <c r="AW946" t="inlineStr">
        <is>
          <t>1241756:eng</t>
        </is>
      </c>
      <c r="AX946" t="inlineStr">
        <is>
          <t>71794</t>
        </is>
      </c>
      <c r="AY946" t="inlineStr">
        <is>
          <t>991000376159702656</t>
        </is>
      </c>
      <c r="AZ946" t="inlineStr">
        <is>
          <t>991000376159702656</t>
        </is>
      </c>
      <c r="BA946" t="inlineStr">
        <is>
          <t>2270988380002656</t>
        </is>
      </c>
      <c r="BB946" t="inlineStr">
        <is>
          <t>BOOK</t>
        </is>
      </c>
      <c r="BE946" t="inlineStr">
        <is>
          <t>32285001963429</t>
        </is>
      </c>
      <c r="BF946" t="inlineStr">
        <is>
          <t>893607860</t>
        </is>
      </c>
    </row>
    <row r="947">
      <c r="B947" t="inlineStr">
        <is>
          <t>CURAL</t>
        </is>
      </c>
      <c r="C947" t="inlineStr">
        <is>
          <t>SHELVES</t>
        </is>
      </c>
      <c r="D947" t="inlineStr">
        <is>
          <t>QP91 .A57</t>
        </is>
      </c>
      <c r="E947" t="inlineStr">
        <is>
          <t>0                      QP 0091000A  57</t>
        </is>
      </c>
      <c r="F947" t="inlineStr">
        <is>
          <t>Comparative hematology.</t>
        </is>
      </c>
      <c r="H947" t="inlineStr">
        <is>
          <t>No</t>
        </is>
      </c>
      <c r="I947" t="inlineStr">
        <is>
          <t>1</t>
        </is>
      </c>
      <c r="J947" t="inlineStr">
        <is>
          <t>No</t>
        </is>
      </c>
      <c r="K947" t="inlineStr">
        <is>
          <t>No</t>
        </is>
      </c>
      <c r="L947" t="inlineStr">
        <is>
          <t>0</t>
        </is>
      </c>
      <c r="M947" t="inlineStr">
        <is>
          <t>Andrew, Warren, 1910-1982.</t>
        </is>
      </c>
      <c r="N947" t="inlineStr">
        <is>
          <t>New York, Grune &amp; Stratton [1965]</t>
        </is>
      </c>
      <c r="O947" t="inlineStr">
        <is>
          <t>1965</t>
        </is>
      </c>
      <c r="Q947" t="inlineStr">
        <is>
          <t>eng</t>
        </is>
      </c>
      <c r="R947" t="inlineStr">
        <is>
          <t>nyu</t>
        </is>
      </c>
      <c r="T947" t="inlineStr">
        <is>
          <t xml:space="preserve">QP </t>
        </is>
      </c>
      <c r="U947" t="n">
        <v>1</v>
      </c>
      <c r="V947" t="n">
        <v>1</v>
      </c>
      <c r="W947" t="inlineStr">
        <is>
          <t>1998-09-16</t>
        </is>
      </c>
      <c r="X947" t="inlineStr">
        <is>
          <t>1998-09-16</t>
        </is>
      </c>
      <c r="Y947" t="inlineStr">
        <is>
          <t>1997-08-06</t>
        </is>
      </c>
      <c r="Z947" t="inlineStr">
        <is>
          <t>1997-08-06</t>
        </is>
      </c>
      <c r="AA947" t="n">
        <v>261</v>
      </c>
      <c r="AB947" t="n">
        <v>189</v>
      </c>
      <c r="AC947" t="n">
        <v>191</v>
      </c>
      <c r="AD947" t="n">
        <v>2</v>
      </c>
      <c r="AE947" t="n">
        <v>2</v>
      </c>
      <c r="AF947" t="n">
        <v>8</v>
      </c>
      <c r="AG947" t="n">
        <v>8</v>
      </c>
      <c r="AH947" t="n">
        <v>1</v>
      </c>
      <c r="AI947" t="n">
        <v>1</v>
      </c>
      <c r="AJ947" t="n">
        <v>4</v>
      </c>
      <c r="AK947" t="n">
        <v>4</v>
      </c>
      <c r="AL947" t="n">
        <v>5</v>
      </c>
      <c r="AM947" t="n">
        <v>5</v>
      </c>
      <c r="AN947" t="n">
        <v>1</v>
      </c>
      <c r="AO947" t="n">
        <v>1</v>
      </c>
      <c r="AP947" t="n">
        <v>0</v>
      </c>
      <c r="AQ947" t="n">
        <v>0</v>
      </c>
      <c r="AR947" t="inlineStr">
        <is>
          <t>No</t>
        </is>
      </c>
      <c r="AS947" t="inlineStr">
        <is>
          <t>Yes</t>
        </is>
      </c>
      <c r="AT947">
        <f>HYPERLINK("http://catalog.hathitrust.org/Record/001553615","HathiTrust Record")</f>
        <v/>
      </c>
      <c r="AU947">
        <f>HYPERLINK("https://creighton-primo.hosted.exlibrisgroup.com/primo-explore/search?tab=default_tab&amp;search_scope=EVERYTHING&amp;vid=01CRU&amp;lang=en_US&amp;offset=0&amp;query=any,contains,991002987659702656","Catalog Record")</f>
        <v/>
      </c>
      <c r="AV947">
        <f>HYPERLINK("http://www.worldcat.org/oclc/558444","WorldCat Record")</f>
        <v/>
      </c>
      <c r="AW947" t="inlineStr">
        <is>
          <t>1625972:eng</t>
        </is>
      </c>
      <c r="AX947" t="inlineStr">
        <is>
          <t>558444</t>
        </is>
      </c>
      <c r="AY947" t="inlineStr">
        <is>
          <t>991002987659702656</t>
        </is>
      </c>
      <c r="AZ947" t="inlineStr">
        <is>
          <t>991002987659702656</t>
        </is>
      </c>
      <c r="BA947" t="inlineStr">
        <is>
          <t>2258258470002656</t>
        </is>
      </c>
      <c r="BB947" t="inlineStr">
        <is>
          <t>BOOK</t>
        </is>
      </c>
      <c r="BE947" t="inlineStr">
        <is>
          <t>32285003012571</t>
        </is>
      </c>
      <c r="BF947" t="inlineStr">
        <is>
          <t>893686051</t>
        </is>
      </c>
    </row>
    <row r="948">
      <c r="B948" t="inlineStr">
        <is>
          <t>CURAL</t>
        </is>
      </c>
      <c r="C948" t="inlineStr">
        <is>
          <t>SHELVES</t>
        </is>
      </c>
      <c r="D948" t="inlineStr">
        <is>
          <t>QP91 .D5</t>
        </is>
      </c>
      <c r="E948" t="inlineStr">
        <is>
          <t>0                      QP 0091000D  5</t>
        </is>
      </c>
      <c r="F948" t="inlineStr">
        <is>
          <t>Differentiation and growth of hemoglobin- and immunoglobulin-synthesizing cells.</t>
        </is>
      </c>
      <c r="H948" t="inlineStr">
        <is>
          <t>No</t>
        </is>
      </c>
      <c r="I948" t="inlineStr">
        <is>
          <t>1</t>
        </is>
      </c>
      <c r="J948" t="inlineStr">
        <is>
          <t>No</t>
        </is>
      </c>
      <c r="K948" t="inlineStr">
        <is>
          <t>No</t>
        </is>
      </c>
      <c r="L948" t="inlineStr">
        <is>
          <t>0</t>
        </is>
      </c>
      <c r="M948" t="inlineStr">
        <is>
          <t>Symposium on Differentiation and Growth of Hemoglobin- and Immunoglobulin-synthesizing Cells (1966 : Gatlinburg, Tenn.)</t>
        </is>
      </c>
      <c r="N948" t="inlineStr">
        <is>
          <t>[Philadelphia : Wistar Institute of Anatomy and Biology for] the Biology Division, Oak Ridge National Laboratory, 1966.</t>
        </is>
      </c>
      <c r="O948" t="inlineStr">
        <is>
          <t>1966</t>
        </is>
      </c>
      <c r="Q948" t="inlineStr">
        <is>
          <t>eng</t>
        </is>
      </c>
      <c r="R948" t="inlineStr">
        <is>
          <t xml:space="preserve">xx </t>
        </is>
      </c>
      <c r="T948" t="inlineStr">
        <is>
          <t xml:space="preserve">QP </t>
        </is>
      </c>
      <c r="U948" t="n">
        <v>1</v>
      </c>
      <c r="V948" t="n">
        <v>1</v>
      </c>
      <c r="W948" t="inlineStr">
        <is>
          <t>1997-06-30</t>
        </is>
      </c>
      <c r="X948" t="inlineStr">
        <is>
          <t>1997-06-30</t>
        </is>
      </c>
      <c r="Y948" t="inlineStr">
        <is>
          <t>1992-07-09</t>
        </is>
      </c>
      <c r="Z948" t="inlineStr">
        <is>
          <t>1992-07-09</t>
        </is>
      </c>
      <c r="AA948" t="n">
        <v>17</v>
      </c>
      <c r="AB948" t="n">
        <v>17</v>
      </c>
      <c r="AC948" t="n">
        <v>19</v>
      </c>
      <c r="AD948" t="n">
        <v>1</v>
      </c>
      <c r="AE948" t="n">
        <v>1</v>
      </c>
      <c r="AF948" t="n">
        <v>1</v>
      </c>
      <c r="AG948" t="n">
        <v>1</v>
      </c>
      <c r="AH948" t="n">
        <v>0</v>
      </c>
      <c r="AI948" t="n">
        <v>0</v>
      </c>
      <c r="AJ948" t="n">
        <v>0</v>
      </c>
      <c r="AK948" t="n">
        <v>0</v>
      </c>
      <c r="AL948" t="n">
        <v>1</v>
      </c>
      <c r="AM948" t="n">
        <v>1</v>
      </c>
      <c r="AN948" t="n">
        <v>0</v>
      </c>
      <c r="AO948" t="n">
        <v>0</v>
      </c>
      <c r="AP948" t="n">
        <v>0</v>
      </c>
      <c r="AQ948" t="n">
        <v>0</v>
      </c>
      <c r="AR948" t="inlineStr">
        <is>
          <t>No</t>
        </is>
      </c>
      <c r="AS948" t="inlineStr">
        <is>
          <t>Yes</t>
        </is>
      </c>
      <c r="AT948">
        <f>HYPERLINK("http://catalog.hathitrust.org/Record/003442438","HathiTrust Record")</f>
        <v/>
      </c>
      <c r="AU948">
        <f>HYPERLINK("https://creighton-primo.hosted.exlibrisgroup.com/primo-explore/search?tab=default_tab&amp;search_scope=EVERYTHING&amp;vid=01CRU&amp;lang=en_US&amp;offset=0&amp;query=any,contains,991003821969702656","Catalog Record")</f>
        <v/>
      </c>
      <c r="AV948">
        <f>HYPERLINK("http://www.worldcat.org/oclc/1561110","WorldCat Record")</f>
        <v/>
      </c>
      <c r="AW948" t="inlineStr">
        <is>
          <t>1150902993:eng</t>
        </is>
      </c>
      <c r="AX948" t="inlineStr">
        <is>
          <t>1561110</t>
        </is>
      </c>
      <c r="AY948" t="inlineStr">
        <is>
          <t>991003821969702656</t>
        </is>
      </c>
      <c r="AZ948" t="inlineStr">
        <is>
          <t>991003821969702656</t>
        </is>
      </c>
      <c r="BA948" t="inlineStr">
        <is>
          <t>2261941630002656</t>
        </is>
      </c>
      <c r="BB948" t="inlineStr">
        <is>
          <t>BOOK</t>
        </is>
      </c>
      <c r="BE948" t="inlineStr">
        <is>
          <t>32285001151496</t>
        </is>
      </c>
      <c r="BF948" t="inlineStr">
        <is>
          <t>893246765</t>
        </is>
      </c>
    </row>
    <row r="949">
      <c r="B949" t="inlineStr">
        <is>
          <t>CURAL</t>
        </is>
      </c>
      <c r="C949" t="inlineStr">
        <is>
          <t>SHELVES</t>
        </is>
      </c>
      <c r="D949" t="inlineStr">
        <is>
          <t>QP91 .H78</t>
        </is>
      </c>
      <c r="E949" t="inlineStr">
        <is>
          <t>0                      QP 0091000H  78</t>
        </is>
      </c>
      <c r="F949" t="inlineStr">
        <is>
          <t>Atlas of comparative primate hematology.</t>
        </is>
      </c>
      <c r="H949" t="inlineStr">
        <is>
          <t>No</t>
        </is>
      </c>
      <c r="I949" t="inlineStr">
        <is>
          <t>1</t>
        </is>
      </c>
      <c r="J949" t="inlineStr">
        <is>
          <t>No</t>
        </is>
      </c>
      <c r="K949" t="inlineStr">
        <is>
          <t>No</t>
        </is>
      </c>
      <c r="L949" t="inlineStr">
        <is>
          <t>0</t>
        </is>
      </c>
      <c r="M949" t="inlineStr">
        <is>
          <t>Huser, Hans-Jürg.</t>
        </is>
      </c>
      <c r="N949" t="inlineStr">
        <is>
          <t>New York, Academic Press, 1970.</t>
        </is>
      </c>
      <c r="O949" t="inlineStr">
        <is>
          <t>1970</t>
        </is>
      </c>
      <c r="Q949" t="inlineStr">
        <is>
          <t>eng</t>
        </is>
      </c>
      <c r="R949" t="inlineStr">
        <is>
          <t>nyu</t>
        </is>
      </c>
      <c r="T949" t="inlineStr">
        <is>
          <t xml:space="preserve">QP </t>
        </is>
      </c>
      <c r="U949" t="n">
        <v>1</v>
      </c>
      <c r="V949" t="n">
        <v>1</v>
      </c>
      <c r="W949" t="inlineStr">
        <is>
          <t>1998-09-16</t>
        </is>
      </c>
      <c r="X949" t="inlineStr">
        <is>
          <t>1998-09-16</t>
        </is>
      </c>
      <c r="Y949" t="inlineStr">
        <is>
          <t>1997-08-06</t>
        </is>
      </c>
      <c r="Z949" t="inlineStr">
        <is>
          <t>1997-08-06</t>
        </is>
      </c>
      <c r="AA949" t="n">
        <v>260</v>
      </c>
      <c r="AB949" t="n">
        <v>184</v>
      </c>
      <c r="AC949" t="n">
        <v>185</v>
      </c>
      <c r="AD949" t="n">
        <v>3</v>
      </c>
      <c r="AE949" t="n">
        <v>3</v>
      </c>
      <c r="AF949" t="n">
        <v>5</v>
      </c>
      <c r="AG949" t="n">
        <v>5</v>
      </c>
      <c r="AH949" t="n">
        <v>0</v>
      </c>
      <c r="AI949" t="n">
        <v>0</v>
      </c>
      <c r="AJ949" t="n">
        <v>2</v>
      </c>
      <c r="AK949" t="n">
        <v>2</v>
      </c>
      <c r="AL949" t="n">
        <v>2</v>
      </c>
      <c r="AM949" t="n">
        <v>2</v>
      </c>
      <c r="AN949" t="n">
        <v>2</v>
      </c>
      <c r="AO949" t="n">
        <v>2</v>
      </c>
      <c r="AP949" t="n">
        <v>0</v>
      </c>
      <c r="AQ949" t="n">
        <v>0</v>
      </c>
      <c r="AR949" t="inlineStr">
        <is>
          <t>No</t>
        </is>
      </c>
      <c r="AS949" t="inlineStr">
        <is>
          <t>Yes</t>
        </is>
      </c>
      <c r="AT949">
        <f>HYPERLINK("http://catalog.hathitrust.org/Record/006254637","HathiTrust Record")</f>
        <v/>
      </c>
      <c r="AU949">
        <f>HYPERLINK("https://creighton-primo.hosted.exlibrisgroup.com/primo-explore/search?tab=default_tab&amp;search_scope=EVERYTHING&amp;vid=01CRU&amp;lang=en_US&amp;offset=0&amp;query=any,contains,991000590539702656","Catalog Record")</f>
        <v/>
      </c>
      <c r="AV949">
        <f>HYPERLINK("http://www.worldcat.org/oclc/96702","WorldCat Record")</f>
        <v/>
      </c>
      <c r="AW949" t="inlineStr">
        <is>
          <t>1322613:eng</t>
        </is>
      </c>
      <c r="AX949" t="inlineStr">
        <is>
          <t>96702</t>
        </is>
      </c>
      <c r="AY949" t="inlineStr">
        <is>
          <t>991000590539702656</t>
        </is>
      </c>
      <c r="AZ949" t="inlineStr">
        <is>
          <t>991000590539702656</t>
        </is>
      </c>
      <c r="BA949" t="inlineStr">
        <is>
          <t>2271074870002656</t>
        </is>
      </c>
      <c r="BB949" t="inlineStr">
        <is>
          <t>BOOK</t>
        </is>
      </c>
      <c r="BD949" t="inlineStr">
        <is>
          <t>9780123627506</t>
        </is>
      </c>
      <c r="BE949" t="inlineStr">
        <is>
          <t>32285003012589</t>
        </is>
      </c>
      <c r="BF949" t="inlineStr">
        <is>
          <t>893708511</t>
        </is>
      </c>
    </row>
    <row r="950">
      <c r="B950" t="inlineStr">
        <is>
          <t>CURAL</t>
        </is>
      </c>
      <c r="C950" t="inlineStr">
        <is>
          <t>SHELVES</t>
        </is>
      </c>
      <c r="D950" t="inlineStr">
        <is>
          <t>QP913.H6 H3</t>
        </is>
      </c>
      <c r="E950" t="inlineStr">
        <is>
          <t>0                      QP 0913000H  6                  H  3</t>
        </is>
      </c>
      <c r="F950" t="inlineStr">
        <is>
          <t>Hazards of mercury; special report to the Secretarys̓ Pesticide Advisory Committee, Dept. of Health, Education, and Welfare, Nov., 1970. Study Group on Mercury Hazards, Norton Nelson, chairman.</t>
        </is>
      </c>
      <c r="H950" t="inlineStr">
        <is>
          <t>No</t>
        </is>
      </c>
      <c r="I950" t="inlineStr">
        <is>
          <t>1</t>
        </is>
      </c>
      <c r="J950" t="inlineStr">
        <is>
          <t>No</t>
        </is>
      </c>
      <c r="K950" t="inlineStr">
        <is>
          <t>No</t>
        </is>
      </c>
      <c r="L950" t="inlineStr">
        <is>
          <t>0</t>
        </is>
      </c>
      <c r="N950" t="inlineStr">
        <is>
          <t>[New York] Academic Press, c1971.</t>
        </is>
      </c>
      <c r="O950" t="inlineStr">
        <is>
          <t>1971</t>
        </is>
      </c>
      <c r="Q950" t="inlineStr">
        <is>
          <t>eng</t>
        </is>
      </c>
      <c r="R950" t="inlineStr">
        <is>
          <t xml:space="preserve">xx </t>
        </is>
      </c>
      <c r="S950" t="inlineStr">
        <is>
          <t>Environmental research ; v. 4, no. 1</t>
        </is>
      </c>
      <c r="T950" t="inlineStr">
        <is>
          <t xml:space="preserve">QP </t>
        </is>
      </c>
      <c r="U950" t="n">
        <v>2</v>
      </c>
      <c r="V950" t="n">
        <v>2</v>
      </c>
      <c r="W950" t="inlineStr">
        <is>
          <t>2004-09-16</t>
        </is>
      </c>
      <c r="X950" t="inlineStr">
        <is>
          <t>2004-09-16</t>
        </is>
      </c>
      <c r="Y950" t="inlineStr">
        <is>
          <t>1997-08-07</t>
        </is>
      </c>
      <c r="Z950" t="inlineStr">
        <is>
          <t>1997-08-07</t>
        </is>
      </c>
      <c r="AA950" t="n">
        <v>17</v>
      </c>
      <c r="AB950" t="n">
        <v>15</v>
      </c>
      <c r="AC950" t="n">
        <v>16</v>
      </c>
      <c r="AD950" t="n">
        <v>1</v>
      </c>
      <c r="AE950" t="n">
        <v>1</v>
      </c>
      <c r="AF950" t="n">
        <v>1</v>
      </c>
      <c r="AG950" t="n">
        <v>1</v>
      </c>
      <c r="AH950" t="n">
        <v>0</v>
      </c>
      <c r="AI950" t="n">
        <v>0</v>
      </c>
      <c r="AJ950" t="n">
        <v>0</v>
      </c>
      <c r="AK950" t="n">
        <v>0</v>
      </c>
      <c r="AL950" t="n">
        <v>1</v>
      </c>
      <c r="AM950" t="n">
        <v>1</v>
      </c>
      <c r="AN950" t="n">
        <v>0</v>
      </c>
      <c r="AO950" t="n">
        <v>0</v>
      </c>
      <c r="AP950" t="n">
        <v>0</v>
      </c>
      <c r="AQ950" t="n">
        <v>0</v>
      </c>
      <c r="AR950" t="inlineStr">
        <is>
          <t>No</t>
        </is>
      </c>
      <c r="AS950" t="inlineStr">
        <is>
          <t>No</t>
        </is>
      </c>
      <c r="AU950">
        <f>HYPERLINK("https://creighton-primo.hosted.exlibrisgroup.com/primo-explore/search?tab=default_tab&amp;search_scope=EVERYTHING&amp;vid=01CRU&amp;lang=en_US&amp;offset=0&amp;query=any,contains,991003798809702656","Catalog Record")</f>
        <v/>
      </c>
      <c r="AV950">
        <f>HYPERLINK("http://www.worldcat.org/oclc/1524401","WorldCat Record")</f>
        <v/>
      </c>
      <c r="AW950" t="inlineStr">
        <is>
          <t>44790947:eng</t>
        </is>
      </c>
      <c r="AX950" t="inlineStr">
        <is>
          <t>1524401</t>
        </is>
      </c>
      <c r="AY950" t="inlineStr">
        <is>
          <t>991003798809702656</t>
        </is>
      </c>
      <c r="AZ950" t="inlineStr">
        <is>
          <t>991003798809702656</t>
        </is>
      </c>
      <c r="BA950" t="inlineStr">
        <is>
          <t>2267652660002656</t>
        </is>
      </c>
      <c r="BB950" t="inlineStr">
        <is>
          <t>BOOK</t>
        </is>
      </c>
      <c r="BE950" t="inlineStr">
        <is>
          <t>32285003081360</t>
        </is>
      </c>
      <c r="BF950" t="inlineStr">
        <is>
          <t>893499722</t>
        </is>
      </c>
    </row>
    <row r="951">
      <c r="B951" t="inlineStr">
        <is>
          <t>CURAL</t>
        </is>
      </c>
      <c r="C951" t="inlineStr">
        <is>
          <t>SHELVES</t>
        </is>
      </c>
      <c r="D951" t="inlineStr">
        <is>
          <t>QP917.C25 C87</t>
        </is>
      </c>
      <c r="E951" t="inlineStr">
        <is>
          <t>0                      QP 0917000C  25                 C  87</t>
        </is>
      </c>
      <c r="F951" t="inlineStr">
        <is>
          <t>Current research in marijuana; proceedings of a symposium held at the Aeronautic Center, Oklahoma City, Okla., June 13-15, 1972. Edited by Mark F. Lewis.</t>
        </is>
      </c>
      <c r="H951" t="inlineStr">
        <is>
          <t>No</t>
        </is>
      </c>
      <c r="I951" t="inlineStr">
        <is>
          <t>1</t>
        </is>
      </c>
      <c r="J951" t="inlineStr">
        <is>
          <t>No</t>
        </is>
      </c>
      <c r="K951" t="inlineStr">
        <is>
          <t>No</t>
        </is>
      </c>
      <c r="L951" t="inlineStr">
        <is>
          <t>0</t>
        </is>
      </c>
      <c r="N951" t="inlineStr">
        <is>
          <t>New York, Academic Press, 1972.</t>
        </is>
      </c>
      <c r="O951" t="inlineStr">
        <is>
          <t>1972</t>
        </is>
      </c>
      <c r="Q951" t="inlineStr">
        <is>
          <t>eng</t>
        </is>
      </c>
      <c r="R951" t="inlineStr">
        <is>
          <t>nyu</t>
        </is>
      </c>
      <c r="T951" t="inlineStr">
        <is>
          <t xml:space="preserve">QP </t>
        </is>
      </c>
      <c r="U951" t="n">
        <v>6</v>
      </c>
      <c r="V951" t="n">
        <v>6</v>
      </c>
      <c r="W951" t="inlineStr">
        <is>
          <t>2000-11-02</t>
        </is>
      </c>
      <c r="X951" t="inlineStr">
        <is>
          <t>2000-11-02</t>
        </is>
      </c>
      <c r="Y951" t="inlineStr">
        <is>
          <t>1997-08-07</t>
        </is>
      </c>
      <c r="Z951" t="inlineStr">
        <is>
          <t>1997-08-07</t>
        </is>
      </c>
      <c r="AA951" t="n">
        <v>369</v>
      </c>
      <c r="AB951" t="n">
        <v>301</v>
      </c>
      <c r="AC951" t="n">
        <v>307</v>
      </c>
      <c r="AD951" t="n">
        <v>2</v>
      </c>
      <c r="AE951" t="n">
        <v>2</v>
      </c>
      <c r="AF951" t="n">
        <v>10</v>
      </c>
      <c r="AG951" t="n">
        <v>10</v>
      </c>
      <c r="AH951" t="n">
        <v>3</v>
      </c>
      <c r="AI951" t="n">
        <v>3</v>
      </c>
      <c r="AJ951" t="n">
        <v>3</v>
      </c>
      <c r="AK951" t="n">
        <v>3</v>
      </c>
      <c r="AL951" t="n">
        <v>6</v>
      </c>
      <c r="AM951" t="n">
        <v>6</v>
      </c>
      <c r="AN951" t="n">
        <v>1</v>
      </c>
      <c r="AO951" t="n">
        <v>1</v>
      </c>
      <c r="AP951" t="n">
        <v>0</v>
      </c>
      <c r="AQ951" t="n">
        <v>0</v>
      </c>
      <c r="AR951" t="inlineStr">
        <is>
          <t>No</t>
        </is>
      </c>
      <c r="AS951" t="inlineStr">
        <is>
          <t>Yes</t>
        </is>
      </c>
      <c r="AT951">
        <f>HYPERLINK("http://catalog.hathitrust.org/Record/001555967","HathiTrust Record")</f>
        <v/>
      </c>
      <c r="AU951">
        <f>HYPERLINK("https://creighton-primo.hosted.exlibrisgroup.com/primo-explore/search?tab=default_tab&amp;search_scope=EVERYTHING&amp;vid=01CRU&amp;lang=en_US&amp;offset=0&amp;query=any,contains,991003025059702656","Catalog Record")</f>
        <v/>
      </c>
      <c r="AV951">
        <f>HYPERLINK("http://www.worldcat.org/oclc/589217","WorldCat Record")</f>
        <v/>
      </c>
      <c r="AW951" t="inlineStr">
        <is>
          <t>473896004:eng</t>
        </is>
      </c>
      <c r="AX951" t="inlineStr">
        <is>
          <t>589217</t>
        </is>
      </c>
      <c r="AY951" t="inlineStr">
        <is>
          <t>991003025059702656</t>
        </is>
      </c>
      <c r="AZ951" t="inlineStr">
        <is>
          <t>991003025059702656</t>
        </is>
      </c>
      <c r="BA951" t="inlineStr">
        <is>
          <t>2259347530002656</t>
        </is>
      </c>
      <c r="BB951" t="inlineStr">
        <is>
          <t>BOOK</t>
        </is>
      </c>
      <c r="BD951" t="inlineStr">
        <is>
          <t>9780124470507</t>
        </is>
      </c>
      <c r="BE951" t="inlineStr">
        <is>
          <t>32285003081386</t>
        </is>
      </c>
      <c r="BF951" t="inlineStr">
        <is>
          <t>893799300</t>
        </is>
      </c>
    </row>
    <row r="952">
      <c r="B952" t="inlineStr">
        <is>
          <t>CURAL</t>
        </is>
      </c>
      <c r="C952" t="inlineStr">
        <is>
          <t>SHELVES</t>
        </is>
      </c>
      <c r="D952" t="inlineStr">
        <is>
          <t>QP941 .B8</t>
        </is>
      </c>
      <c r="E952" t="inlineStr">
        <is>
          <t>0                      QP 0941000B  8</t>
        </is>
      </c>
      <c r="F952" t="inlineStr">
        <is>
          <t>Venomous animals and their venoms, edited by Wolfgang Bücherl, Eleanor E. Buckley [and] Venancio Deulofeu.</t>
        </is>
      </c>
      <c r="G952" t="inlineStr">
        <is>
          <t>V.3</t>
        </is>
      </c>
      <c r="H952" t="inlineStr">
        <is>
          <t>Yes</t>
        </is>
      </c>
      <c r="I952" t="inlineStr">
        <is>
          <t>1</t>
        </is>
      </c>
      <c r="J952" t="inlineStr">
        <is>
          <t>No</t>
        </is>
      </c>
      <c r="K952" t="inlineStr">
        <is>
          <t>No</t>
        </is>
      </c>
      <c r="L952" t="inlineStr">
        <is>
          <t>0</t>
        </is>
      </c>
      <c r="M952" t="inlineStr">
        <is>
          <t>Bücherl, Wolfgang.</t>
        </is>
      </c>
      <c r="N952" t="inlineStr">
        <is>
          <t>New York, Academic Press, 1968-71.</t>
        </is>
      </c>
      <c r="O952" t="inlineStr">
        <is>
          <t>1968</t>
        </is>
      </c>
      <c r="Q952" t="inlineStr">
        <is>
          <t>eng</t>
        </is>
      </c>
      <c r="R952" t="inlineStr">
        <is>
          <t>nyu</t>
        </is>
      </c>
      <c r="T952" t="inlineStr">
        <is>
          <t xml:space="preserve">QP </t>
        </is>
      </c>
      <c r="U952" t="n">
        <v>2</v>
      </c>
      <c r="V952" t="n">
        <v>3</v>
      </c>
      <c r="W952" t="inlineStr">
        <is>
          <t>2005-02-27</t>
        </is>
      </c>
      <c r="X952" t="inlineStr">
        <is>
          <t>2005-02-27</t>
        </is>
      </c>
      <c r="Y952" t="inlineStr">
        <is>
          <t>1997-08-07</t>
        </is>
      </c>
      <c r="Z952" t="inlineStr">
        <is>
          <t>1997-08-07</t>
        </is>
      </c>
      <c r="AA952" t="n">
        <v>632</v>
      </c>
      <c r="AB952" t="n">
        <v>516</v>
      </c>
      <c r="AC952" t="n">
        <v>556</v>
      </c>
      <c r="AD952" t="n">
        <v>6</v>
      </c>
      <c r="AE952" t="n">
        <v>6</v>
      </c>
      <c r="AF952" t="n">
        <v>20</v>
      </c>
      <c r="AG952" t="n">
        <v>22</v>
      </c>
      <c r="AH952" t="n">
        <v>7</v>
      </c>
      <c r="AI952" t="n">
        <v>8</v>
      </c>
      <c r="AJ952" t="n">
        <v>5</v>
      </c>
      <c r="AK952" t="n">
        <v>6</v>
      </c>
      <c r="AL952" t="n">
        <v>8</v>
      </c>
      <c r="AM952" t="n">
        <v>8</v>
      </c>
      <c r="AN952" t="n">
        <v>5</v>
      </c>
      <c r="AO952" t="n">
        <v>5</v>
      </c>
      <c r="AP952" t="n">
        <v>0</v>
      </c>
      <c r="AQ952" t="n">
        <v>0</v>
      </c>
      <c r="AR952" t="inlineStr">
        <is>
          <t>No</t>
        </is>
      </c>
      <c r="AS952" t="inlineStr">
        <is>
          <t>Yes</t>
        </is>
      </c>
      <c r="AT952">
        <f>HYPERLINK("http://catalog.hathitrust.org/Record/000236679","HathiTrust Record")</f>
        <v/>
      </c>
      <c r="AU952">
        <f>HYPERLINK("https://creighton-primo.hosted.exlibrisgroup.com/primo-explore/search?tab=default_tab&amp;search_scope=EVERYTHING&amp;vid=01CRU&amp;lang=en_US&amp;offset=0&amp;query=any,contains,991002252569702656","Catalog Record")</f>
        <v/>
      </c>
      <c r="AV952">
        <f>HYPERLINK("http://www.worldcat.org/oclc/299757","WorldCat Record")</f>
        <v/>
      </c>
      <c r="AW952" t="inlineStr">
        <is>
          <t>3856018627:eng</t>
        </is>
      </c>
      <c r="AX952" t="inlineStr">
        <is>
          <t>299757</t>
        </is>
      </c>
      <c r="AY952" t="inlineStr">
        <is>
          <t>991002252569702656</t>
        </is>
      </c>
      <c r="AZ952" t="inlineStr">
        <is>
          <t>991002252569702656</t>
        </is>
      </c>
      <c r="BA952" t="inlineStr">
        <is>
          <t>2264373280002656</t>
        </is>
      </c>
      <c r="BB952" t="inlineStr">
        <is>
          <t>BOOK</t>
        </is>
      </c>
      <c r="BD952" t="inlineStr">
        <is>
          <t>9780121389024</t>
        </is>
      </c>
      <c r="BE952" t="inlineStr">
        <is>
          <t>32285003081428</t>
        </is>
      </c>
      <c r="BF952" t="inlineStr">
        <is>
          <t>893898535</t>
        </is>
      </c>
    </row>
    <row r="953">
      <c r="B953" t="inlineStr">
        <is>
          <t>CURAL</t>
        </is>
      </c>
      <c r="C953" t="inlineStr">
        <is>
          <t>SHELVES</t>
        </is>
      </c>
      <c r="D953" t="inlineStr">
        <is>
          <t>QP941 .B8</t>
        </is>
      </c>
      <c r="E953" t="inlineStr">
        <is>
          <t>0                      QP 0941000B  8</t>
        </is>
      </c>
      <c r="F953" t="inlineStr">
        <is>
          <t>Venomous animals and their venoms, edited by Wolfgang Bücherl, Eleanor E. Buckley [and] Venancio Deulofeu.</t>
        </is>
      </c>
      <c r="G953" t="inlineStr">
        <is>
          <t>V.2</t>
        </is>
      </c>
      <c r="H953" t="inlineStr">
        <is>
          <t>Yes</t>
        </is>
      </c>
      <c r="I953" t="inlineStr">
        <is>
          <t>1</t>
        </is>
      </c>
      <c r="J953" t="inlineStr">
        <is>
          <t>No</t>
        </is>
      </c>
      <c r="K953" t="inlineStr">
        <is>
          <t>No</t>
        </is>
      </c>
      <c r="L953" t="inlineStr">
        <is>
          <t>0</t>
        </is>
      </c>
      <c r="M953" t="inlineStr">
        <is>
          <t>Bücherl, Wolfgang.</t>
        </is>
      </c>
      <c r="N953" t="inlineStr">
        <is>
          <t>New York, Academic Press, 1968-71.</t>
        </is>
      </c>
      <c r="O953" t="inlineStr">
        <is>
          <t>1968</t>
        </is>
      </c>
      <c r="Q953" t="inlineStr">
        <is>
          <t>eng</t>
        </is>
      </c>
      <c r="R953" t="inlineStr">
        <is>
          <t>nyu</t>
        </is>
      </c>
      <c r="T953" t="inlineStr">
        <is>
          <t xml:space="preserve">QP </t>
        </is>
      </c>
      <c r="U953" t="n">
        <v>1</v>
      </c>
      <c r="V953" t="n">
        <v>3</v>
      </c>
      <c r="W953" t="inlineStr">
        <is>
          <t>2000-08-16</t>
        </is>
      </c>
      <c r="X953" t="inlineStr">
        <is>
          <t>2005-02-27</t>
        </is>
      </c>
      <c r="Y953" t="inlineStr">
        <is>
          <t>1997-08-07</t>
        </is>
      </c>
      <c r="Z953" t="inlineStr">
        <is>
          <t>1997-08-07</t>
        </is>
      </c>
      <c r="AA953" t="n">
        <v>632</v>
      </c>
      <c r="AB953" t="n">
        <v>516</v>
      </c>
      <c r="AC953" t="n">
        <v>556</v>
      </c>
      <c r="AD953" t="n">
        <v>6</v>
      </c>
      <c r="AE953" t="n">
        <v>6</v>
      </c>
      <c r="AF953" t="n">
        <v>20</v>
      </c>
      <c r="AG953" t="n">
        <v>22</v>
      </c>
      <c r="AH953" t="n">
        <v>7</v>
      </c>
      <c r="AI953" t="n">
        <v>8</v>
      </c>
      <c r="AJ953" t="n">
        <v>5</v>
      </c>
      <c r="AK953" t="n">
        <v>6</v>
      </c>
      <c r="AL953" t="n">
        <v>8</v>
      </c>
      <c r="AM953" t="n">
        <v>8</v>
      </c>
      <c r="AN953" t="n">
        <v>5</v>
      </c>
      <c r="AO953" t="n">
        <v>5</v>
      </c>
      <c r="AP953" t="n">
        <v>0</v>
      </c>
      <c r="AQ953" t="n">
        <v>0</v>
      </c>
      <c r="AR953" t="inlineStr">
        <is>
          <t>No</t>
        </is>
      </c>
      <c r="AS953" t="inlineStr">
        <is>
          <t>Yes</t>
        </is>
      </c>
      <c r="AT953">
        <f>HYPERLINK("http://catalog.hathitrust.org/Record/000236679","HathiTrust Record")</f>
        <v/>
      </c>
      <c r="AU953">
        <f>HYPERLINK("https://creighton-primo.hosted.exlibrisgroup.com/primo-explore/search?tab=default_tab&amp;search_scope=EVERYTHING&amp;vid=01CRU&amp;lang=en_US&amp;offset=0&amp;query=any,contains,991002252569702656","Catalog Record")</f>
        <v/>
      </c>
      <c r="AV953">
        <f>HYPERLINK("http://www.worldcat.org/oclc/299757","WorldCat Record")</f>
        <v/>
      </c>
      <c r="AW953" t="inlineStr">
        <is>
          <t>3856018627:eng</t>
        </is>
      </c>
      <c r="AX953" t="inlineStr">
        <is>
          <t>299757</t>
        </is>
      </c>
      <c r="AY953" t="inlineStr">
        <is>
          <t>991002252569702656</t>
        </is>
      </c>
      <c r="AZ953" t="inlineStr">
        <is>
          <t>991002252569702656</t>
        </is>
      </c>
      <c r="BA953" t="inlineStr">
        <is>
          <t>2264373280002656</t>
        </is>
      </c>
      <c r="BB953" t="inlineStr">
        <is>
          <t>BOOK</t>
        </is>
      </c>
      <c r="BD953" t="inlineStr">
        <is>
          <t>9780121389024</t>
        </is>
      </c>
      <c r="BE953" t="inlineStr">
        <is>
          <t>32285003081410</t>
        </is>
      </c>
      <c r="BF953" t="inlineStr">
        <is>
          <t>893898536</t>
        </is>
      </c>
    </row>
    <row r="954">
      <c r="B954" t="inlineStr">
        <is>
          <t>CURAL</t>
        </is>
      </c>
      <c r="C954" t="inlineStr">
        <is>
          <t>SHELVES</t>
        </is>
      </c>
      <c r="D954" t="inlineStr">
        <is>
          <t>QP941 .B8</t>
        </is>
      </c>
      <c r="E954" t="inlineStr">
        <is>
          <t>0                      QP 0941000B  8</t>
        </is>
      </c>
      <c r="F954" t="inlineStr">
        <is>
          <t>Venomous animals and their venoms, edited by Wolfgang Bücherl, Eleanor E. Buckley [and] Venancio Deulofeu.</t>
        </is>
      </c>
      <c r="G954" t="inlineStr">
        <is>
          <t>V.1</t>
        </is>
      </c>
      <c r="H954" t="inlineStr">
        <is>
          <t>Yes</t>
        </is>
      </c>
      <c r="I954" t="inlineStr">
        <is>
          <t>1</t>
        </is>
      </c>
      <c r="J954" t="inlineStr">
        <is>
          <t>No</t>
        </is>
      </c>
      <c r="K954" t="inlineStr">
        <is>
          <t>No</t>
        </is>
      </c>
      <c r="L954" t="inlineStr">
        <is>
          <t>0</t>
        </is>
      </c>
      <c r="M954" t="inlineStr">
        <is>
          <t>Bücherl, Wolfgang.</t>
        </is>
      </c>
      <c r="N954" t="inlineStr">
        <is>
          <t>New York, Academic Press, 1968-71.</t>
        </is>
      </c>
      <c r="O954" t="inlineStr">
        <is>
          <t>1968</t>
        </is>
      </c>
      <c r="Q954" t="inlineStr">
        <is>
          <t>eng</t>
        </is>
      </c>
      <c r="R954" t="inlineStr">
        <is>
          <t>nyu</t>
        </is>
      </c>
      <c r="T954" t="inlineStr">
        <is>
          <t xml:space="preserve">QP </t>
        </is>
      </c>
      <c r="U954" t="n">
        <v>0</v>
      </c>
      <c r="V954" t="n">
        <v>3</v>
      </c>
      <c r="X954" t="inlineStr">
        <is>
          <t>2005-02-27</t>
        </is>
      </c>
      <c r="Y954" t="inlineStr">
        <is>
          <t>1997-08-07</t>
        </is>
      </c>
      <c r="Z954" t="inlineStr">
        <is>
          <t>1997-08-07</t>
        </is>
      </c>
      <c r="AA954" t="n">
        <v>632</v>
      </c>
      <c r="AB954" t="n">
        <v>516</v>
      </c>
      <c r="AC954" t="n">
        <v>556</v>
      </c>
      <c r="AD954" t="n">
        <v>6</v>
      </c>
      <c r="AE954" t="n">
        <v>6</v>
      </c>
      <c r="AF954" t="n">
        <v>20</v>
      </c>
      <c r="AG954" t="n">
        <v>22</v>
      </c>
      <c r="AH954" t="n">
        <v>7</v>
      </c>
      <c r="AI954" t="n">
        <v>8</v>
      </c>
      <c r="AJ954" t="n">
        <v>5</v>
      </c>
      <c r="AK954" t="n">
        <v>6</v>
      </c>
      <c r="AL954" t="n">
        <v>8</v>
      </c>
      <c r="AM954" t="n">
        <v>8</v>
      </c>
      <c r="AN954" t="n">
        <v>5</v>
      </c>
      <c r="AO954" t="n">
        <v>5</v>
      </c>
      <c r="AP954" t="n">
        <v>0</v>
      </c>
      <c r="AQ954" t="n">
        <v>0</v>
      </c>
      <c r="AR954" t="inlineStr">
        <is>
          <t>No</t>
        </is>
      </c>
      <c r="AS954" t="inlineStr">
        <is>
          <t>Yes</t>
        </is>
      </c>
      <c r="AT954">
        <f>HYPERLINK("http://catalog.hathitrust.org/Record/000236679","HathiTrust Record")</f>
        <v/>
      </c>
      <c r="AU954">
        <f>HYPERLINK("https://creighton-primo.hosted.exlibrisgroup.com/primo-explore/search?tab=default_tab&amp;search_scope=EVERYTHING&amp;vid=01CRU&amp;lang=en_US&amp;offset=0&amp;query=any,contains,991002252569702656","Catalog Record")</f>
        <v/>
      </c>
      <c r="AV954">
        <f>HYPERLINK("http://www.worldcat.org/oclc/299757","WorldCat Record")</f>
        <v/>
      </c>
      <c r="AW954" t="inlineStr">
        <is>
          <t>3856018627:eng</t>
        </is>
      </c>
      <c r="AX954" t="inlineStr">
        <is>
          <t>299757</t>
        </is>
      </c>
      <c r="AY954" t="inlineStr">
        <is>
          <t>991002252569702656</t>
        </is>
      </c>
      <c r="AZ954" t="inlineStr">
        <is>
          <t>991002252569702656</t>
        </is>
      </c>
      <c r="BA954" t="inlineStr">
        <is>
          <t>2264373280002656</t>
        </is>
      </c>
      <c r="BB954" t="inlineStr">
        <is>
          <t>BOOK</t>
        </is>
      </c>
      <c r="BD954" t="inlineStr">
        <is>
          <t>9780121389024</t>
        </is>
      </c>
      <c r="BE954" t="inlineStr">
        <is>
          <t>32285003081402</t>
        </is>
      </c>
      <c r="BF954" t="inlineStr">
        <is>
          <t>893879662</t>
        </is>
      </c>
    </row>
    <row r="955">
      <c r="B955" t="inlineStr">
        <is>
          <t>CURAL</t>
        </is>
      </c>
      <c r="C955" t="inlineStr">
        <is>
          <t>SHELVES</t>
        </is>
      </c>
      <c r="D955" t="inlineStr">
        <is>
          <t>QP951 .S48</t>
        </is>
      </c>
      <c r="E955" t="inlineStr">
        <is>
          <t>0                      QP 0951000S  48</t>
        </is>
      </c>
      <c r="F955" t="inlineStr">
        <is>
          <t>Serotonin and behavior. Edited by Jack Barchas and Earl Usdin.</t>
        </is>
      </c>
      <c r="H955" t="inlineStr">
        <is>
          <t>No</t>
        </is>
      </c>
      <c r="I955" t="inlineStr">
        <is>
          <t>1</t>
        </is>
      </c>
      <c r="J955" t="inlineStr">
        <is>
          <t>No</t>
        </is>
      </c>
      <c r="K955" t="inlineStr">
        <is>
          <t>No</t>
        </is>
      </c>
      <c r="L955" t="inlineStr">
        <is>
          <t>0</t>
        </is>
      </c>
      <c r="N955" t="inlineStr">
        <is>
          <t>New York, Academic Press, 1973.</t>
        </is>
      </c>
      <c r="O955" t="inlineStr">
        <is>
          <t>1973</t>
        </is>
      </c>
      <c r="Q955" t="inlineStr">
        <is>
          <t>eng</t>
        </is>
      </c>
      <c r="R955" t="inlineStr">
        <is>
          <t>nyu</t>
        </is>
      </c>
      <c r="T955" t="inlineStr">
        <is>
          <t xml:space="preserve">QP </t>
        </is>
      </c>
      <c r="U955" t="n">
        <v>6</v>
      </c>
      <c r="V955" t="n">
        <v>6</v>
      </c>
      <c r="W955" t="inlineStr">
        <is>
          <t>2004-10-07</t>
        </is>
      </c>
      <c r="X955" t="inlineStr">
        <is>
          <t>2004-10-07</t>
        </is>
      </c>
      <c r="Y955" t="inlineStr">
        <is>
          <t>1997-08-07</t>
        </is>
      </c>
      <c r="Z955" t="inlineStr">
        <is>
          <t>1997-08-07</t>
        </is>
      </c>
      <c r="AA955" t="n">
        <v>345</v>
      </c>
      <c r="AB955" t="n">
        <v>262</v>
      </c>
      <c r="AC955" t="n">
        <v>312</v>
      </c>
      <c r="AD955" t="n">
        <v>4</v>
      </c>
      <c r="AE955" t="n">
        <v>4</v>
      </c>
      <c r="AF955" t="n">
        <v>10</v>
      </c>
      <c r="AG955" t="n">
        <v>13</v>
      </c>
      <c r="AH955" t="n">
        <v>1</v>
      </c>
      <c r="AI955" t="n">
        <v>3</v>
      </c>
      <c r="AJ955" t="n">
        <v>4</v>
      </c>
      <c r="AK955" t="n">
        <v>6</v>
      </c>
      <c r="AL955" t="n">
        <v>5</v>
      </c>
      <c r="AM955" t="n">
        <v>5</v>
      </c>
      <c r="AN955" t="n">
        <v>3</v>
      </c>
      <c r="AO955" t="n">
        <v>3</v>
      </c>
      <c r="AP955" t="n">
        <v>0</v>
      </c>
      <c r="AQ955" t="n">
        <v>0</v>
      </c>
      <c r="AR955" t="inlineStr">
        <is>
          <t>No</t>
        </is>
      </c>
      <c r="AS955" t="inlineStr">
        <is>
          <t>Yes</t>
        </is>
      </c>
      <c r="AT955">
        <f>HYPERLINK("http://catalog.hathitrust.org/Record/001555993","HathiTrust Record")</f>
        <v/>
      </c>
      <c r="AU955">
        <f>HYPERLINK("https://creighton-primo.hosted.exlibrisgroup.com/primo-explore/search?tab=default_tab&amp;search_scope=EVERYTHING&amp;vid=01CRU&amp;lang=en_US&amp;offset=0&amp;query=any,contains,991003024529702656","Catalog Record")</f>
        <v/>
      </c>
      <c r="AV955">
        <f>HYPERLINK("http://www.worldcat.org/oclc/588992","WorldCat Record")</f>
        <v/>
      </c>
      <c r="AW955" t="inlineStr">
        <is>
          <t>765180824:eng</t>
        </is>
      </c>
      <c r="AX955" t="inlineStr">
        <is>
          <t>588992</t>
        </is>
      </c>
      <c r="AY955" t="inlineStr">
        <is>
          <t>991003024529702656</t>
        </is>
      </c>
      <c r="AZ955" t="inlineStr">
        <is>
          <t>991003024529702656</t>
        </is>
      </c>
      <c r="BA955" t="inlineStr">
        <is>
          <t>2270038560002656</t>
        </is>
      </c>
      <c r="BB955" t="inlineStr">
        <is>
          <t>BOOK</t>
        </is>
      </c>
      <c r="BD955" t="inlineStr">
        <is>
          <t>9780120781508</t>
        </is>
      </c>
      <c r="BE955" t="inlineStr">
        <is>
          <t>32285003081436</t>
        </is>
      </c>
      <c r="BF955" t="inlineStr">
        <is>
          <t>893262600</t>
        </is>
      </c>
    </row>
    <row r="956">
      <c r="B956" t="inlineStr">
        <is>
          <t>CURAL</t>
        </is>
      </c>
      <c r="C956" t="inlineStr">
        <is>
          <t>SHELVES</t>
        </is>
      </c>
      <c r="D956" t="inlineStr">
        <is>
          <t>QP98 .V46 1999</t>
        </is>
      </c>
      <c r="E956" t="inlineStr">
        <is>
          <t>0                      QP 0098000V  46          1999</t>
        </is>
      </c>
      <c r="F956" t="inlineStr">
        <is>
          <t>Los alimentos y su tipo de sangre : los secretos revelados para prevenir y tratar las enfermedades , y cómo mantenerse saludable, feliz y con el peso ideal / Titus Venessa.</t>
        </is>
      </c>
      <c r="H956" t="inlineStr">
        <is>
          <t>No</t>
        </is>
      </c>
      <c r="I956" t="inlineStr">
        <is>
          <t>1</t>
        </is>
      </c>
      <c r="J956" t="inlineStr">
        <is>
          <t>No</t>
        </is>
      </c>
      <c r="K956" t="inlineStr">
        <is>
          <t>No</t>
        </is>
      </c>
      <c r="L956" t="inlineStr">
        <is>
          <t>0</t>
        </is>
      </c>
      <c r="M956" t="inlineStr">
        <is>
          <t>Venessa, Titus.</t>
        </is>
      </c>
      <c r="N956" t="inlineStr">
        <is>
          <t>Santo Domingo : The Author, c1999.</t>
        </is>
      </c>
      <c r="O956" t="inlineStr">
        <is>
          <t>1999</t>
        </is>
      </c>
      <c r="P956" t="inlineStr">
        <is>
          <t>1. ed.</t>
        </is>
      </c>
      <c r="Q956" t="inlineStr">
        <is>
          <t>spa</t>
        </is>
      </c>
      <c r="R956" t="inlineStr">
        <is>
          <t xml:space="preserve">dr </t>
        </is>
      </c>
      <c r="T956" t="inlineStr">
        <is>
          <t xml:space="preserve">QP </t>
        </is>
      </c>
      <c r="U956" t="n">
        <v>1</v>
      </c>
      <c r="V956" t="n">
        <v>1</v>
      </c>
      <c r="W956" t="inlineStr">
        <is>
          <t>2008-10-20</t>
        </is>
      </c>
      <c r="X956" t="inlineStr">
        <is>
          <t>2008-10-20</t>
        </is>
      </c>
      <c r="Y956" t="inlineStr">
        <is>
          <t>2001-08-29</t>
        </is>
      </c>
      <c r="Z956" t="inlineStr">
        <is>
          <t>2001-08-29</t>
        </is>
      </c>
      <c r="AA956" t="n">
        <v>4</v>
      </c>
      <c r="AB956" t="n">
        <v>4</v>
      </c>
      <c r="AC956" t="n">
        <v>4</v>
      </c>
      <c r="AD956" t="n">
        <v>1</v>
      </c>
      <c r="AE956" t="n">
        <v>1</v>
      </c>
      <c r="AF956" t="n">
        <v>0</v>
      </c>
      <c r="AG956" t="n">
        <v>0</v>
      </c>
      <c r="AH956" t="n">
        <v>0</v>
      </c>
      <c r="AI956" t="n">
        <v>0</v>
      </c>
      <c r="AJ956" t="n">
        <v>0</v>
      </c>
      <c r="AK956" t="n">
        <v>0</v>
      </c>
      <c r="AL956" t="n">
        <v>0</v>
      </c>
      <c r="AM956" t="n">
        <v>0</v>
      </c>
      <c r="AN956" t="n">
        <v>0</v>
      </c>
      <c r="AO956" t="n">
        <v>0</v>
      </c>
      <c r="AP956" t="n">
        <v>0</v>
      </c>
      <c r="AQ956" t="n">
        <v>0</v>
      </c>
      <c r="AR956" t="inlineStr">
        <is>
          <t>No</t>
        </is>
      </c>
      <c r="AS956" t="inlineStr">
        <is>
          <t>No</t>
        </is>
      </c>
      <c r="AU956">
        <f>HYPERLINK("https://creighton-primo.hosted.exlibrisgroup.com/primo-explore/search?tab=default_tab&amp;search_scope=EVERYTHING&amp;vid=01CRU&amp;lang=en_US&amp;offset=0&amp;query=any,contains,991003546199702656","Catalog Record")</f>
        <v/>
      </c>
      <c r="AV956">
        <f>HYPERLINK("http://www.worldcat.org/oclc/53307911","WorldCat Record")</f>
        <v/>
      </c>
      <c r="AW956" t="inlineStr">
        <is>
          <t>10792743:spa</t>
        </is>
      </c>
      <c r="AX956" t="inlineStr">
        <is>
          <t>53307911</t>
        </is>
      </c>
      <c r="AY956" t="inlineStr">
        <is>
          <t>991003546199702656</t>
        </is>
      </c>
      <c r="AZ956" t="inlineStr">
        <is>
          <t>991003546199702656</t>
        </is>
      </c>
      <c r="BA956" t="inlineStr">
        <is>
          <t>2270278480002656</t>
        </is>
      </c>
      <c r="BB956" t="inlineStr">
        <is>
          <t>BOOK</t>
        </is>
      </c>
      <c r="BD956" t="inlineStr">
        <is>
          <t>9789993400158</t>
        </is>
      </c>
      <c r="BE956" t="inlineStr">
        <is>
          <t>32285004382312</t>
        </is>
      </c>
      <c r="BF956" t="inlineStr">
        <is>
          <t>893805898</t>
        </is>
      </c>
    </row>
    <row r="957">
      <c r="B957" t="inlineStr">
        <is>
          <t>CURAL</t>
        </is>
      </c>
      <c r="C957" t="inlineStr">
        <is>
          <t>SHELVES</t>
        </is>
      </c>
      <c r="D957" t="inlineStr">
        <is>
          <t>QP981.C14 S34</t>
        </is>
      </c>
      <c r="E957" t="inlineStr">
        <is>
          <t>0                      QP 0981000C  14                 S  34</t>
        </is>
      </c>
      <c r="F957" t="inlineStr">
        <is>
          <t>The Scientific study of marihuana / [compiled by] Ernest L. Abel.</t>
        </is>
      </c>
      <c r="H957" t="inlineStr">
        <is>
          <t>No</t>
        </is>
      </c>
      <c r="I957" t="inlineStr">
        <is>
          <t>1</t>
        </is>
      </c>
      <c r="J957" t="inlineStr">
        <is>
          <t>No</t>
        </is>
      </c>
      <c r="K957" t="inlineStr">
        <is>
          <t>No</t>
        </is>
      </c>
      <c r="L957" t="inlineStr">
        <is>
          <t>0</t>
        </is>
      </c>
      <c r="N957" t="inlineStr">
        <is>
          <t>Chicago : Nelson-Hall, c1976.</t>
        </is>
      </c>
      <c r="O957" t="inlineStr">
        <is>
          <t>1976</t>
        </is>
      </c>
      <c r="Q957" t="inlineStr">
        <is>
          <t>eng</t>
        </is>
      </c>
      <c r="R957" t="inlineStr">
        <is>
          <t>ilu</t>
        </is>
      </c>
      <c r="T957" t="inlineStr">
        <is>
          <t xml:space="preserve">QP </t>
        </is>
      </c>
      <c r="U957" t="n">
        <v>7</v>
      </c>
      <c r="V957" t="n">
        <v>7</v>
      </c>
      <c r="W957" t="inlineStr">
        <is>
          <t>2010-10-10</t>
        </is>
      </c>
      <c r="X957" t="inlineStr">
        <is>
          <t>2010-10-10</t>
        </is>
      </c>
      <c r="Y957" t="inlineStr">
        <is>
          <t>1992-04-06</t>
        </is>
      </c>
      <c r="Z957" t="inlineStr">
        <is>
          <t>1992-04-06</t>
        </is>
      </c>
      <c r="AA957" t="n">
        <v>526</v>
      </c>
      <c r="AB957" t="n">
        <v>491</v>
      </c>
      <c r="AC957" t="n">
        <v>493</v>
      </c>
      <c r="AD957" t="n">
        <v>3</v>
      </c>
      <c r="AE957" t="n">
        <v>3</v>
      </c>
      <c r="AF957" t="n">
        <v>12</v>
      </c>
      <c r="AG957" t="n">
        <v>12</v>
      </c>
      <c r="AH957" t="n">
        <v>5</v>
      </c>
      <c r="AI957" t="n">
        <v>5</v>
      </c>
      <c r="AJ957" t="n">
        <v>2</v>
      </c>
      <c r="AK957" t="n">
        <v>2</v>
      </c>
      <c r="AL957" t="n">
        <v>4</v>
      </c>
      <c r="AM957" t="n">
        <v>4</v>
      </c>
      <c r="AN957" t="n">
        <v>2</v>
      </c>
      <c r="AO957" t="n">
        <v>2</v>
      </c>
      <c r="AP957" t="n">
        <v>0</v>
      </c>
      <c r="AQ957" t="n">
        <v>0</v>
      </c>
      <c r="AR957" t="inlineStr">
        <is>
          <t>No</t>
        </is>
      </c>
      <c r="AS957" t="inlineStr">
        <is>
          <t>Yes</t>
        </is>
      </c>
      <c r="AT957">
        <f>HYPERLINK("http://catalog.hathitrust.org/Record/000700884","HathiTrust Record")</f>
        <v/>
      </c>
      <c r="AU957">
        <f>HYPERLINK("https://creighton-primo.hosted.exlibrisgroup.com/primo-explore/search?tab=default_tab&amp;search_scope=EVERYTHING&amp;vid=01CRU&amp;lang=en_US&amp;offset=0&amp;query=any,contains,991004000229702656","Catalog Record")</f>
        <v/>
      </c>
      <c r="AV957">
        <f>HYPERLINK("http://www.worldcat.org/oclc/2072768","WorldCat Record")</f>
        <v/>
      </c>
      <c r="AW957" t="inlineStr">
        <is>
          <t>541178:eng</t>
        </is>
      </c>
      <c r="AX957" t="inlineStr">
        <is>
          <t>2072768</t>
        </is>
      </c>
      <c r="AY957" t="inlineStr">
        <is>
          <t>991004000229702656</t>
        </is>
      </c>
      <c r="AZ957" t="inlineStr">
        <is>
          <t>991004000229702656</t>
        </is>
      </c>
      <c r="BA957" t="inlineStr">
        <is>
          <t>2254916060002656</t>
        </is>
      </c>
      <c r="BB957" t="inlineStr">
        <is>
          <t>BOOK</t>
        </is>
      </c>
      <c r="BD957" t="inlineStr">
        <is>
          <t>9780882291444</t>
        </is>
      </c>
      <c r="BE957" t="inlineStr">
        <is>
          <t>32285001034247</t>
        </is>
      </c>
      <c r="BF957" t="inlineStr">
        <is>
          <t>893525505</t>
        </is>
      </c>
    </row>
    <row r="958">
      <c r="B958" t="inlineStr">
        <is>
          <t>CURAL</t>
        </is>
      </c>
      <c r="C958" t="inlineStr">
        <is>
          <t>SHELVES</t>
        </is>
      </c>
      <c r="D958" t="inlineStr">
        <is>
          <t>QP99.3.L5 L57 1997</t>
        </is>
      </c>
      <c r="E958" t="inlineStr">
        <is>
          <t>0                      QP 0099300L  5                  L  57          1997</t>
        </is>
      </c>
      <c r="F958" t="inlineStr">
        <is>
          <t>Lipids, health, and behavior / edited by Marc Hillbrand and Reuben T. Spitz.</t>
        </is>
      </c>
      <c r="H958" t="inlineStr">
        <is>
          <t>No</t>
        </is>
      </c>
      <c r="I958" t="inlineStr">
        <is>
          <t>1</t>
        </is>
      </c>
      <c r="J958" t="inlineStr">
        <is>
          <t>No</t>
        </is>
      </c>
      <c r="K958" t="inlineStr">
        <is>
          <t>No</t>
        </is>
      </c>
      <c r="L958" t="inlineStr">
        <is>
          <t>0</t>
        </is>
      </c>
      <c r="N958" t="inlineStr">
        <is>
          <t>Washington, DC : American Psychological Association, c1997.</t>
        </is>
      </c>
      <c r="O958" t="inlineStr">
        <is>
          <t>1997</t>
        </is>
      </c>
      <c r="P958" t="inlineStr">
        <is>
          <t>1st ed.</t>
        </is>
      </c>
      <c r="Q958" t="inlineStr">
        <is>
          <t>eng</t>
        </is>
      </c>
      <c r="R958" t="inlineStr">
        <is>
          <t>dcu</t>
        </is>
      </c>
      <c r="T958" t="inlineStr">
        <is>
          <t xml:space="preserve">QP </t>
        </is>
      </c>
      <c r="U958" t="n">
        <v>2</v>
      </c>
      <c r="V958" t="n">
        <v>2</v>
      </c>
      <c r="W958" t="inlineStr">
        <is>
          <t>2004-11-04</t>
        </is>
      </c>
      <c r="X958" t="inlineStr">
        <is>
          <t>2004-11-04</t>
        </is>
      </c>
      <c r="Y958" t="inlineStr">
        <is>
          <t>1998-09-15</t>
        </is>
      </c>
      <c r="Z958" t="inlineStr">
        <is>
          <t>1998-09-15</t>
        </is>
      </c>
      <c r="AA958" t="n">
        <v>350</v>
      </c>
      <c r="AB958" t="n">
        <v>300</v>
      </c>
      <c r="AC958" t="n">
        <v>384</v>
      </c>
      <c r="AD958" t="n">
        <v>2</v>
      </c>
      <c r="AE958" t="n">
        <v>3</v>
      </c>
      <c r="AF958" t="n">
        <v>16</v>
      </c>
      <c r="AG958" t="n">
        <v>21</v>
      </c>
      <c r="AH958" t="n">
        <v>7</v>
      </c>
      <c r="AI958" t="n">
        <v>9</v>
      </c>
      <c r="AJ958" t="n">
        <v>5</v>
      </c>
      <c r="AK958" t="n">
        <v>5</v>
      </c>
      <c r="AL958" t="n">
        <v>9</v>
      </c>
      <c r="AM958" t="n">
        <v>11</v>
      </c>
      <c r="AN958" t="n">
        <v>1</v>
      </c>
      <c r="AO958" t="n">
        <v>2</v>
      </c>
      <c r="AP958" t="n">
        <v>0</v>
      </c>
      <c r="AQ958" t="n">
        <v>0</v>
      </c>
      <c r="AR958" t="inlineStr">
        <is>
          <t>No</t>
        </is>
      </c>
      <c r="AS958" t="inlineStr">
        <is>
          <t>No</t>
        </is>
      </c>
      <c r="AU958">
        <f>HYPERLINK("https://creighton-primo.hosted.exlibrisgroup.com/primo-explore/search?tab=default_tab&amp;search_scope=EVERYTHING&amp;vid=01CRU&amp;lang=en_US&amp;offset=0&amp;query=any,contains,991002709979702656","Catalog Record")</f>
        <v/>
      </c>
      <c r="AV958">
        <f>HYPERLINK("http://www.worldcat.org/oclc/35521647","WorldCat Record")</f>
        <v/>
      </c>
      <c r="AW958" t="inlineStr">
        <is>
          <t>1078472539:eng</t>
        </is>
      </c>
      <c r="AX958" t="inlineStr">
        <is>
          <t>35521647</t>
        </is>
      </c>
      <c r="AY958" t="inlineStr">
        <is>
          <t>991002709979702656</t>
        </is>
      </c>
      <c r="AZ958" t="inlineStr">
        <is>
          <t>991002709979702656</t>
        </is>
      </c>
      <c r="BA958" t="inlineStr">
        <is>
          <t>2256755920002656</t>
        </is>
      </c>
      <c r="BB958" t="inlineStr">
        <is>
          <t>BOOK</t>
        </is>
      </c>
      <c r="BD958" t="inlineStr">
        <is>
          <t>9781557983848</t>
        </is>
      </c>
      <c r="BE958" t="inlineStr">
        <is>
          <t>32285003468377</t>
        </is>
      </c>
      <c r="BF958" t="inlineStr">
        <is>
          <t>893239402</t>
        </is>
      </c>
    </row>
    <row r="959">
      <c r="B959" t="inlineStr">
        <is>
          <t>CUHSL</t>
        </is>
      </c>
      <c r="C959" t="inlineStr">
        <is>
          <t>SHELVES</t>
        </is>
      </c>
      <c r="D959" t="inlineStr">
        <is>
          <t>QT 4 C7377 1986</t>
        </is>
      </c>
      <c r="E959" t="inlineStr">
        <is>
          <t>0                      QT 0004000C  7377        1986</t>
        </is>
      </c>
      <c r="F959" t="inlineStr">
        <is>
          <t>Comprehensive human physiology : from cellular mechanisms to integration / R. Greger, U. Windhorst (eds.).</t>
        </is>
      </c>
      <c r="G959" t="inlineStr">
        <is>
          <t>V. 2</t>
        </is>
      </c>
      <c r="H959" t="inlineStr">
        <is>
          <t>Yes</t>
        </is>
      </c>
      <c r="I959" t="inlineStr">
        <is>
          <t>1</t>
        </is>
      </c>
      <c r="J959" t="inlineStr">
        <is>
          <t>No</t>
        </is>
      </c>
      <c r="K959" t="inlineStr">
        <is>
          <t>No</t>
        </is>
      </c>
      <c r="L959" t="inlineStr">
        <is>
          <t>0</t>
        </is>
      </c>
      <c r="N959" t="inlineStr">
        <is>
          <t>Berlin ; New York : Springer, c1996.</t>
        </is>
      </c>
      <c r="O959" t="inlineStr">
        <is>
          <t>1996</t>
        </is>
      </c>
      <c r="Q959" t="inlineStr">
        <is>
          <t>eng</t>
        </is>
      </c>
      <c r="R959" t="inlineStr">
        <is>
          <t xml:space="preserve">gw </t>
        </is>
      </c>
      <c r="T959" t="inlineStr">
        <is>
          <t xml:space="preserve">QT </t>
        </is>
      </c>
      <c r="U959" t="n">
        <v>2</v>
      </c>
      <c r="V959" t="n">
        <v>3</v>
      </c>
      <c r="W959" t="inlineStr">
        <is>
          <t>1999-04-21</t>
        </is>
      </c>
      <c r="X959" t="inlineStr">
        <is>
          <t>1999-04-21</t>
        </is>
      </c>
      <c r="Y959" t="inlineStr">
        <is>
          <t>1997-01-23</t>
        </is>
      </c>
      <c r="Z959" t="inlineStr">
        <is>
          <t>1997-01-23</t>
        </is>
      </c>
      <c r="AA959" t="n">
        <v>228</v>
      </c>
      <c r="AB959" t="n">
        <v>162</v>
      </c>
      <c r="AC959" t="n">
        <v>195</v>
      </c>
      <c r="AD959" t="n">
        <v>1</v>
      </c>
      <c r="AE959" t="n">
        <v>1</v>
      </c>
      <c r="AF959" t="n">
        <v>5</v>
      </c>
      <c r="AG959" t="n">
        <v>5</v>
      </c>
      <c r="AH959" t="n">
        <v>1</v>
      </c>
      <c r="AI959" t="n">
        <v>1</v>
      </c>
      <c r="AJ959" t="n">
        <v>3</v>
      </c>
      <c r="AK959" t="n">
        <v>3</v>
      </c>
      <c r="AL959" t="n">
        <v>3</v>
      </c>
      <c r="AM959" t="n">
        <v>3</v>
      </c>
      <c r="AN959" t="n">
        <v>0</v>
      </c>
      <c r="AO959" t="n">
        <v>0</v>
      </c>
      <c r="AP959" t="n">
        <v>0</v>
      </c>
      <c r="AQ959" t="n">
        <v>0</v>
      </c>
      <c r="AR959" t="inlineStr">
        <is>
          <t>No</t>
        </is>
      </c>
      <c r="AS959" t="inlineStr">
        <is>
          <t>No</t>
        </is>
      </c>
      <c r="AU959">
        <f>HYPERLINK("https://creighton-primo.hosted.exlibrisgroup.com/primo-explore/search?tab=default_tab&amp;search_scope=EVERYTHING&amp;vid=01CRU&amp;lang=en_US&amp;offset=0&amp;query=any,contains,991000851499702656","Catalog Record")</f>
        <v/>
      </c>
      <c r="AV959">
        <f>HYPERLINK("http://www.worldcat.org/oclc/32853499","WorldCat Record")</f>
        <v/>
      </c>
      <c r="AW959" t="inlineStr">
        <is>
          <t>806718777:eng</t>
        </is>
      </c>
      <c r="AX959" t="inlineStr">
        <is>
          <t>32853499</t>
        </is>
      </c>
      <c r="AY959" t="inlineStr">
        <is>
          <t>991000851499702656</t>
        </is>
      </c>
      <c r="AZ959" t="inlineStr">
        <is>
          <t>991000851499702656</t>
        </is>
      </c>
      <c r="BA959" t="inlineStr">
        <is>
          <t>2268983370002656</t>
        </is>
      </c>
      <c r="BB959" t="inlineStr">
        <is>
          <t>BOOK</t>
        </is>
      </c>
      <c r="BD959" t="inlineStr">
        <is>
          <t>9783540581093</t>
        </is>
      </c>
      <c r="BE959" t="inlineStr">
        <is>
          <t>30001003473842</t>
        </is>
      </c>
      <c r="BF959" t="inlineStr">
        <is>
          <t>893273406</t>
        </is>
      </c>
    </row>
    <row r="960">
      <c r="D960" t="inlineStr">
        <is>
          <t>QT 4 C7377 1986</t>
        </is>
      </c>
      <c r="E960" t="inlineStr">
        <is>
          <t>0                      QT 0004000C  7377        1986</t>
        </is>
      </c>
      <c r="F960" t="inlineStr">
        <is>
          <t>Comprehensive human physiology : from cellular mechanisms to integration / R. Greger, U. Windhorst (eds.).</t>
        </is>
      </c>
      <c r="G960" t="inlineStr">
        <is>
          <t>V. 2</t>
        </is>
      </c>
      <c r="H960" t="inlineStr">
        <is>
          <t>Yes</t>
        </is>
      </c>
      <c r="I960" t="inlineStr">
        <is>
          <t>1</t>
        </is>
      </c>
      <c r="J960" t="inlineStr">
        <is>
          <t>No</t>
        </is>
      </c>
      <c r="K960" t="inlineStr">
        <is>
          <t>No</t>
        </is>
      </c>
      <c r="L960" t="inlineStr">
        <is>
          <t>0</t>
        </is>
      </c>
      <c r="N960" t="inlineStr">
        <is>
          <t>Berlin ; New York : Springer, c1996.</t>
        </is>
      </c>
      <c r="O960" t="inlineStr">
        <is>
          <t>1996</t>
        </is>
      </c>
      <c r="Q960" t="inlineStr">
        <is>
          <t>eng</t>
        </is>
      </c>
      <c r="R960" t="inlineStr">
        <is>
          <t xml:space="preserve">gw </t>
        </is>
      </c>
      <c r="T960" t="inlineStr">
        <is>
          <t xml:space="preserve">QT </t>
        </is>
      </c>
      <c r="U960" t="n">
        <v>2</v>
      </c>
      <c r="V960" t="n">
        <v>3</v>
      </c>
      <c r="W960" t="inlineStr">
        <is>
          <t>1999-04-21</t>
        </is>
      </c>
      <c r="X960" t="inlineStr">
        <is>
          <t>1999-04-21</t>
        </is>
      </c>
      <c r="Y960" t="inlineStr">
        <is>
          <t>1997-01-23</t>
        </is>
      </c>
      <c r="Z960" t="inlineStr">
        <is>
          <t>1997-01-23</t>
        </is>
      </c>
      <c r="AA960" t="n">
        <v>228</v>
      </c>
      <c r="AB960" t="n">
        <v>162</v>
      </c>
      <c r="AC960" t="n">
        <v>195</v>
      </c>
      <c r="AD960" t="n">
        <v>1</v>
      </c>
      <c r="AE960" t="n">
        <v>1</v>
      </c>
      <c r="AF960" t="n">
        <v>5</v>
      </c>
      <c r="AG960" t="n">
        <v>5</v>
      </c>
      <c r="AH960" t="n">
        <v>1</v>
      </c>
      <c r="AI960" t="n">
        <v>1</v>
      </c>
      <c r="AJ960" t="n">
        <v>3</v>
      </c>
      <c r="AK960" t="n">
        <v>3</v>
      </c>
      <c r="AL960" t="n">
        <v>3</v>
      </c>
      <c r="AM960" t="n">
        <v>3</v>
      </c>
      <c r="AN960" t="n">
        <v>0</v>
      </c>
      <c r="AO960" t="n">
        <v>0</v>
      </c>
      <c r="AP960" t="n">
        <v>0</v>
      </c>
      <c r="AQ960" t="n">
        <v>0</v>
      </c>
      <c r="AR960" t="inlineStr">
        <is>
          <t>No</t>
        </is>
      </c>
      <c r="AS960" t="inlineStr">
        <is>
          <t>No</t>
        </is>
      </c>
      <c r="AU960">
        <f>HYPERLINK("https://creighton-primo.hosted.exlibrisgroup.com/primo-explore/search?tab=default_tab&amp;search_scope=EVERYTHING&amp;vid=01CRU&amp;lang=en_US&amp;offset=0&amp;query=any,contains,991000851499702656","Catalog Record")</f>
        <v/>
      </c>
      <c r="AV960">
        <f>HYPERLINK("http://www.worldcat.org/oclc/32853499","WorldCat Record")</f>
        <v/>
      </c>
    </row>
    <row r="961">
      <c r="D961" t="inlineStr">
        <is>
          <t>QT 4 C7377 1986</t>
        </is>
      </c>
      <c r="E961" t="inlineStr">
        <is>
          <t>0                      QT 0004000C  7377        1986</t>
        </is>
      </c>
      <c r="F961" t="inlineStr">
        <is>
          <t>Comprehensive human physiology : from cellular mechanisms to integration / R. Greger, U. Windhorst (eds.).</t>
        </is>
      </c>
      <c r="G961" t="inlineStr">
        <is>
          <t>V. 1</t>
        </is>
      </c>
      <c r="H961" t="inlineStr">
        <is>
          <t>Yes</t>
        </is>
      </c>
      <c r="I961" t="inlineStr">
        <is>
          <t>1</t>
        </is>
      </c>
      <c r="J961" t="inlineStr">
        <is>
          <t>No</t>
        </is>
      </c>
      <c r="K961" t="inlineStr">
        <is>
          <t>No</t>
        </is>
      </c>
      <c r="L961" t="inlineStr">
        <is>
          <t>0</t>
        </is>
      </c>
      <c r="N961" t="inlineStr">
        <is>
          <t>Berlin ; New York : Springer, c1996.</t>
        </is>
      </c>
      <c r="O961" t="inlineStr">
        <is>
          <t>1996</t>
        </is>
      </c>
      <c r="Q961" t="inlineStr">
        <is>
          <t>eng</t>
        </is>
      </c>
      <c r="R961" t="inlineStr">
        <is>
          <t xml:space="preserve">gw </t>
        </is>
      </c>
      <c r="T961" t="inlineStr">
        <is>
          <t xml:space="preserve">QT </t>
        </is>
      </c>
      <c r="U961" t="n">
        <v>1</v>
      </c>
      <c r="V961" t="n">
        <v>3</v>
      </c>
      <c r="W961" t="inlineStr">
        <is>
          <t>1997-03-13</t>
        </is>
      </c>
      <c r="X961" t="inlineStr">
        <is>
          <t>1999-04-21</t>
        </is>
      </c>
      <c r="Y961" t="inlineStr">
        <is>
          <t>1997-01-23</t>
        </is>
      </c>
      <c r="Z961" t="inlineStr">
        <is>
          <t>1997-01-23</t>
        </is>
      </c>
      <c r="AA961" t="n">
        <v>228</v>
      </c>
      <c r="AB961" t="n">
        <v>162</v>
      </c>
      <c r="AC961" t="n">
        <v>195</v>
      </c>
      <c r="AD961" t="n">
        <v>1</v>
      </c>
      <c r="AE961" t="n">
        <v>1</v>
      </c>
      <c r="AF961" t="n">
        <v>5</v>
      </c>
      <c r="AG961" t="n">
        <v>5</v>
      </c>
      <c r="AH961" t="n">
        <v>1</v>
      </c>
      <c r="AI961" t="n">
        <v>1</v>
      </c>
      <c r="AJ961" t="n">
        <v>3</v>
      </c>
      <c r="AK961" t="n">
        <v>3</v>
      </c>
      <c r="AL961" t="n">
        <v>3</v>
      </c>
      <c r="AM961" t="n">
        <v>3</v>
      </c>
      <c r="AN961" t="n">
        <v>0</v>
      </c>
      <c r="AO961" t="n">
        <v>0</v>
      </c>
      <c r="AP961" t="n">
        <v>0</v>
      </c>
      <c r="AQ961" t="n">
        <v>0</v>
      </c>
      <c r="AR961" t="inlineStr">
        <is>
          <t>No</t>
        </is>
      </c>
      <c r="AS961" t="inlineStr">
        <is>
          <t>No</t>
        </is>
      </c>
      <c r="AU961">
        <f>HYPERLINK("https://creighton-primo.hosted.exlibrisgroup.com/primo-explore/search?tab=default_tab&amp;search_scope=EVERYTHING&amp;vid=01CRU&amp;lang=en_US&amp;offset=0&amp;query=any,contains,991000851499702656","Catalog Record")</f>
        <v/>
      </c>
      <c r="AV961">
        <f>HYPERLINK("http://www.worldcat.org/oclc/32853499","WorldCat Record")</f>
        <v/>
      </c>
    </row>
    <row r="962">
      <c r="D962" t="inlineStr">
        <is>
          <t>QT 4 C737p 1994 v.38B</t>
        </is>
      </c>
      <c r="E962" t="inlineStr">
        <is>
          <t>0                      QT 0004000C  737p        1994                                        v.38B</t>
        </is>
      </c>
      <c r="F962" t="inlineStr">
        <is>
          <t>Comparative vertebrate exercise physiology : phyletic adaptations / edited by James H. Jones.</t>
        </is>
      </c>
      <c r="G962" t="inlineStr">
        <is>
          <t>V. 38B</t>
        </is>
      </c>
      <c r="H962" t="inlineStr">
        <is>
          <t>No</t>
        </is>
      </c>
      <c r="I962" t="inlineStr">
        <is>
          <t>1</t>
        </is>
      </c>
      <c r="J962" t="inlineStr">
        <is>
          <t>No</t>
        </is>
      </c>
      <c r="K962" t="inlineStr">
        <is>
          <t>No</t>
        </is>
      </c>
      <c r="L962" t="inlineStr">
        <is>
          <t>0</t>
        </is>
      </c>
      <c r="N962" t="inlineStr">
        <is>
          <t>San Diego : Academic Press, c1994.</t>
        </is>
      </c>
      <c r="O962" t="inlineStr">
        <is>
          <t>1994</t>
        </is>
      </c>
      <c r="Q962" t="inlineStr">
        <is>
          <t>eng</t>
        </is>
      </c>
      <c r="R962" t="inlineStr">
        <is>
          <t>cau</t>
        </is>
      </c>
      <c r="S962" t="inlineStr">
        <is>
          <t>Advances in veterinary science and comparative medicine, 0065-3519 ; v. 38B</t>
        </is>
      </c>
      <c r="T962" t="inlineStr">
        <is>
          <t xml:space="preserve">QT </t>
        </is>
      </c>
      <c r="U962" t="n">
        <v>9</v>
      </c>
      <c r="V962" t="n">
        <v>9</v>
      </c>
      <c r="W962" t="inlineStr">
        <is>
          <t>2001-06-14</t>
        </is>
      </c>
      <c r="X962" t="inlineStr">
        <is>
          <t>2001-06-14</t>
        </is>
      </c>
      <c r="Y962" t="inlineStr">
        <is>
          <t>1999-02-04</t>
        </is>
      </c>
      <c r="Z962" t="inlineStr">
        <is>
          <t>1999-02-04</t>
        </is>
      </c>
      <c r="AA962" t="n">
        <v>79</v>
      </c>
      <c r="AB962" t="n">
        <v>61</v>
      </c>
      <c r="AC962" t="n">
        <v>61</v>
      </c>
      <c r="AD962" t="n">
        <v>1</v>
      </c>
      <c r="AE962" t="n">
        <v>1</v>
      </c>
      <c r="AF962" t="n">
        <v>2</v>
      </c>
      <c r="AG962" t="n">
        <v>2</v>
      </c>
      <c r="AH962" t="n">
        <v>2</v>
      </c>
      <c r="AI962" t="n">
        <v>2</v>
      </c>
      <c r="AJ962" t="n">
        <v>0</v>
      </c>
      <c r="AK962" t="n">
        <v>0</v>
      </c>
      <c r="AL962" t="n">
        <v>1</v>
      </c>
      <c r="AM962" t="n">
        <v>1</v>
      </c>
      <c r="AN962" t="n">
        <v>0</v>
      </c>
      <c r="AO962" t="n">
        <v>0</v>
      </c>
      <c r="AP962" t="n">
        <v>0</v>
      </c>
      <c r="AQ962" t="n">
        <v>0</v>
      </c>
      <c r="AR962" t="inlineStr">
        <is>
          <t>No</t>
        </is>
      </c>
      <c r="AS962" t="inlineStr">
        <is>
          <t>No</t>
        </is>
      </c>
      <c r="AU962">
        <f>HYPERLINK("https://creighton-primo.hosted.exlibrisgroup.com/primo-explore/search?tab=default_tab&amp;search_scope=EVERYTHING&amp;vid=01CRU&amp;lang=en_US&amp;offset=0&amp;query=any,contains,991000489899702656","Catalog Record")</f>
        <v/>
      </c>
      <c r="AV962">
        <f>HYPERLINK("http://www.worldcat.org/oclc/31181044","WorldCat Record")</f>
        <v/>
      </c>
    </row>
    <row r="963">
      <c r="D963" t="inlineStr">
        <is>
          <t>QT 4 D744g 1969</t>
        </is>
      </c>
      <c r="E963" t="inlineStr">
        <is>
          <t>0                      QT 0004000D  744g        1969</t>
        </is>
      </c>
      <c r="F963" t="inlineStr">
        <is>
          <t>General physiology : a molecular approach / [by] Robert M. Dowben.</t>
        </is>
      </c>
      <c r="H963" t="inlineStr">
        <is>
          <t>No</t>
        </is>
      </c>
      <c r="I963" t="inlineStr">
        <is>
          <t>1</t>
        </is>
      </c>
      <c r="J963" t="inlineStr">
        <is>
          <t>No</t>
        </is>
      </c>
      <c r="K963" t="inlineStr">
        <is>
          <t>No</t>
        </is>
      </c>
      <c r="L963" t="inlineStr">
        <is>
          <t>0</t>
        </is>
      </c>
      <c r="M963" t="inlineStr">
        <is>
          <t>Dowben, Robert M.</t>
        </is>
      </c>
      <c r="N963" t="inlineStr">
        <is>
          <t>New York : Harper &amp; Row, [1969]</t>
        </is>
      </c>
      <c r="O963" t="inlineStr">
        <is>
          <t>1969</t>
        </is>
      </c>
      <c r="Q963" t="inlineStr">
        <is>
          <t>eng</t>
        </is>
      </c>
      <c r="R963" t="inlineStr">
        <is>
          <t>nyu</t>
        </is>
      </c>
      <c r="T963" t="inlineStr">
        <is>
          <t xml:space="preserve">QT </t>
        </is>
      </c>
      <c r="U963" t="n">
        <v>4</v>
      </c>
      <c r="V963" t="n">
        <v>4</v>
      </c>
      <c r="W963" t="inlineStr">
        <is>
          <t>1995-10-01</t>
        </is>
      </c>
      <c r="X963" t="inlineStr">
        <is>
          <t>1995-10-01</t>
        </is>
      </c>
      <c r="Y963" t="inlineStr">
        <is>
          <t>1988-03-02</t>
        </is>
      </c>
      <c r="Z963" t="inlineStr">
        <is>
          <t>1988-03-02</t>
        </is>
      </c>
      <c r="AA963" t="n">
        <v>356</v>
      </c>
      <c r="AB963" t="n">
        <v>266</v>
      </c>
      <c r="AC963" t="n">
        <v>268</v>
      </c>
      <c r="AD963" t="n">
        <v>3</v>
      </c>
      <c r="AE963" t="n">
        <v>3</v>
      </c>
      <c r="AF963" t="n">
        <v>6</v>
      </c>
      <c r="AG963" t="n">
        <v>6</v>
      </c>
      <c r="AH963" t="n">
        <v>1</v>
      </c>
      <c r="AI963" t="n">
        <v>1</v>
      </c>
      <c r="AJ963" t="n">
        <v>2</v>
      </c>
      <c r="AK963" t="n">
        <v>2</v>
      </c>
      <c r="AL963" t="n">
        <v>2</v>
      </c>
      <c r="AM963" t="n">
        <v>2</v>
      </c>
      <c r="AN963" t="n">
        <v>2</v>
      </c>
      <c r="AO963" t="n">
        <v>2</v>
      </c>
      <c r="AP963" t="n">
        <v>0</v>
      </c>
      <c r="AQ963" t="n">
        <v>0</v>
      </c>
      <c r="AR963" t="inlineStr">
        <is>
          <t>No</t>
        </is>
      </c>
      <c r="AS963" t="inlineStr">
        <is>
          <t>Yes</t>
        </is>
      </c>
      <c r="AT963">
        <f>HYPERLINK("http://catalog.hathitrust.org/Record/001553183","HathiTrust Record")</f>
        <v/>
      </c>
      <c r="AU963">
        <f>HYPERLINK("https://creighton-primo.hosted.exlibrisgroup.com/primo-explore/search?tab=default_tab&amp;search_scope=EVERYTHING&amp;vid=01CRU&amp;lang=en_US&amp;offset=0&amp;query=any,contains,991000798319702656","Catalog Record")</f>
        <v/>
      </c>
      <c r="AV963">
        <f>HYPERLINK("http://www.worldcat.org/oclc/12689","WorldCat Record")</f>
        <v/>
      </c>
    </row>
    <row r="964">
      <c r="D964" t="inlineStr">
        <is>
          <t>QT4 F794H 2004</t>
        </is>
      </c>
      <c r="E964" t="inlineStr">
        <is>
          <t>0                      QT 0004000F  794H        2004</t>
        </is>
      </c>
      <c r="F964" t="inlineStr">
        <is>
          <t>Human physiology / Stuart Ira Fox.</t>
        </is>
      </c>
      <c r="H964" t="inlineStr">
        <is>
          <t>No</t>
        </is>
      </c>
      <c r="I964" t="inlineStr">
        <is>
          <t>1</t>
        </is>
      </c>
      <c r="J964" t="inlineStr">
        <is>
          <t>No</t>
        </is>
      </c>
      <c r="K964" t="inlineStr">
        <is>
          <t>Yes</t>
        </is>
      </c>
      <c r="L964" t="inlineStr">
        <is>
          <t>0</t>
        </is>
      </c>
      <c r="M964" t="inlineStr">
        <is>
          <t>Fox, Stuart Ira.</t>
        </is>
      </c>
      <c r="N964" t="inlineStr">
        <is>
          <t>Boston : McGraw-Hill, c2004.</t>
        </is>
      </c>
      <c r="O964" t="inlineStr">
        <is>
          <t>2004</t>
        </is>
      </c>
      <c r="P964" t="inlineStr">
        <is>
          <t>8th ed.</t>
        </is>
      </c>
      <c r="Q964" t="inlineStr">
        <is>
          <t>eng</t>
        </is>
      </c>
      <c r="R964" t="inlineStr">
        <is>
          <t>mau</t>
        </is>
      </c>
      <c r="T964" t="inlineStr">
        <is>
          <t xml:space="preserve">QT </t>
        </is>
      </c>
      <c r="U964" t="n">
        <v>11</v>
      </c>
      <c r="V964" t="n">
        <v>11</v>
      </c>
      <c r="W964" t="inlineStr">
        <is>
          <t>2010-12-15</t>
        </is>
      </c>
      <c r="X964" t="inlineStr">
        <is>
          <t>2010-12-15</t>
        </is>
      </c>
      <c r="Y964" t="inlineStr">
        <is>
          <t>2005-01-13</t>
        </is>
      </c>
      <c r="Z964" t="inlineStr">
        <is>
          <t>2005-01-13</t>
        </is>
      </c>
      <c r="AA964" t="n">
        <v>133</v>
      </c>
      <c r="AB964" t="n">
        <v>70</v>
      </c>
      <c r="AC964" t="n">
        <v>632</v>
      </c>
      <c r="AD964" t="n">
        <v>1</v>
      </c>
      <c r="AE964" t="n">
        <v>3</v>
      </c>
      <c r="AF964" t="n">
        <v>4</v>
      </c>
      <c r="AG964" t="n">
        <v>15</v>
      </c>
      <c r="AH964" t="n">
        <v>1</v>
      </c>
      <c r="AI964" t="n">
        <v>7</v>
      </c>
      <c r="AJ964" t="n">
        <v>3</v>
      </c>
      <c r="AK964" t="n">
        <v>4</v>
      </c>
      <c r="AL964" t="n">
        <v>0</v>
      </c>
      <c r="AM964" t="n">
        <v>6</v>
      </c>
      <c r="AN964" t="n">
        <v>0</v>
      </c>
      <c r="AO964" t="n">
        <v>0</v>
      </c>
      <c r="AP964" t="n">
        <v>0</v>
      </c>
      <c r="AQ964" t="n">
        <v>0</v>
      </c>
      <c r="AR964" t="inlineStr">
        <is>
          <t>No</t>
        </is>
      </c>
      <c r="AS964" t="inlineStr">
        <is>
          <t>No</t>
        </is>
      </c>
      <c r="AU964">
        <f>HYPERLINK("https://creighton-primo.hosted.exlibrisgroup.com/primo-explore/search?tab=default_tab&amp;search_scope=EVERYTHING&amp;vid=01CRU&amp;lang=en_US&amp;offset=0&amp;query=any,contains,991000422589702656","Catalog Record")</f>
        <v/>
      </c>
      <c r="AV964">
        <f>HYPERLINK("http://www.worldcat.org/oclc/50204126","WorldCat Record")</f>
        <v/>
      </c>
    </row>
    <row r="965">
      <c r="D965" t="inlineStr">
        <is>
          <t>QT 4 I37 1986</t>
        </is>
      </c>
      <c r="E965" t="inlineStr">
        <is>
          <t>0                      QT 0004000I  37          1986</t>
        </is>
      </c>
      <c r="F965" t="inlineStr">
        <is>
          <t>The Incredible machine.</t>
        </is>
      </c>
      <c r="H965" t="inlineStr">
        <is>
          <t>No</t>
        </is>
      </c>
      <c r="I965" t="inlineStr">
        <is>
          <t>1</t>
        </is>
      </c>
      <c r="J965" t="inlineStr">
        <is>
          <t>No</t>
        </is>
      </c>
      <c r="K965" t="inlineStr">
        <is>
          <t>No</t>
        </is>
      </c>
      <c r="L965" t="inlineStr">
        <is>
          <t>0</t>
        </is>
      </c>
      <c r="N965" t="inlineStr">
        <is>
          <t>Washington, D.C. : National Geographic Society, 1989 printing, c1986.</t>
        </is>
      </c>
      <c r="O965" t="inlineStr">
        <is>
          <t>1986</t>
        </is>
      </c>
      <c r="P965" t="inlineStr">
        <is>
          <t>1st ed.</t>
        </is>
      </c>
      <c r="Q965" t="inlineStr">
        <is>
          <t>eng</t>
        </is>
      </c>
      <c r="R965" t="inlineStr">
        <is>
          <t>dcu</t>
        </is>
      </c>
      <c r="T965" t="inlineStr">
        <is>
          <t xml:space="preserve">QT </t>
        </is>
      </c>
      <c r="U965" t="n">
        <v>22</v>
      </c>
      <c r="V965" t="n">
        <v>22</v>
      </c>
      <c r="W965" t="inlineStr">
        <is>
          <t>1992-09-25</t>
        </is>
      </c>
      <c r="X965" t="inlineStr">
        <is>
          <t>1992-09-25</t>
        </is>
      </c>
      <c r="Y965" t="inlineStr">
        <is>
          <t>1989-08-29</t>
        </is>
      </c>
      <c r="Z965" t="inlineStr">
        <is>
          <t>1989-08-29</t>
        </is>
      </c>
      <c r="AA965" t="n">
        <v>1312</v>
      </c>
      <c r="AB965" t="n">
        <v>1206</v>
      </c>
      <c r="AC965" t="n">
        <v>1246</v>
      </c>
      <c r="AD965" t="n">
        <v>13</v>
      </c>
      <c r="AE965" t="n">
        <v>14</v>
      </c>
      <c r="AF965" t="n">
        <v>9</v>
      </c>
      <c r="AG965" t="n">
        <v>9</v>
      </c>
      <c r="AH965" t="n">
        <v>3</v>
      </c>
      <c r="AI965" t="n">
        <v>3</v>
      </c>
      <c r="AJ965" t="n">
        <v>1</v>
      </c>
      <c r="AK965" t="n">
        <v>1</v>
      </c>
      <c r="AL965" t="n">
        <v>4</v>
      </c>
      <c r="AM965" t="n">
        <v>4</v>
      </c>
      <c r="AN965" t="n">
        <v>2</v>
      </c>
      <c r="AO965" t="n">
        <v>2</v>
      </c>
      <c r="AP965" t="n">
        <v>0</v>
      </c>
      <c r="AQ965" t="n">
        <v>0</v>
      </c>
      <c r="AR965" t="inlineStr">
        <is>
          <t>No</t>
        </is>
      </c>
      <c r="AS965" t="inlineStr">
        <is>
          <t>Yes</t>
        </is>
      </c>
      <c r="AT965">
        <f>HYPERLINK("http://catalog.hathitrust.org/Record/102081413","HathiTrust Record")</f>
        <v/>
      </c>
      <c r="AU965">
        <f>HYPERLINK("https://creighton-primo.hosted.exlibrisgroup.com/primo-explore/search?tab=default_tab&amp;search_scope=EVERYTHING&amp;vid=01CRU&amp;lang=en_US&amp;offset=0&amp;query=any,contains,991001313969702656","Catalog Record")</f>
        <v/>
      </c>
      <c r="AV965">
        <f>HYPERLINK("http://www.worldcat.org/oclc/12977556","WorldCat Record")</f>
        <v/>
      </c>
    </row>
    <row r="966">
      <c r="D966" t="inlineStr">
        <is>
          <t>QT4 P5783 2004</t>
        </is>
      </c>
      <c r="E966" t="inlineStr">
        <is>
          <t>0                      QT 0004000P  5783        2004</t>
        </is>
      </c>
      <c r="F966" t="inlineStr">
        <is>
          <t>Physiology / editors, Robert M. Berne ... [et al.].</t>
        </is>
      </c>
      <c r="H966" t="inlineStr">
        <is>
          <t>No</t>
        </is>
      </c>
      <c r="I966" t="inlineStr">
        <is>
          <t>1</t>
        </is>
      </c>
      <c r="J966" t="inlineStr">
        <is>
          <t>No</t>
        </is>
      </c>
      <c r="K966" t="inlineStr">
        <is>
          <t>Yes</t>
        </is>
      </c>
      <c r="L966" t="inlineStr">
        <is>
          <t>0</t>
        </is>
      </c>
      <c r="N966" t="inlineStr">
        <is>
          <t>St. Louis, MO : Mosby, c2004.</t>
        </is>
      </c>
      <c r="O966" t="inlineStr">
        <is>
          <t>2004</t>
        </is>
      </c>
      <c r="P966" t="inlineStr">
        <is>
          <t>5th ed.</t>
        </is>
      </c>
      <c r="Q966" t="inlineStr">
        <is>
          <t>eng</t>
        </is>
      </c>
      <c r="R966" t="inlineStr">
        <is>
          <t>mou</t>
        </is>
      </c>
      <c r="T966" t="inlineStr">
        <is>
          <t xml:space="preserve">QT </t>
        </is>
      </c>
      <c r="U966" t="n">
        <v>5</v>
      </c>
      <c r="V966" t="n">
        <v>5</v>
      </c>
      <c r="W966" t="inlineStr">
        <is>
          <t>2006-09-29</t>
        </is>
      </c>
      <c r="X966" t="inlineStr">
        <is>
          <t>2006-09-29</t>
        </is>
      </c>
      <c r="Y966" t="inlineStr">
        <is>
          <t>2006-09-28</t>
        </is>
      </c>
      <c r="Z966" t="inlineStr">
        <is>
          <t>2006-09-28</t>
        </is>
      </c>
      <c r="AA966" t="n">
        <v>395</v>
      </c>
      <c r="AB966" t="n">
        <v>234</v>
      </c>
      <c r="AC966" t="n">
        <v>709</v>
      </c>
      <c r="AD966" t="n">
        <v>1</v>
      </c>
      <c r="AE966" t="n">
        <v>4</v>
      </c>
      <c r="AF966" t="n">
        <v>6</v>
      </c>
      <c r="AG966" t="n">
        <v>25</v>
      </c>
      <c r="AH966" t="n">
        <v>3</v>
      </c>
      <c r="AI966" t="n">
        <v>13</v>
      </c>
      <c r="AJ966" t="n">
        <v>1</v>
      </c>
      <c r="AK966" t="n">
        <v>5</v>
      </c>
      <c r="AL966" t="n">
        <v>3</v>
      </c>
      <c r="AM966" t="n">
        <v>14</v>
      </c>
      <c r="AN966" t="n">
        <v>0</v>
      </c>
      <c r="AO966" t="n">
        <v>2</v>
      </c>
      <c r="AP966" t="n">
        <v>0</v>
      </c>
      <c r="AQ966" t="n">
        <v>0</v>
      </c>
      <c r="AR966" t="inlineStr">
        <is>
          <t>No</t>
        </is>
      </c>
      <c r="AS966" t="inlineStr">
        <is>
          <t>Yes</t>
        </is>
      </c>
      <c r="AT966">
        <f>HYPERLINK("http://catalog.hathitrust.org/Record/004333775","HathiTrust Record")</f>
        <v/>
      </c>
      <c r="AU966">
        <f>HYPERLINK("https://creighton-primo.hosted.exlibrisgroup.com/primo-explore/search?tab=default_tab&amp;search_scope=EVERYTHING&amp;vid=01CRU&amp;lang=en_US&amp;offset=0&amp;query=any,contains,991000546869702656","Catalog Record")</f>
        <v/>
      </c>
      <c r="AV966">
        <f>HYPERLINK("http://www.worldcat.org/oclc/51272120","WorldCat Record")</f>
        <v/>
      </c>
    </row>
    <row r="967">
      <c r="D967" t="inlineStr">
        <is>
          <t>QT 13 C744 1990</t>
        </is>
      </c>
      <c r="E967" t="inlineStr">
        <is>
          <t>0                      QT 0013000C  744         1990</t>
        </is>
      </c>
      <c r="F967" t="inlineStr">
        <is>
          <t>Concise encyclopedia of medical &amp; dental materials / editor, David Williams ; executive editor, Robert W. Cahn ; senior advisory editor, Michael B. Bever.</t>
        </is>
      </c>
      <c r="H967" t="inlineStr">
        <is>
          <t>No</t>
        </is>
      </c>
      <c r="I967" t="inlineStr">
        <is>
          <t>1</t>
        </is>
      </c>
      <c r="J967" t="inlineStr">
        <is>
          <t>No</t>
        </is>
      </c>
      <c r="K967" t="inlineStr">
        <is>
          <t>No</t>
        </is>
      </c>
      <c r="L967" t="inlineStr">
        <is>
          <t>0</t>
        </is>
      </c>
      <c r="N967" t="inlineStr">
        <is>
          <t>Oxford, England ; New York : Pergamon Press ; Cambridge, Mass., USA : Distributed in North and South America by MIT Press, c1990.</t>
        </is>
      </c>
      <c r="O967" t="inlineStr">
        <is>
          <t>1990</t>
        </is>
      </c>
      <c r="P967" t="inlineStr">
        <is>
          <t>1st ed.</t>
        </is>
      </c>
      <c r="Q967" t="inlineStr">
        <is>
          <t>eng</t>
        </is>
      </c>
      <c r="R967" t="inlineStr">
        <is>
          <t>enk</t>
        </is>
      </c>
      <c r="S967" t="inlineStr">
        <is>
          <t>Advances in materials science and engineering</t>
        </is>
      </c>
      <c r="T967" t="inlineStr">
        <is>
          <t xml:space="preserve">QT </t>
        </is>
      </c>
      <c r="U967" t="n">
        <v>4</v>
      </c>
      <c r="V967" t="n">
        <v>4</v>
      </c>
      <c r="W967" t="inlineStr">
        <is>
          <t>1992-09-16</t>
        </is>
      </c>
      <c r="X967" t="inlineStr">
        <is>
          <t>1992-09-16</t>
        </is>
      </c>
      <c r="Y967" t="inlineStr">
        <is>
          <t>1992-09-11</t>
        </is>
      </c>
      <c r="Z967" t="inlineStr">
        <is>
          <t>1992-09-11</t>
        </is>
      </c>
      <c r="AA967" t="n">
        <v>199</v>
      </c>
      <c r="AB967" t="n">
        <v>109</v>
      </c>
      <c r="AC967" t="n">
        <v>112</v>
      </c>
      <c r="AD967" t="n">
        <v>2</v>
      </c>
      <c r="AE967" t="n">
        <v>2</v>
      </c>
      <c r="AF967" t="n">
        <v>3</v>
      </c>
      <c r="AG967" t="n">
        <v>3</v>
      </c>
      <c r="AH967" t="n">
        <v>0</v>
      </c>
      <c r="AI967" t="n">
        <v>0</v>
      </c>
      <c r="AJ967" t="n">
        <v>1</v>
      </c>
      <c r="AK967" t="n">
        <v>1</v>
      </c>
      <c r="AL967" t="n">
        <v>2</v>
      </c>
      <c r="AM967" t="n">
        <v>2</v>
      </c>
      <c r="AN967" t="n">
        <v>1</v>
      </c>
      <c r="AO967" t="n">
        <v>1</v>
      </c>
      <c r="AP967" t="n">
        <v>0</v>
      </c>
      <c r="AQ967" t="n">
        <v>0</v>
      </c>
      <c r="AR967" t="inlineStr">
        <is>
          <t>No</t>
        </is>
      </c>
      <c r="AS967" t="inlineStr">
        <is>
          <t>Yes</t>
        </is>
      </c>
      <c r="AT967">
        <f>HYPERLINK("http://catalog.hathitrust.org/Record/002441356","HathiTrust Record")</f>
        <v/>
      </c>
      <c r="AU967">
        <f>HYPERLINK("https://creighton-primo.hosted.exlibrisgroup.com/primo-explore/search?tab=default_tab&amp;search_scope=EVERYTHING&amp;vid=01CRU&amp;lang=en_US&amp;offset=0&amp;query=any,contains,991001341779702656","Catalog Record")</f>
        <v/>
      </c>
      <c r="AV967">
        <f>HYPERLINK("http://www.worldcat.org/oclc/21600543","WorldCat Record")</f>
        <v/>
      </c>
    </row>
    <row r="968">
      <c r="D968" t="inlineStr">
        <is>
          <t>QT 13 O98 1994</t>
        </is>
      </c>
      <c r="E968" t="inlineStr">
        <is>
          <t>0                      QT 0013000O  98          1994</t>
        </is>
      </c>
      <c r="F968" t="inlineStr">
        <is>
          <t>The Oxford dictionary of sports science and medicine / Michael Kent.</t>
        </is>
      </c>
      <c r="H968" t="inlineStr">
        <is>
          <t>No</t>
        </is>
      </c>
      <c r="I968" t="inlineStr">
        <is>
          <t>1</t>
        </is>
      </c>
      <c r="J968" t="inlineStr">
        <is>
          <t>No</t>
        </is>
      </c>
      <c r="K968" t="inlineStr">
        <is>
          <t>No</t>
        </is>
      </c>
      <c r="L968" t="inlineStr">
        <is>
          <t>1</t>
        </is>
      </c>
      <c r="N968" t="inlineStr">
        <is>
          <t>Oxford ; New York : Oxford University Press, c1994.</t>
        </is>
      </c>
      <c r="O968" t="inlineStr">
        <is>
          <t>1994</t>
        </is>
      </c>
      <c r="Q968" t="inlineStr">
        <is>
          <t>eng</t>
        </is>
      </c>
      <c r="R968" t="inlineStr">
        <is>
          <t>enk</t>
        </is>
      </c>
      <c r="T968" t="inlineStr">
        <is>
          <t xml:space="preserve">QT </t>
        </is>
      </c>
      <c r="U968" t="n">
        <v>1</v>
      </c>
      <c r="V968" t="n">
        <v>1</v>
      </c>
      <c r="W968" t="inlineStr">
        <is>
          <t>1994-09-14</t>
        </is>
      </c>
      <c r="X968" t="inlineStr">
        <is>
          <t>1994-09-14</t>
        </is>
      </c>
      <c r="Y968" t="inlineStr">
        <is>
          <t>1994-09-13</t>
        </is>
      </c>
      <c r="Z968" t="inlineStr">
        <is>
          <t>1994-09-13</t>
        </is>
      </c>
      <c r="AA968" t="n">
        <v>405</v>
      </c>
      <c r="AB968" t="n">
        <v>220</v>
      </c>
      <c r="AC968" t="n">
        <v>742</v>
      </c>
      <c r="AD968" t="n">
        <v>4</v>
      </c>
      <c r="AE968" t="n">
        <v>7</v>
      </c>
      <c r="AF968" t="n">
        <v>7</v>
      </c>
      <c r="AG968" t="n">
        <v>26</v>
      </c>
      <c r="AH968" t="n">
        <v>2</v>
      </c>
      <c r="AI968" t="n">
        <v>12</v>
      </c>
      <c r="AJ968" t="n">
        <v>1</v>
      </c>
      <c r="AK968" t="n">
        <v>4</v>
      </c>
      <c r="AL968" t="n">
        <v>4</v>
      </c>
      <c r="AM968" t="n">
        <v>13</v>
      </c>
      <c r="AN968" t="n">
        <v>3</v>
      </c>
      <c r="AO968" t="n">
        <v>5</v>
      </c>
      <c r="AP968" t="n">
        <v>0</v>
      </c>
      <c r="AQ968" t="n">
        <v>0</v>
      </c>
      <c r="AR968" t="inlineStr">
        <is>
          <t>No</t>
        </is>
      </c>
      <c r="AS968" t="inlineStr">
        <is>
          <t>Yes</t>
        </is>
      </c>
      <c r="AT968">
        <f>HYPERLINK("http://catalog.hathitrust.org/Record/002875035","HathiTrust Record")</f>
        <v/>
      </c>
      <c r="AU968">
        <f>HYPERLINK("https://creighton-primo.hosted.exlibrisgroup.com/primo-explore/search?tab=default_tab&amp;search_scope=EVERYTHING&amp;vid=01CRU&amp;lang=en_US&amp;offset=0&amp;query=any,contains,991000679469702656","Catalog Record")</f>
        <v/>
      </c>
      <c r="AV968">
        <f>HYPERLINK("http://www.worldcat.org/oclc/28968068","WorldCat Record")</f>
        <v/>
      </c>
    </row>
    <row r="969">
      <c r="D969" t="inlineStr">
        <is>
          <t>QT17 M649s 2003</t>
        </is>
      </c>
      <c r="E969" t="inlineStr">
        <is>
          <t>0                      QT 0017000M  649s        2003</t>
        </is>
      </c>
      <c r="F969" t="inlineStr">
        <is>
          <t>Surgical atlas of sports medicine / Mark D. Miller, Richard F. Howard, Kevin D. Plancher ; artist, Suzanne Edmonds.</t>
        </is>
      </c>
      <c r="H969" t="inlineStr">
        <is>
          <t>No</t>
        </is>
      </c>
      <c r="I969" t="inlineStr">
        <is>
          <t>1</t>
        </is>
      </c>
      <c r="J969" t="inlineStr">
        <is>
          <t>No</t>
        </is>
      </c>
      <c r="K969" t="inlineStr">
        <is>
          <t>No</t>
        </is>
      </c>
      <c r="L969" t="inlineStr">
        <is>
          <t>0</t>
        </is>
      </c>
      <c r="M969" t="inlineStr">
        <is>
          <t>Miller, Mark D.</t>
        </is>
      </c>
      <c r="N969" t="inlineStr">
        <is>
          <t>Philadelphia : Saunders, c2003.</t>
        </is>
      </c>
      <c r="O969" t="inlineStr">
        <is>
          <t>2003</t>
        </is>
      </c>
      <c r="Q969" t="inlineStr">
        <is>
          <t>eng</t>
        </is>
      </c>
      <c r="R969" t="inlineStr">
        <is>
          <t>pau</t>
        </is>
      </c>
      <c r="T969" t="inlineStr">
        <is>
          <t xml:space="preserve">QT </t>
        </is>
      </c>
      <c r="U969" t="n">
        <v>2</v>
      </c>
      <c r="V969" t="n">
        <v>2</v>
      </c>
      <c r="W969" t="inlineStr">
        <is>
          <t>2005-03-03</t>
        </is>
      </c>
      <c r="X969" t="inlineStr">
        <is>
          <t>2005-03-03</t>
        </is>
      </c>
      <c r="Y969" t="inlineStr">
        <is>
          <t>2005-02-11</t>
        </is>
      </c>
      <c r="Z969" t="inlineStr">
        <is>
          <t>2005-02-11</t>
        </is>
      </c>
      <c r="AA969" t="n">
        <v>151</v>
      </c>
      <c r="AB969" t="n">
        <v>108</v>
      </c>
      <c r="AC969" t="n">
        <v>110</v>
      </c>
      <c r="AD969" t="n">
        <v>2</v>
      </c>
      <c r="AE969" t="n">
        <v>2</v>
      </c>
      <c r="AF969" t="n">
        <v>2</v>
      </c>
      <c r="AG969" t="n">
        <v>2</v>
      </c>
      <c r="AH969" t="n">
        <v>0</v>
      </c>
      <c r="AI969" t="n">
        <v>0</v>
      </c>
      <c r="AJ969" t="n">
        <v>0</v>
      </c>
      <c r="AK969" t="n">
        <v>0</v>
      </c>
      <c r="AL969" t="n">
        <v>1</v>
      </c>
      <c r="AM969" t="n">
        <v>1</v>
      </c>
      <c r="AN969" t="n">
        <v>1</v>
      </c>
      <c r="AO969" t="n">
        <v>1</v>
      </c>
      <c r="AP969" t="n">
        <v>0</v>
      </c>
      <c r="AQ969" t="n">
        <v>0</v>
      </c>
      <c r="AR969" t="inlineStr">
        <is>
          <t>No</t>
        </is>
      </c>
      <c r="AS969" t="inlineStr">
        <is>
          <t>Yes</t>
        </is>
      </c>
      <c r="AT969">
        <f>HYPERLINK("http://catalog.hathitrust.org/Record/004318777","HathiTrust Record")</f>
        <v/>
      </c>
      <c r="AU969">
        <f>HYPERLINK("https://creighton-primo.hosted.exlibrisgroup.com/primo-explore/search?tab=default_tab&amp;search_scope=EVERYTHING&amp;vid=01CRU&amp;lang=en_US&amp;offset=0&amp;query=any,contains,991000427869702656","Catalog Record")</f>
        <v/>
      </c>
      <c r="AV969">
        <f>HYPERLINK("http://www.worldcat.org/oclc/49991618","WorldCat Record")</f>
        <v/>
      </c>
    </row>
    <row r="970">
      <c r="D970" t="inlineStr">
        <is>
          <t>QT 18 C337 1994</t>
        </is>
      </c>
      <c r="E970" t="inlineStr">
        <is>
          <t>0                      QT 0018000C  337         1994</t>
        </is>
      </c>
      <c r="F970" t="inlineStr">
        <is>
          <t>Case studies in physiology / edited by Robert M. Berne, Matthew N. Levy.</t>
        </is>
      </c>
      <c r="H970" t="inlineStr">
        <is>
          <t>No</t>
        </is>
      </c>
      <c r="I970" t="inlineStr">
        <is>
          <t>1</t>
        </is>
      </c>
      <c r="J970" t="inlineStr">
        <is>
          <t>No</t>
        </is>
      </c>
      <c r="K970" t="inlineStr">
        <is>
          <t>No</t>
        </is>
      </c>
      <c r="L970" t="inlineStr">
        <is>
          <t>0</t>
        </is>
      </c>
      <c r="N970" t="inlineStr">
        <is>
          <t>St. Louis : Mosby, c1994.</t>
        </is>
      </c>
      <c r="O970" t="inlineStr">
        <is>
          <t>1994</t>
        </is>
      </c>
      <c r="P970" t="inlineStr">
        <is>
          <t>3rd ed.</t>
        </is>
      </c>
      <c r="Q970" t="inlineStr">
        <is>
          <t>eng</t>
        </is>
      </c>
      <c r="R970" t="inlineStr">
        <is>
          <t>mou</t>
        </is>
      </c>
      <c r="T970" t="inlineStr">
        <is>
          <t xml:space="preserve">QT </t>
        </is>
      </c>
      <c r="U970" t="n">
        <v>5</v>
      </c>
      <c r="V970" t="n">
        <v>5</v>
      </c>
      <c r="W970" t="inlineStr">
        <is>
          <t>2010-03-07</t>
        </is>
      </c>
      <c r="X970" t="inlineStr">
        <is>
          <t>2010-03-07</t>
        </is>
      </c>
      <c r="Y970" t="inlineStr">
        <is>
          <t>1998-09-01</t>
        </is>
      </c>
      <c r="Z970" t="inlineStr">
        <is>
          <t>1998-09-01</t>
        </is>
      </c>
      <c r="AA970" t="n">
        <v>107</v>
      </c>
      <c r="AB970" t="n">
        <v>60</v>
      </c>
      <c r="AC970" t="n">
        <v>66</v>
      </c>
      <c r="AD970" t="n">
        <v>1</v>
      </c>
      <c r="AE970" t="n">
        <v>1</v>
      </c>
      <c r="AF970" t="n">
        <v>0</v>
      </c>
      <c r="AG970" t="n">
        <v>0</v>
      </c>
      <c r="AH970" t="n">
        <v>0</v>
      </c>
      <c r="AI970" t="n">
        <v>0</v>
      </c>
      <c r="AJ970" t="n">
        <v>0</v>
      </c>
      <c r="AK970" t="n">
        <v>0</v>
      </c>
      <c r="AL970" t="n">
        <v>0</v>
      </c>
      <c r="AM970" t="n">
        <v>0</v>
      </c>
      <c r="AN970" t="n">
        <v>0</v>
      </c>
      <c r="AO970" t="n">
        <v>0</v>
      </c>
      <c r="AP970" t="n">
        <v>0</v>
      </c>
      <c r="AQ970" t="n">
        <v>0</v>
      </c>
      <c r="AR970" t="inlineStr">
        <is>
          <t>No</t>
        </is>
      </c>
      <c r="AS970" t="inlineStr">
        <is>
          <t>No</t>
        </is>
      </c>
      <c r="AU970">
        <f>HYPERLINK("https://creighton-primo.hosted.exlibrisgroup.com/primo-explore/search?tab=default_tab&amp;search_scope=EVERYTHING&amp;vid=01CRU&amp;lang=en_US&amp;offset=0&amp;query=any,contains,991001569429702656","Catalog Record")</f>
        <v/>
      </c>
      <c r="AV970">
        <f>HYPERLINK("http://www.worldcat.org/oclc/30637152","WorldCat Record")</f>
        <v/>
      </c>
    </row>
    <row r="971">
      <c r="D971" t="inlineStr">
        <is>
          <t>QT 18 J25p 1994</t>
        </is>
      </c>
      <c r="E971" t="inlineStr">
        <is>
          <t>0                      QT 0018000J  25p         1994</t>
        </is>
      </c>
      <c r="F971" t="inlineStr">
        <is>
          <t>Physiology : review for new national boards / Emma R. Jakoi, Ronald C. Bohn.</t>
        </is>
      </c>
      <c r="H971" t="inlineStr">
        <is>
          <t>No</t>
        </is>
      </c>
      <c r="I971" t="inlineStr">
        <is>
          <t>1</t>
        </is>
      </c>
      <c r="J971" t="inlineStr">
        <is>
          <t>No</t>
        </is>
      </c>
      <c r="K971" t="inlineStr">
        <is>
          <t>No</t>
        </is>
      </c>
      <c r="L971" t="inlineStr">
        <is>
          <t>0</t>
        </is>
      </c>
      <c r="M971" t="inlineStr">
        <is>
          <t>Jakoi, Emma R.</t>
        </is>
      </c>
      <c r="N971" t="inlineStr">
        <is>
          <t>Alexandria, VA : J&amp;S Pub. Co., c1994.</t>
        </is>
      </c>
      <c r="O971" t="inlineStr">
        <is>
          <t>1994</t>
        </is>
      </c>
      <c r="Q971" t="inlineStr">
        <is>
          <t>eng</t>
        </is>
      </c>
      <c r="R971" t="inlineStr">
        <is>
          <t>vau</t>
        </is>
      </c>
      <c r="T971" t="inlineStr">
        <is>
          <t xml:space="preserve">QT </t>
        </is>
      </c>
      <c r="U971" t="n">
        <v>36</v>
      </c>
      <c r="V971" t="n">
        <v>36</v>
      </c>
      <c r="W971" t="inlineStr">
        <is>
          <t>2010-03-07</t>
        </is>
      </c>
      <c r="X971" t="inlineStr">
        <is>
          <t>2010-03-07</t>
        </is>
      </c>
      <c r="Y971" t="inlineStr">
        <is>
          <t>1995-02-15</t>
        </is>
      </c>
      <c r="Z971" t="inlineStr">
        <is>
          <t>1995-02-15</t>
        </is>
      </c>
      <c r="AA971" t="n">
        <v>50</v>
      </c>
      <c r="AB971" t="n">
        <v>37</v>
      </c>
      <c r="AC971" t="n">
        <v>37</v>
      </c>
      <c r="AD971" t="n">
        <v>1</v>
      </c>
      <c r="AE971" t="n">
        <v>1</v>
      </c>
      <c r="AF971" t="n">
        <v>1</v>
      </c>
      <c r="AG971" t="n">
        <v>1</v>
      </c>
      <c r="AH971" t="n">
        <v>0</v>
      </c>
      <c r="AI971" t="n">
        <v>0</v>
      </c>
      <c r="AJ971" t="n">
        <v>1</v>
      </c>
      <c r="AK971" t="n">
        <v>1</v>
      </c>
      <c r="AL971" t="n">
        <v>0</v>
      </c>
      <c r="AM971" t="n">
        <v>0</v>
      </c>
      <c r="AN971" t="n">
        <v>0</v>
      </c>
      <c r="AO971" t="n">
        <v>0</v>
      </c>
      <c r="AP971" t="n">
        <v>0</v>
      </c>
      <c r="AQ971" t="n">
        <v>0</v>
      </c>
      <c r="AR971" t="inlineStr">
        <is>
          <t>No</t>
        </is>
      </c>
      <c r="AS971" t="inlineStr">
        <is>
          <t>No</t>
        </is>
      </c>
      <c r="AU971">
        <f>HYPERLINK("https://creighton-primo.hosted.exlibrisgroup.com/primo-explore/search?tab=default_tab&amp;search_scope=EVERYTHING&amp;vid=01CRU&amp;lang=en_US&amp;offset=0&amp;query=any,contains,991000688999702656","Catalog Record")</f>
        <v/>
      </c>
      <c r="AV971">
        <f>HYPERLINK("http://www.worldcat.org/oclc/31015327","WorldCat Record")</f>
        <v/>
      </c>
    </row>
    <row r="972">
      <c r="D972" t="inlineStr">
        <is>
          <t>QT 18 P578 1987</t>
        </is>
      </c>
      <c r="E972" t="inlineStr">
        <is>
          <t>0                      QT 0018000P  578         1987</t>
        </is>
      </c>
      <c r="F972" t="inlineStr">
        <is>
          <t>Physiology : a review with questions and explanations / Benjamin Hsu ... [et al.].</t>
        </is>
      </c>
      <c r="H972" t="inlineStr">
        <is>
          <t>No</t>
        </is>
      </c>
      <c r="I972" t="inlineStr">
        <is>
          <t>1</t>
        </is>
      </c>
      <c r="J972" t="inlineStr">
        <is>
          <t>No</t>
        </is>
      </c>
      <c r="K972" t="inlineStr">
        <is>
          <t>No</t>
        </is>
      </c>
      <c r="L972" t="inlineStr">
        <is>
          <t>0</t>
        </is>
      </c>
      <c r="N972" t="inlineStr">
        <is>
          <t>Boston : Little, Brown and Co., c1987.</t>
        </is>
      </c>
      <c r="O972" t="inlineStr">
        <is>
          <t>1987</t>
        </is>
      </c>
      <c r="P972" t="inlineStr">
        <is>
          <t>1st ed.</t>
        </is>
      </c>
      <c r="Q972" t="inlineStr">
        <is>
          <t>eng</t>
        </is>
      </c>
      <c r="R972" t="inlineStr">
        <is>
          <t>mau</t>
        </is>
      </c>
      <c r="S972" t="inlineStr">
        <is>
          <t>A Little, Brown review book</t>
        </is>
      </c>
      <c r="T972" t="inlineStr">
        <is>
          <t xml:space="preserve">QT </t>
        </is>
      </c>
      <c r="U972" t="n">
        <v>30</v>
      </c>
      <c r="V972" t="n">
        <v>30</v>
      </c>
      <c r="W972" t="inlineStr">
        <is>
          <t>2003-10-16</t>
        </is>
      </c>
      <c r="X972" t="inlineStr">
        <is>
          <t>2003-10-16</t>
        </is>
      </c>
      <c r="Y972" t="inlineStr">
        <is>
          <t>1989-02-23</t>
        </is>
      </c>
      <c r="Z972" t="inlineStr">
        <is>
          <t>1989-02-23</t>
        </is>
      </c>
      <c r="AA972" t="n">
        <v>74</v>
      </c>
      <c r="AB972" t="n">
        <v>52</v>
      </c>
      <c r="AC972" t="n">
        <v>52</v>
      </c>
      <c r="AD972" t="n">
        <v>1</v>
      </c>
      <c r="AE972" t="n">
        <v>1</v>
      </c>
      <c r="AF972" t="n">
        <v>1</v>
      </c>
      <c r="AG972" t="n">
        <v>1</v>
      </c>
      <c r="AH972" t="n">
        <v>0</v>
      </c>
      <c r="AI972" t="n">
        <v>0</v>
      </c>
      <c r="AJ972" t="n">
        <v>1</v>
      </c>
      <c r="AK972" t="n">
        <v>1</v>
      </c>
      <c r="AL972" t="n">
        <v>0</v>
      </c>
      <c r="AM972" t="n">
        <v>0</v>
      </c>
      <c r="AN972" t="n">
        <v>0</v>
      </c>
      <c r="AO972" t="n">
        <v>0</v>
      </c>
      <c r="AP972" t="n">
        <v>0</v>
      </c>
      <c r="AQ972" t="n">
        <v>0</v>
      </c>
      <c r="AR972" t="inlineStr">
        <is>
          <t>No</t>
        </is>
      </c>
      <c r="AS972" t="inlineStr">
        <is>
          <t>No</t>
        </is>
      </c>
      <c r="AU972">
        <f>HYPERLINK("https://creighton-primo.hosted.exlibrisgroup.com/primo-explore/search?tab=default_tab&amp;search_scope=EVERYTHING&amp;vid=01CRU&amp;lang=en_US&amp;offset=0&amp;query=any,contains,991001238899702656","Catalog Record")</f>
        <v/>
      </c>
      <c r="AV972">
        <f>HYPERLINK("http://www.worldcat.org/oclc/16941839","WorldCat Record")</f>
        <v/>
      </c>
    </row>
    <row r="973">
      <c r="D973" t="inlineStr">
        <is>
          <t>QT 18 P5784 1984</t>
        </is>
      </c>
      <c r="E973" t="inlineStr">
        <is>
          <t>0                      QT 0018000P  5784        1984</t>
        </is>
      </c>
      <c r="F973" t="inlineStr">
        <is>
          <t>Physiology / editors, John Bullock, Joseph Boyle III, Michael B. Wang ; associate editor, Robert R. Ajello.</t>
        </is>
      </c>
      <c r="H973" t="inlineStr">
        <is>
          <t>No</t>
        </is>
      </c>
      <c r="I973" t="inlineStr">
        <is>
          <t>1</t>
        </is>
      </c>
      <c r="J973" t="inlineStr">
        <is>
          <t>No</t>
        </is>
      </c>
      <c r="K973" t="inlineStr">
        <is>
          <t>No</t>
        </is>
      </c>
      <c r="L973" t="inlineStr">
        <is>
          <t>0</t>
        </is>
      </c>
      <c r="N973" t="inlineStr">
        <is>
          <t>New York : Wiley ; Media, Pa. : Harwal Pub. Co., c1984.</t>
        </is>
      </c>
      <c r="O973" t="inlineStr">
        <is>
          <t>1984</t>
        </is>
      </c>
      <c r="Q973" t="inlineStr">
        <is>
          <t>eng</t>
        </is>
      </c>
      <c r="R973" t="inlineStr">
        <is>
          <t>xxu</t>
        </is>
      </c>
      <c r="S973" t="inlineStr">
        <is>
          <t>The National medical series for independent study.</t>
        </is>
      </c>
      <c r="T973" t="inlineStr">
        <is>
          <t xml:space="preserve">QT </t>
        </is>
      </c>
      <c r="U973" t="n">
        <v>65</v>
      </c>
      <c r="V973" t="n">
        <v>65</v>
      </c>
      <c r="W973" t="inlineStr">
        <is>
          <t>2004-01-13</t>
        </is>
      </c>
      <c r="X973" t="inlineStr">
        <is>
          <t>2004-01-13</t>
        </is>
      </c>
      <c r="Y973" t="inlineStr">
        <is>
          <t>1989-02-23</t>
        </is>
      </c>
      <c r="Z973" t="inlineStr">
        <is>
          <t>1989-02-23</t>
        </is>
      </c>
      <c r="AA973" t="n">
        <v>162</v>
      </c>
      <c r="AB973" t="n">
        <v>113</v>
      </c>
      <c r="AC973" t="n">
        <v>265</v>
      </c>
      <c r="AD973" t="n">
        <v>2</v>
      </c>
      <c r="AE973" t="n">
        <v>2</v>
      </c>
      <c r="AF973" t="n">
        <v>6</v>
      </c>
      <c r="AG973" t="n">
        <v>12</v>
      </c>
      <c r="AH973" t="n">
        <v>2</v>
      </c>
      <c r="AI973" t="n">
        <v>3</v>
      </c>
      <c r="AJ973" t="n">
        <v>1</v>
      </c>
      <c r="AK973" t="n">
        <v>3</v>
      </c>
      <c r="AL973" t="n">
        <v>5</v>
      </c>
      <c r="AM973" t="n">
        <v>10</v>
      </c>
      <c r="AN973" t="n">
        <v>1</v>
      </c>
      <c r="AO973" t="n">
        <v>1</v>
      </c>
      <c r="AP973" t="n">
        <v>0</v>
      </c>
      <c r="AQ973" t="n">
        <v>0</v>
      </c>
      <c r="AR973" t="inlineStr">
        <is>
          <t>No</t>
        </is>
      </c>
      <c r="AS973" t="inlineStr">
        <is>
          <t>No</t>
        </is>
      </c>
      <c r="AU973">
        <f>HYPERLINK("https://creighton-primo.hosted.exlibrisgroup.com/primo-explore/search?tab=default_tab&amp;search_scope=EVERYTHING&amp;vid=01CRU&amp;lang=en_US&amp;offset=0&amp;query=any,contains,991001238869702656","Catalog Record")</f>
        <v/>
      </c>
      <c r="AV973">
        <f>HYPERLINK("http://www.worldcat.org/oclc/10695902","WorldCat Record")</f>
        <v/>
      </c>
    </row>
    <row r="974">
      <c r="D974" t="inlineStr">
        <is>
          <t>QT 18 P5785 1989</t>
        </is>
      </c>
      <c r="E974" t="inlineStr">
        <is>
          <t>0                      QT 0018000P  5785        1989</t>
        </is>
      </c>
      <c r="F974" t="inlineStr">
        <is>
          <t>Physiology / edited by Robert J. Person and Roger Thies ; with contributions by Robert C. Beesley ... [et al.].</t>
        </is>
      </c>
      <c r="H974" t="inlineStr">
        <is>
          <t>No</t>
        </is>
      </c>
      <c r="I974" t="inlineStr">
        <is>
          <t>1</t>
        </is>
      </c>
      <c r="J974" t="inlineStr">
        <is>
          <t>No</t>
        </is>
      </c>
      <c r="K974" t="inlineStr">
        <is>
          <t>Yes</t>
        </is>
      </c>
      <c r="L974" t="inlineStr">
        <is>
          <t>1</t>
        </is>
      </c>
      <c r="N974" t="inlineStr">
        <is>
          <t>New York : Springer-Verlag, c1989.</t>
        </is>
      </c>
      <c r="O974" t="inlineStr">
        <is>
          <t>1989</t>
        </is>
      </c>
      <c r="P974" t="inlineStr">
        <is>
          <t>2nd ed.</t>
        </is>
      </c>
      <c r="Q974" t="inlineStr">
        <is>
          <t>eng</t>
        </is>
      </c>
      <c r="R974" t="inlineStr">
        <is>
          <t>xxu</t>
        </is>
      </c>
      <c r="S974" t="inlineStr">
        <is>
          <t>Oklahoma notes</t>
        </is>
      </c>
      <c r="T974" t="inlineStr">
        <is>
          <t xml:space="preserve">QT </t>
        </is>
      </c>
      <c r="U974" t="n">
        <v>48</v>
      </c>
      <c r="V974" t="n">
        <v>48</v>
      </c>
      <c r="W974" t="inlineStr">
        <is>
          <t>2000-05-01</t>
        </is>
      </c>
      <c r="X974" t="inlineStr">
        <is>
          <t>2000-05-01</t>
        </is>
      </c>
      <c r="Y974" t="inlineStr">
        <is>
          <t>1990-01-23</t>
        </is>
      </c>
      <c r="Z974" t="inlineStr">
        <is>
          <t>1990-01-23</t>
        </is>
      </c>
      <c r="AA974" t="n">
        <v>71</v>
      </c>
      <c r="AB974" t="n">
        <v>49</v>
      </c>
      <c r="AC974" t="n">
        <v>205</v>
      </c>
      <c r="AD974" t="n">
        <v>1</v>
      </c>
      <c r="AE974" t="n">
        <v>2</v>
      </c>
      <c r="AF974" t="n">
        <v>0</v>
      </c>
      <c r="AG974" t="n">
        <v>6</v>
      </c>
      <c r="AH974" t="n">
        <v>0</v>
      </c>
      <c r="AI974" t="n">
        <v>2</v>
      </c>
      <c r="AJ974" t="n">
        <v>0</v>
      </c>
      <c r="AK974" t="n">
        <v>2</v>
      </c>
      <c r="AL974" t="n">
        <v>0</v>
      </c>
      <c r="AM974" t="n">
        <v>3</v>
      </c>
      <c r="AN974" t="n">
        <v>0</v>
      </c>
      <c r="AO974" t="n">
        <v>1</v>
      </c>
      <c r="AP974" t="n">
        <v>0</v>
      </c>
      <c r="AQ974" t="n">
        <v>0</v>
      </c>
      <c r="AR974" t="inlineStr">
        <is>
          <t>No</t>
        </is>
      </c>
      <c r="AS974" t="inlineStr">
        <is>
          <t>Yes</t>
        </is>
      </c>
      <c r="AT974">
        <f>HYPERLINK("http://catalog.hathitrust.org/Record/010377772","HathiTrust Record")</f>
        <v/>
      </c>
      <c r="AU974">
        <f>HYPERLINK("https://creighton-primo.hosted.exlibrisgroup.com/primo-explore/search?tab=default_tab&amp;search_scope=EVERYTHING&amp;vid=01CRU&amp;lang=en_US&amp;offset=0&amp;query=any,contains,991001386949702656","Catalog Record")</f>
        <v/>
      </c>
      <c r="AV974">
        <f>HYPERLINK("http://www.worldcat.org/oclc/19741611","WorldCat Record")</f>
        <v/>
      </c>
    </row>
    <row r="975">
      <c r="D975" t="inlineStr">
        <is>
          <t>QT 18 P5785 1992</t>
        </is>
      </c>
      <c r="E975" t="inlineStr">
        <is>
          <t>0                      QT 0018000P  5785        1992</t>
        </is>
      </c>
      <c r="F975" t="inlineStr">
        <is>
          <t>Physiology / edited by Roger Thies ; with contributions by Kirk W. Barron ... [et al.].</t>
        </is>
      </c>
      <c r="H975" t="inlineStr">
        <is>
          <t>No</t>
        </is>
      </c>
      <c r="I975" t="inlineStr">
        <is>
          <t>1</t>
        </is>
      </c>
      <c r="J975" t="inlineStr">
        <is>
          <t>No</t>
        </is>
      </c>
      <c r="K975" t="inlineStr">
        <is>
          <t>Yes</t>
        </is>
      </c>
      <c r="L975" t="inlineStr">
        <is>
          <t>1</t>
        </is>
      </c>
      <c r="N975" t="inlineStr">
        <is>
          <t>New York : Springer-Verlag, c1992.</t>
        </is>
      </c>
      <c r="O975" t="inlineStr">
        <is>
          <t>1992</t>
        </is>
      </c>
      <c r="P975" t="inlineStr">
        <is>
          <t>3rd ed.</t>
        </is>
      </c>
      <c r="Q975" t="inlineStr">
        <is>
          <t>eng</t>
        </is>
      </c>
      <c r="R975" t="inlineStr">
        <is>
          <t>nyu</t>
        </is>
      </c>
      <c r="S975" t="inlineStr">
        <is>
          <t>Oklahoma notes</t>
        </is>
      </c>
      <c r="T975" t="inlineStr">
        <is>
          <t xml:space="preserve">QT </t>
        </is>
      </c>
      <c r="U975" t="n">
        <v>17</v>
      </c>
      <c r="V975" t="n">
        <v>17</v>
      </c>
      <c r="W975" t="inlineStr">
        <is>
          <t>2009-02-09</t>
        </is>
      </c>
      <c r="X975" t="inlineStr">
        <is>
          <t>2009-02-09</t>
        </is>
      </c>
      <c r="Y975" t="inlineStr">
        <is>
          <t>1992-04-23</t>
        </is>
      </c>
      <c r="Z975" t="inlineStr">
        <is>
          <t>1992-04-23</t>
        </is>
      </c>
      <c r="AA975" t="n">
        <v>79</v>
      </c>
      <c r="AB975" t="n">
        <v>53</v>
      </c>
      <c r="AC975" t="n">
        <v>205</v>
      </c>
      <c r="AD975" t="n">
        <v>1</v>
      </c>
      <c r="AE975" t="n">
        <v>2</v>
      </c>
      <c r="AF975" t="n">
        <v>1</v>
      </c>
      <c r="AG975" t="n">
        <v>6</v>
      </c>
      <c r="AH975" t="n">
        <v>0</v>
      </c>
      <c r="AI975" t="n">
        <v>2</v>
      </c>
      <c r="AJ975" t="n">
        <v>1</v>
      </c>
      <c r="AK975" t="n">
        <v>2</v>
      </c>
      <c r="AL975" t="n">
        <v>1</v>
      </c>
      <c r="AM975" t="n">
        <v>3</v>
      </c>
      <c r="AN975" t="n">
        <v>0</v>
      </c>
      <c r="AO975" t="n">
        <v>1</v>
      </c>
      <c r="AP975" t="n">
        <v>0</v>
      </c>
      <c r="AQ975" t="n">
        <v>0</v>
      </c>
      <c r="AR975" t="inlineStr">
        <is>
          <t>No</t>
        </is>
      </c>
      <c r="AS975" t="inlineStr">
        <is>
          <t>No</t>
        </is>
      </c>
      <c r="AU975">
        <f>HYPERLINK("https://creighton-primo.hosted.exlibrisgroup.com/primo-explore/search?tab=default_tab&amp;search_scope=EVERYTHING&amp;vid=01CRU&amp;lang=en_US&amp;offset=0&amp;query=any,contains,991001302769702656","Catalog Record")</f>
        <v/>
      </c>
      <c r="AV975">
        <f>HYPERLINK("http://www.worldcat.org/oclc/25163544","WorldCat Record")</f>
        <v/>
      </c>
    </row>
    <row r="976">
      <c r="D976" t="inlineStr">
        <is>
          <t>QT 18.2 C838p 1995</t>
        </is>
      </c>
      <c r="E976" t="inlineStr">
        <is>
          <t>0                      QT 0018200C  838p        1995</t>
        </is>
      </c>
      <c r="F976" t="inlineStr">
        <is>
          <t>Physiology / Linda S. Costanzo.</t>
        </is>
      </c>
      <c r="H976" t="inlineStr">
        <is>
          <t>No</t>
        </is>
      </c>
      <c r="I976" t="inlineStr">
        <is>
          <t>1</t>
        </is>
      </c>
      <c r="J976" t="inlineStr">
        <is>
          <t>No</t>
        </is>
      </c>
      <c r="K976" t="inlineStr">
        <is>
          <t>Yes</t>
        </is>
      </c>
      <c r="L976" t="inlineStr">
        <is>
          <t>1</t>
        </is>
      </c>
      <c r="M976" t="inlineStr">
        <is>
          <t>Costanzo, Linda S., 1947-</t>
        </is>
      </c>
      <c r="N976" t="inlineStr">
        <is>
          <t>Philadelphia : Williams &amp; Wilkins, c1995.</t>
        </is>
      </c>
      <c r="O976" t="inlineStr">
        <is>
          <t>1995</t>
        </is>
      </c>
      <c r="Q976" t="inlineStr">
        <is>
          <t>eng</t>
        </is>
      </c>
      <c r="R976" t="inlineStr">
        <is>
          <t>pau</t>
        </is>
      </c>
      <c r="S976" t="inlineStr">
        <is>
          <t>Board review series</t>
        </is>
      </c>
      <c r="T976" t="inlineStr">
        <is>
          <t xml:space="preserve">QT </t>
        </is>
      </c>
      <c r="U976" t="n">
        <v>42</v>
      </c>
      <c r="V976" t="n">
        <v>42</v>
      </c>
      <c r="W976" t="inlineStr">
        <is>
          <t>2008-01-11</t>
        </is>
      </c>
      <c r="X976" t="inlineStr">
        <is>
          <t>2008-01-11</t>
        </is>
      </c>
      <c r="Y976" t="inlineStr">
        <is>
          <t>1999-11-05</t>
        </is>
      </c>
      <c r="Z976" t="inlineStr">
        <is>
          <t>1999-11-05</t>
        </is>
      </c>
      <c r="AA976" t="n">
        <v>94</v>
      </c>
      <c r="AB976" t="n">
        <v>68</v>
      </c>
      <c r="AC976" t="n">
        <v>620</v>
      </c>
      <c r="AD976" t="n">
        <v>1</v>
      </c>
      <c r="AE976" t="n">
        <v>3</v>
      </c>
      <c r="AF976" t="n">
        <v>6</v>
      </c>
      <c r="AG976" t="n">
        <v>17</v>
      </c>
      <c r="AH976" t="n">
        <v>0</v>
      </c>
      <c r="AI976" t="n">
        <v>4</v>
      </c>
      <c r="AJ976" t="n">
        <v>2</v>
      </c>
      <c r="AK976" t="n">
        <v>6</v>
      </c>
      <c r="AL976" t="n">
        <v>5</v>
      </c>
      <c r="AM976" t="n">
        <v>8</v>
      </c>
      <c r="AN976" t="n">
        <v>0</v>
      </c>
      <c r="AO976" t="n">
        <v>2</v>
      </c>
      <c r="AP976" t="n">
        <v>0</v>
      </c>
      <c r="AQ976" t="n">
        <v>0</v>
      </c>
      <c r="AR976" t="inlineStr">
        <is>
          <t>No</t>
        </is>
      </c>
      <c r="AS976" t="inlineStr">
        <is>
          <t>No</t>
        </is>
      </c>
      <c r="AU976">
        <f>HYPERLINK("https://creighton-primo.hosted.exlibrisgroup.com/primo-explore/search?tab=default_tab&amp;search_scope=EVERYTHING&amp;vid=01CRU&amp;lang=en_US&amp;offset=0&amp;query=any,contains,991000798219702656","Catalog Record")</f>
        <v/>
      </c>
      <c r="AV976">
        <f>HYPERLINK("http://www.worldcat.org/oclc/28749425","WorldCat Record")</f>
        <v/>
      </c>
    </row>
    <row r="977">
      <c r="D977" t="inlineStr">
        <is>
          <t>QT 18.2 S764 2005</t>
        </is>
      </c>
      <c r="E977" t="inlineStr">
        <is>
          <t>0                      QT 0018200S  764         2005</t>
        </is>
      </c>
      <c r="F977" t="inlineStr">
        <is>
          <t>Sports medicine : examination &amp; board review / edited by Francis G. O'Connor ... [et al.].</t>
        </is>
      </c>
      <c r="H977" t="inlineStr">
        <is>
          <t>No</t>
        </is>
      </c>
      <c r="I977" t="inlineStr">
        <is>
          <t>1</t>
        </is>
      </c>
      <c r="J977" t="inlineStr">
        <is>
          <t>No</t>
        </is>
      </c>
      <c r="K977" t="inlineStr">
        <is>
          <t>No</t>
        </is>
      </c>
      <c r="L977" t="inlineStr">
        <is>
          <t>0</t>
        </is>
      </c>
      <c r="N977" t="inlineStr">
        <is>
          <t>New York : McGraw-Hill, Medical Pub. Division, c2005.</t>
        </is>
      </c>
      <c r="O977" t="inlineStr">
        <is>
          <t>2005</t>
        </is>
      </c>
      <c r="Q977" t="inlineStr">
        <is>
          <t>eng</t>
        </is>
      </c>
      <c r="R977" t="inlineStr">
        <is>
          <t>nyu</t>
        </is>
      </c>
      <c r="S977" t="inlineStr">
        <is>
          <t>McGraw-Hill specialty board review</t>
        </is>
      </c>
      <c r="T977" t="inlineStr">
        <is>
          <t xml:space="preserve">QT </t>
        </is>
      </c>
      <c r="U977" t="n">
        <v>1</v>
      </c>
      <c r="V977" t="n">
        <v>1</v>
      </c>
      <c r="W977" t="inlineStr">
        <is>
          <t>2006-12-06</t>
        </is>
      </c>
      <c r="X977" t="inlineStr">
        <is>
          <t>2006-12-06</t>
        </is>
      </c>
      <c r="Y977" t="inlineStr">
        <is>
          <t>2005-07-14</t>
        </is>
      </c>
      <c r="Z977" t="inlineStr">
        <is>
          <t>2005-07-14</t>
        </is>
      </c>
      <c r="AA977" t="n">
        <v>54</v>
      </c>
      <c r="AB977" t="n">
        <v>37</v>
      </c>
      <c r="AC977" t="n">
        <v>513</v>
      </c>
      <c r="AD977" t="n">
        <v>1</v>
      </c>
      <c r="AE977" t="n">
        <v>16</v>
      </c>
      <c r="AF977" t="n">
        <v>1</v>
      </c>
      <c r="AG977" t="n">
        <v>17</v>
      </c>
      <c r="AH977" t="n">
        <v>0</v>
      </c>
      <c r="AI977" t="n">
        <v>4</v>
      </c>
      <c r="AJ977" t="n">
        <v>1</v>
      </c>
      <c r="AK977" t="n">
        <v>3</v>
      </c>
      <c r="AL977" t="n">
        <v>0</v>
      </c>
      <c r="AM977" t="n">
        <v>4</v>
      </c>
      <c r="AN977" t="n">
        <v>0</v>
      </c>
      <c r="AO977" t="n">
        <v>8</v>
      </c>
      <c r="AP977" t="n">
        <v>0</v>
      </c>
      <c r="AQ977" t="n">
        <v>0</v>
      </c>
      <c r="AR977" t="inlineStr">
        <is>
          <t>No</t>
        </is>
      </c>
      <c r="AS977" t="inlineStr">
        <is>
          <t>Yes</t>
        </is>
      </c>
      <c r="AT977">
        <f>HYPERLINK("http://catalog.hathitrust.org/Record/102036859","HathiTrust Record")</f>
        <v/>
      </c>
      <c r="AU977">
        <f>HYPERLINK("https://creighton-primo.hosted.exlibrisgroup.com/primo-explore/search?tab=default_tab&amp;search_scope=EVERYTHING&amp;vid=01CRU&amp;lang=en_US&amp;offset=0&amp;query=any,contains,991000441139702656","Catalog Record")</f>
        <v/>
      </c>
      <c r="AV977">
        <f>HYPERLINK("http://www.worldcat.org/oclc/55228202","WorldCat Record")</f>
        <v/>
      </c>
    </row>
    <row r="978">
      <c r="D978" t="inlineStr">
        <is>
          <t>QT 22 AA1 A512a 1994</t>
        </is>
      </c>
      <c r="E978" t="inlineStr">
        <is>
          <t>0                      QT 0022000AA 1                  A  512a        1994</t>
        </is>
      </c>
      <c r="F978" t="inlineStr">
        <is>
          <t>ACSM's 1994 directory of graduate programs in sports medicine and exercise science / American College of Sports Medicine.</t>
        </is>
      </c>
      <c r="H978" t="inlineStr">
        <is>
          <t>No</t>
        </is>
      </c>
      <c r="I978" t="inlineStr">
        <is>
          <t>1</t>
        </is>
      </c>
      <c r="J978" t="inlineStr">
        <is>
          <t>No</t>
        </is>
      </c>
      <c r="K978" t="inlineStr">
        <is>
          <t>No</t>
        </is>
      </c>
      <c r="L978" t="inlineStr">
        <is>
          <t>0</t>
        </is>
      </c>
      <c r="M978" t="inlineStr">
        <is>
          <t>American College of Sports Medicine.</t>
        </is>
      </c>
      <c r="N978" t="inlineStr">
        <is>
          <t>Indianapolis, Ind. : American College of Sports Medicine, c1994.</t>
        </is>
      </c>
      <c r="O978" t="inlineStr">
        <is>
          <t>1994</t>
        </is>
      </c>
      <c r="P978" t="inlineStr">
        <is>
          <t>5th ed.</t>
        </is>
      </c>
      <c r="Q978" t="inlineStr">
        <is>
          <t>eng</t>
        </is>
      </c>
      <c r="R978" t="inlineStr">
        <is>
          <t>inu</t>
        </is>
      </c>
      <c r="T978" t="inlineStr">
        <is>
          <t xml:space="preserve">QT </t>
        </is>
      </c>
      <c r="U978" t="n">
        <v>7</v>
      </c>
      <c r="V978" t="n">
        <v>7</v>
      </c>
      <c r="W978" t="inlineStr">
        <is>
          <t>1999-07-29</t>
        </is>
      </c>
      <c r="X978" t="inlineStr">
        <is>
          <t>1999-07-29</t>
        </is>
      </c>
      <c r="Y978" t="inlineStr">
        <is>
          <t>1994-02-09</t>
        </is>
      </c>
      <c r="Z978" t="inlineStr">
        <is>
          <t>1994-02-09</t>
        </is>
      </c>
      <c r="AA978" t="n">
        <v>2</v>
      </c>
      <c r="AB978" t="n">
        <v>2</v>
      </c>
      <c r="AC978" t="n">
        <v>2</v>
      </c>
      <c r="AD978" t="n">
        <v>1</v>
      </c>
      <c r="AE978" t="n">
        <v>1</v>
      </c>
      <c r="AF978" t="n">
        <v>0</v>
      </c>
      <c r="AG978" t="n">
        <v>0</v>
      </c>
      <c r="AH978" t="n">
        <v>0</v>
      </c>
      <c r="AI978" t="n">
        <v>0</v>
      </c>
      <c r="AJ978" t="n">
        <v>0</v>
      </c>
      <c r="AK978" t="n">
        <v>0</v>
      </c>
      <c r="AL978" t="n">
        <v>0</v>
      </c>
      <c r="AM978" t="n">
        <v>0</v>
      </c>
      <c r="AN978" t="n">
        <v>0</v>
      </c>
      <c r="AO978" t="n">
        <v>0</v>
      </c>
      <c r="AP978" t="n">
        <v>0</v>
      </c>
      <c r="AQ978" t="n">
        <v>0</v>
      </c>
      <c r="AR978" t="inlineStr">
        <is>
          <t>No</t>
        </is>
      </c>
      <c r="AS978" t="inlineStr">
        <is>
          <t>No</t>
        </is>
      </c>
      <c r="AU978">
        <f>HYPERLINK("https://creighton-primo.hosted.exlibrisgroup.com/primo-explore/search?tab=default_tab&amp;search_scope=EVERYTHING&amp;vid=01CRU&amp;lang=en_US&amp;offset=0&amp;query=any,contains,991000651709702656","Catalog Record")</f>
        <v/>
      </c>
      <c r="AV978">
        <f>HYPERLINK("http://www.worldcat.org/oclc/31401496","WorldCat Record")</f>
        <v/>
      </c>
    </row>
    <row r="979">
      <c r="D979" t="inlineStr">
        <is>
          <t>QT29 A6748s 2003</t>
        </is>
      </c>
      <c r="E979" t="inlineStr">
        <is>
          <t>0                      QT 0029000A  6748s       2003</t>
        </is>
      </c>
      <c r="F979" t="inlineStr">
        <is>
          <t>Sports medicine / Robert A. Arciero ; illustrator, Timothy E. Hengst.</t>
        </is>
      </c>
      <c r="H979" t="inlineStr">
        <is>
          <t>No</t>
        </is>
      </c>
      <c r="I979" t="inlineStr">
        <is>
          <t>1</t>
        </is>
      </c>
      <c r="J979" t="inlineStr">
        <is>
          <t>No</t>
        </is>
      </c>
      <c r="K979" t="inlineStr">
        <is>
          <t>No</t>
        </is>
      </c>
      <c r="L979" t="inlineStr">
        <is>
          <t>0</t>
        </is>
      </c>
      <c r="M979" t="inlineStr">
        <is>
          <t>Arciero, Robert A.</t>
        </is>
      </c>
      <c r="N979" t="inlineStr">
        <is>
          <t>New York : McGraw-Hill, Medical Pub. Division, c2004.</t>
        </is>
      </c>
      <c r="O979" t="inlineStr">
        <is>
          <t>2004</t>
        </is>
      </c>
      <c r="Q979" t="inlineStr">
        <is>
          <t>eng</t>
        </is>
      </c>
      <c r="R979" t="inlineStr">
        <is>
          <t>nyu</t>
        </is>
      </c>
      <c r="S979" t="inlineStr">
        <is>
          <t>Orthopaedic pocket procedures</t>
        </is>
      </c>
      <c r="T979" t="inlineStr">
        <is>
          <t xml:space="preserve">QT </t>
        </is>
      </c>
      <c r="U979" t="n">
        <v>2</v>
      </c>
      <c r="V979" t="n">
        <v>2</v>
      </c>
      <c r="W979" t="inlineStr">
        <is>
          <t>2004-09-20</t>
        </is>
      </c>
      <c r="X979" t="inlineStr">
        <is>
          <t>2004-09-20</t>
        </is>
      </c>
      <c r="Y979" t="inlineStr">
        <is>
          <t>2004-01-28</t>
        </is>
      </c>
      <c r="Z979" t="inlineStr">
        <is>
          <t>2004-01-28</t>
        </is>
      </c>
      <c r="AA979" t="n">
        <v>95</v>
      </c>
      <c r="AB979" t="n">
        <v>64</v>
      </c>
      <c r="AC979" t="n">
        <v>64</v>
      </c>
      <c r="AD979" t="n">
        <v>1</v>
      </c>
      <c r="AE979" t="n">
        <v>1</v>
      </c>
      <c r="AF979" t="n">
        <v>2</v>
      </c>
      <c r="AG979" t="n">
        <v>2</v>
      </c>
      <c r="AH979" t="n">
        <v>0</v>
      </c>
      <c r="AI979" t="n">
        <v>0</v>
      </c>
      <c r="AJ979" t="n">
        <v>2</v>
      </c>
      <c r="AK979" t="n">
        <v>2</v>
      </c>
      <c r="AL979" t="n">
        <v>1</v>
      </c>
      <c r="AM979" t="n">
        <v>1</v>
      </c>
      <c r="AN979" t="n">
        <v>0</v>
      </c>
      <c r="AO979" t="n">
        <v>0</v>
      </c>
      <c r="AP979" t="n">
        <v>0</v>
      </c>
      <c r="AQ979" t="n">
        <v>0</v>
      </c>
      <c r="AR979" t="inlineStr">
        <is>
          <t>No</t>
        </is>
      </c>
      <c r="AS979" t="inlineStr">
        <is>
          <t>No</t>
        </is>
      </c>
      <c r="AU979">
        <f>HYPERLINK("https://creighton-primo.hosted.exlibrisgroup.com/primo-explore/search?tab=default_tab&amp;search_scope=EVERYTHING&amp;vid=01CRU&amp;lang=en_US&amp;offset=0&amp;query=any,contains,991000364829702656","Catalog Record")</f>
        <v/>
      </c>
      <c r="AV979">
        <f>HYPERLINK("http://www.worldcat.org/oclc/51764236","WorldCat Record")</f>
        <v/>
      </c>
    </row>
    <row r="980">
      <c r="D980" t="inlineStr">
        <is>
          <t>QT 29 B615 1995</t>
        </is>
      </c>
      <c r="E980" t="inlineStr">
        <is>
          <t>0                      QT 0029000B  615         1995</t>
        </is>
      </c>
      <c r="F980" t="inlineStr">
        <is>
          <t>The biomedical engineering handbook / editor-in-chief, Joseph D. Bronzino.</t>
        </is>
      </c>
      <c r="H980" t="inlineStr">
        <is>
          <t>No</t>
        </is>
      </c>
      <c r="I980" t="inlineStr">
        <is>
          <t>1</t>
        </is>
      </c>
      <c r="J980" t="inlineStr">
        <is>
          <t>No</t>
        </is>
      </c>
      <c r="K980" t="inlineStr">
        <is>
          <t>No</t>
        </is>
      </c>
      <c r="L980" t="inlineStr">
        <is>
          <t>0</t>
        </is>
      </c>
      <c r="N980" t="inlineStr">
        <is>
          <t>Boca Raton : CRC Press, c1995.</t>
        </is>
      </c>
      <c r="O980" t="inlineStr">
        <is>
          <t>1995</t>
        </is>
      </c>
      <c r="Q980" t="inlineStr">
        <is>
          <t>eng</t>
        </is>
      </c>
      <c r="R980" t="inlineStr">
        <is>
          <t>flu</t>
        </is>
      </c>
      <c r="S980" t="inlineStr">
        <is>
          <t>The electrical engineering handbook series</t>
        </is>
      </c>
      <c r="T980" t="inlineStr">
        <is>
          <t xml:space="preserve">QT </t>
        </is>
      </c>
      <c r="U980" t="n">
        <v>16</v>
      </c>
      <c r="V980" t="n">
        <v>16</v>
      </c>
      <c r="W980" t="inlineStr">
        <is>
          <t>1999-04-29</t>
        </is>
      </c>
      <c r="X980" t="inlineStr">
        <is>
          <t>1999-04-29</t>
        </is>
      </c>
      <c r="Y980" t="inlineStr">
        <is>
          <t>1995-07-20</t>
        </is>
      </c>
      <c r="Z980" t="inlineStr">
        <is>
          <t>1995-07-20</t>
        </is>
      </c>
      <c r="AA980" t="n">
        <v>454</v>
      </c>
      <c r="AB980" t="n">
        <v>287</v>
      </c>
      <c r="AC980" t="n">
        <v>499</v>
      </c>
      <c r="AD980" t="n">
        <v>1</v>
      </c>
      <c r="AE980" t="n">
        <v>2</v>
      </c>
      <c r="AF980" t="n">
        <v>6</v>
      </c>
      <c r="AG980" t="n">
        <v>17</v>
      </c>
      <c r="AH980" t="n">
        <v>1</v>
      </c>
      <c r="AI980" t="n">
        <v>5</v>
      </c>
      <c r="AJ980" t="n">
        <v>4</v>
      </c>
      <c r="AK980" t="n">
        <v>5</v>
      </c>
      <c r="AL980" t="n">
        <v>4</v>
      </c>
      <c r="AM980" t="n">
        <v>9</v>
      </c>
      <c r="AN980" t="n">
        <v>0</v>
      </c>
      <c r="AO980" t="n">
        <v>1</v>
      </c>
      <c r="AP980" t="n">
        <v>0</v>
      </c>
      <c r="AQ980" t="n">
        <v>0</v>
      </c>
      <c r="AR980" t="inlineStr">
        <is>
          <t>No</t>
        </is>
      </c>
      <c r="AS980" t="inlineStr">
        <is>
          <t>Yes</t>
        </is>
      </c>
      <c r="AT980">
        <f>HYPERLINK("http://catalog.hathitrust.org/Record/002997745","HathiTrust Record")</f>
        <v/>
      </c>
      <c r="AU980">
        <f>HYPERLINK("https://creighton-primo.hosted.exlibrisgroup.com/primo-explore/search?tab=default_tab&amp;search_scope=EVERYTHING&amp;vid=01CRU&amp;lang=en_US&amp;offset=0&amp;query=any,contains,991001402799702656","Catalog Record")</f>
        <v/>
      </c>
      <c r="AV980">
        <f>HYPERLINK("http://www.worldcat.org/oclc/32052901","WorldCat Record")</f>
        <v/>
      </c>
    </row>
    <row r="981">
      <c r="D981" t="inlineStr">
        <is>
          <t>QT 29 S76387 2007</t>
        </is>
      </c>
      <c r="E981" t="inlineStr">
        <is>
          <t>0                      QT 0029000S  76387       2007</t>
        </is>
      </c>
      <c r="F981" t="inlineStr">
        <is>
          <t>Sports injuries sourcebook : basic consumer health information about sprains and strains, fractures, growth plate injuries, overtraining injuries, and injuries to the head, face, shoulders, elbows, hands, spinal column, knees, ankles, and feet ... / edited by Sandra J. Judd.</t>
        </is>
      </c>
      <c r="H981" t="inlineStr">
        <is>
          <t>No</t>
        </is>
      </c>
      <c r="I981" t="inlineStr">
        <is>
          <t>1</t>
        </is>
      </c>
      <c r="J981" t="inlineStr">
        <is>
          <t>No</t>
        </is>
      </c>
      <c r="K981" t="inlineStr">
        <is>
          <t>No</t>
        </is>
      </c>
      <c r="L981" t="inlineStr">
        <is>
          <t>0</t>
        </is>
      </c>
      <c r="N981" t="inlineStr">
        <is>
          <t>Detroit, MI : Omnigraphics, c2007.</t>
        </is>
      </c>
      <c r="O981" t="inlineStr">
        <is>
          <t>2007</t>
        </is>
      </c>
      <c r="P981" t="inlineStr">
        <is>
          <t>3rd ed.</t>
        </is>
      </c>
      <c r="Q981" t="inlineStr">
        <is>
          <t>eng</t>
        </is>
      </c>
      <c r="R981" t="inlineStr">
        <is>
          <t>miu</t>
        </is>
      </c>
      <c r="S981" t="inlineStr">
        <is>
          <t>Health reference series</t>
        </is>
      </c>
      <c r="T981" t="inlineStr">
        <is>
          <t xml:space="preserve">QT </t>
        </is>
      </c>
      <c r="U981" t="n">
        <v>1</v>
      </c>
      <c r="V981" t="n">
        <v>1</v>
      </c>
      <c r="W981" t="inlineStr">
        <is>
          <t>2009-07-21</t>
        </is>
      </c>
      <c r="X981" t="inlineStr">
        <is>
          <t>2009-07-21</t>
        </is>
      </c>
      <c r="Y981" t="inlineStr">
        <is>
          <t>2009-05-21</t>
        </is>
      </c>
      <c r="Z981" t="inlineStr">
        <is>
          <t>2009-05-21</t>
        </is>
      </c>
      <c r="AA981" t="n">
        <v>225</v>
      </c>
      <c r="AB981" t="n">
        <v>200</v>
      </c>
      <c r="AC981" t="n">
        <v>201</v>
      </c>
      <c r="AD981" t="n">
        <v>3</v>
      </c>
      <c r="AE981" t="n">
        <v>3</v>
      </c>
      <c r="AF981" t="n">
        <v>5</v>
      </c>
      <c r="AG981" t="n">
        <v>5</v>
      </c>
      <c r="AH981" t="n">
        <v>2</v>
      </c>
      <c r="AI981" t="n">
        <v>2</v>
      </c>
      <c r="AJ981" t="n">
        <v>0</v>
      </c>
      <c r="AK981" t="n">
        <v>0</v>
      </c>
      <c r="AL981" t="n">
        <v>1</v>
      </c>
      <c r="AM981" t="n">
        <v>1</v>
      </c>
      <c r="AN981" t="n">
        <v>2</v>
      </c>
      <c r="AO981" t="n">
        <v>2</v>
      </c>
      <c r="AP981" t="n">
        <v>0</v>
      </c>
      <c r="AQ981" t="n">
        <v>0</v>
      </c>
      <c r="AR981" t="inlineStr">
        <is>
          <t>No</t>
        </is>
      </c>
      <c r="AS981" t="inlineStr">
        <is>
          <t>Yes</t>
        </is>
      </c>
      <c r="AT981">
        <f>HYPERLINK("http://catalog.hathitrust.org/Record/005620735","HathiTrust Record")</f>
        <v/>
      </c>
      <c r="AU981">
        <f>HYPERLINK("https://creighton-primo.hosted.exlibrisgroup.com/primo-explore/search?tab=default_tab&amp;search_scope=EVERYTHING&amp;vid=01CRU&amp;lang=en_US&amp;offset=0&amp;query=any,contains,991001462669702656","Catalog Record")</f>
        <v/>
      </c>
      <c r="AV981">
        <f>HYPERLINK("http://www.worldcat.org/oclc/86117765","WorldCat Record")</f>
        <v/>
      </c>
    </row>
    <row r="982">
      <c r="D982" t="inlineStr">
        <is>
          <t>QT29 T253 2002</t>
        </is>
      </c>
      <c r="E982" t="inlineStr">
        <is>
          <t>0                      QT 0029000T  253         2002</t>
        </is>
      </c>
      <c r="F982" t="inlineStr">
        <is>
          <t>Team physician's handbook / [edited by] Morris B. Mellion ... [et al.].</t>
        </is>
      </c>
      <c r="H982" t="inlineStr">
        <is>
          <t>No</t>
        </is>
      </c>
      <c r="I982" t="inlineStr">
        <is>
          <t>1</t>
        </is>
      </c>
      <c r="J982" t="inlineStr">
        <is>
          <t>No</t>
        </is>
      </c>
      <c r="K982" t="inlineStr">
        <is>
          <t>No</t>
        </is>
      </c>
      <c r="L982" t="inlineStr">
        <is>
          <t>0</t>
        </is>
      </c>
      <c r="N982" t="inlineStr">
        <is>
          <t>Philadelphia : Hanley &amp; Belfus, c2002.</t>
        </is>
      </c>
      <c r="O982" t="inlineStr">
        <is>
          <t>2002</t>
        </is>
      </c>
      <c r="P982" t="inlineStr">
        <is>
          <t>3rd ed.</t>
        </is>
      </c>
      <c r="Q982" t="inlineStr">
        <is>
          <t>eng</t>
        </is>
      </c>
      <c r="R982" t="inlineStr">
        <is>
          <t>pau</t>
        </is>
      </c>
      <c r="T982" t="inlineStr">
        <is>
          <t xml:space="preserve">QT </t>
        </is>
      </c>
      <c r="U982" t="n">
        <v>2</v>
      </c>
      <c r="V982" t="n">
        <v>2</v>
      </c>
      <c r="W982" t="inlineStr">
        <is>
          <t>2009-02-23</t>
        </is>
      </c>
      <c r="X982" t="inlineStr">
        <is>
          <t>2009-02-23</t>
        </is>
      </c>
      <c r="Y982" t="inlineStr">
        <is>
          <t>2007-04-23</t>
        </is>
      </c>
      <c r="Z982" t="inlineStr">
        <is>
          <t>2007-04-23</t>
        </is>
      </c>
      <c r="AA982" t="n">
        <v>208</v>
      </c>
      <c r="AB982" t="n">
        <v>173</v>
      </c>
      <c r="AC982" t="n">
        <v>360</v>
      </c>
      <c r="AD982" t="n">
        <v>1</v>
      </c>
      <c r="AE982" t="n">
        <v>6</v>
      </c>
      <c r="AF982" t="n">
        <v>7</v>
      </c>
      <c r="AG982" t="n">
        <v>14</v>
      </c>
      <c r="AH982" t="n">
        <v>4</v>
      </c>
      <c r="AI982" t="n">
        <v>6</v>
      </c>
      <c r="AJ982" t="n">
        <v>3</v>
      </c>
      <c r="AK982" t="n">
        <v>4</v>
      </c>
      <c r="AL982" t="n">
        <v>3</v>
      </c>
      <c r="AM982" t="n">
        <v>3</v>
      </c>
      <c r="AN982" t="n">
        <v>0</v>
      </c>
      <c r="AO982" t="n">
        <v>5</v>
      </c>
      <c r="AP982" t="n">
        <v>0</v>
      </c>
      <c r="AQ982" t="n">
        <v>0</v>
      </c>
      <c r="AR982" t="inlineStr">
        <is>
          <t>No</t>
        </is>
      </c>
      <c r="AS982" t="inlineStr">
        <is>
          <t>Yes</t>
        </is>
      </c>
      <c r="AT982">
        <f>HYPERLINK("http://catalog.hathitrust.org/Record/004218771","HathiTrust Record")</f>
        <v/>
      </c>
      <c r="AU982">
        <f>HYPERLINK("https://creighton-primo.hosted.exlibrisgroup.com/primo-explore/search?tab=default_tab&amp;search_scope=EVERYTHING&amp;vid=01CRU&amp;lang=en_US&amp;offset=0&amp;query=any,contains,991000615189702656","Catalog Record")</f>
        <v/>
      </c>
      <c r="AV982">
        <f>HYPERLINK("http://www.worldcat.org/oclc/46970641","WorldCat Record")</f>
        <v/>
      </c>
    </row>
    <row r="983">
      <c r="D983" t="inlineStr">
        <is>
          <t>QT 34 B6159 1987</t>
        </is>
      </c>
      <c r="E983" t="inlineStr">
        <is>
          <t>0                      QT 0034000B  6159        1987</t>
        </is>
      </c>
      <c r="F983" t="inlineStr">
        <is>
          <t>Biotechnology in clinical medicine / editors, Alberto Albertini, Claude Lenfant, Rodolfo Paoletti.</t>
        </is>
      </c>
      <c r="H983" t="inlineStr">
        <is>
          <t>No</t>
        </is>
      </c>
      <c r="I983" t="inlineStr">
        <is>
          <t>1</t>
        </is>
      </c>
      <c r="J983" t="inlineStr">
        <is>
          <t>No</t>
        </is>
      </c>
      <c r="K983" t="inlineStr">
        <is>
          <t>No</t>
        </is>
      </c>
      <c r="L983" t="inlineStr">
        <is>
          <t>0</t>
        </is>
      </c>
      <c r="N983" t="inlineStr">
        <is>
          <t>New York : Raven Press, c1987.</t>
        </is>
      </c>
      <c r="O983" t="inlineStr">
        <is>
          <t>1987</t>
        </is>
      </c>
      <c r="Q983" t="inlineStr">
        <is>
          <t>eng</t>
        </is>
      </c>
      <c r="R983" t="inlineStr">
        <is>
          <t>xxu</t>
        </is>
      </c>
      <c r="T983" t="inlineStr">
        <is>
          <t xml:space="preserve">QT </t>
        </is>
      </c>
      <c r="U983" t="n">
        <v>6</v>
      </c>
      <c r="V983" t="n">
        <v>6</v>
      </c>
      <c r="W983" t="inlineStr">
        <is>
          <t>1995-06-20</t>
        </is>
      </c>
      <c r="X983" t="inlineStr">
        <is>
          <t>1995-06-20</t>
        </is>
      </c>
      <c r="Y983" t="inlineStr">
        <is>
          <t>1988-04-30</t>
        </is>
      </c>
      <c r="Z983" t="inlineStr">
        <is>
          <t>1988-04-30</t>
        </is>
      </c>
      <c r="AA983" t="n">
        <v>112</v>
      </c>
      <c r="AB983" t="n">
        <v>81</v>
      </c>
      <c r="AC983" t="n">
        <v>83</v>
      </c>
      <c r="AD983" t="n">
        <v>1</v>
      </c>
      <c r="AE983" t="n">
        <v>1</v>
      </c>
      <c r="AF983" t="n">
        <v>0</v>
      </c>
      <c r="AG983" t="n">
        <v>0</v>
      </c>
      <c r="AH983" t="n">
        <v>0</v>
      </c>
      <c r="AI983" t="n">
        <v>0</v>
      </c>
      <c r="AJ983" t="n">
        <v>0</v>
      </c>
      <c r="AK983" t="n">
        <v>0</v>
      </c>
      <c r="AL983" t="n">
        <v>0</v>
      </c>
      <c r="AM983" t="n">
        <v>0</v>
      </c>
      <c r="AN983" t="n">
        <v>0</v>
      </c>
      <c r="AO983" t="n">
        <v>0</v>
      </c>
      <c r="AP983" t="n">
        <v>0</v>
      </c>
      <c r="AQ983" t="n">
        <v>0</v>
      </c>
      <c r="AR983" t="inlineStr">
        <is>
          <t>No</t>
        </is>
      </c>
      <c r="AS983" t="inlineStr">
        <is>
          <t>Yes</t>
        </is>
      </c>
      <c r="AT983">
        <f>HYPERLINK("http://catalog.hathitrust.org/Record/000915616","HathiTrust Record")</f>
        <v/>
      </c>
      <c r="AU983">
        <f>HYPERLINK("https://creighton-primo.hosted.exlibrisgroup.com/primo-explore/search?tab=default_tab&amp;search_scope=EVERYTHING&amp;vid=01CRU&amp;lang=en_US&amp;offset=0&amp;query=any,contains,991000990109702656","Catalog Record")</f>
        <v/>
      </c>
      <c r="AV983">
        <f>HYPERLINK("http://www.worldcat.org/oclc/16714854","WorldCat Record")</f>
        <v/>
      </c>
    </row>
    <row r="984">
      <c r="D984" t="inlineStr">
        <is>
          <t>QT 34  B967i 1929</t>
        </is>
      </c>
      <c r="E984" t="inlineStr">
        <is>
          <t>0                      QT 0034000B  967i        1929</t>
        </is>
      </c>
      <c r="F984" t="inlineStr">
        <is>
          <t>An introduction to biophysics / With a foreword by Prof. D. Noël Paton.</t>
        </is>
      </c>
      <c r="H984" t="inlineStr">
        <is>
          <t>No</t>
        </is>
      </c>
      <c r="I984" t="inlineStr">
        <is>
          <t>1</t>
        </is>
      </c>
      <c r="J984" t="inlineStr">
        <is>
          <t>No</t>
        </is>
      </c>
      <c r="K984" t="inlineStr">
        <is>
          <t>No</t>
        </is>
      </c>
      <c r="L984" t="inlineStr">
        <is>
          <t>0</t>
        </is>
      </c>
      <c r="M984" t="inlineStr">
        <is>
          <t>Burns, David.</t>
        </is>
      </c>
      <c r="N984" t="inlineStr">
        <is>
          <t>New York : Macmillan, 1929.</t>
        </is>
      </c>
      <c r="O984" t="inlineStr">
        <is>
          <t>1929</t>
        </is>
      </c>
      <c r="P984" t="inlineStr">
        <is>
          <t>2nd ed. With 116 illustrations.</t>
        </is>
      </c>
      <c r="Q984" t="inlineStr">
        <is>
          <t>eng</t>
        </is>
      </c>
      <c r="R984" t="inlineStr">
        <is>
          <t xml:space="preserve">xx </t>
        </is>
      </c>
      <c r="T984" t="inlineStr">
        <is>
          <t xml:space="preserve">QT </t>
        </is>
      </c>
      <c r="U984" t="n">
        <v>5</v>
      </c>
      <c r="V984" t="n">
        <v>5</v>
      </c>
      <c r="W984" t="inlineStr">
        <is>
          <t>1995-09-25</t>
        </is>
      </c>
      <c r="X984" t="inlineStr">
        <is>
          <t>1995-09-25</t>
        </is>
      </c>
      <c r="Y984" t="inlineStr">
        <is>
          <t>1988-02-29</t>
        </is>
      </c>
      <c r="Z984" t="inlineStr">
        <is>
          <t>1988-02-29</t>
        </is>
      </c>
      <c r="AA984" t="n">
        <v>55</v>
      </c>
      <c r="AB984" t="n">
        <v>54</v>
      </c>
      <c r="AC984" t="n">
        <v>161</v>
      </c>
      <c r="AD984" t="n">
        <v>1</v>
      </c>
      <c r="AE984" t="n">
        <v>2</v>
      </c>
      <c r="AF984" t="n">
        <v>1</v>
      </c>
      <c r="AG984" t="n">
        <v>4</v>
      </c>
      <c r="AH984" t="n">
        <v>0</v>
      </c>
      <c r="AI984" t="n">
        <v>0</v>
      </c>
      <c r="AJ984" t="n">
        <v>0</v>
      </c>
      <c r="AK984" t="n">
        <v>0</v>
      </c>
      <c r="AL984" t="n">
        <v>1</v>
      </c>
      <c r="AM984" t="n">
        <v>3</v>
      </c>
      <c r="AN984" t="n">
        <v>0</v>
      </c>
      <c r="AO984" t="n">
        <v>1</v>
      </c>
      <c r="AP984" t="n">
        <v>0</v>
      </c>
      <c r="AQ984" t="n">
        <v>0</v>
      </c>
      <c r="AR984" t="inlineStr">
        <is>
          <t>No</t>
        </is>
      </c>
      <c r="AS984" t="inlineStr">
        <is>
          <t>Yes</t>
        </is>
      </c>
      <c r="AT984">
        <f>HYPERLINK("http://catalog.hathitrust.org/Record/006153959","HathiTrust Record")</f>
        <v/>
      </c>
      <c r="AU984">
        <f>HYPERLINK("https://creighton-primo.hosted.exlibrisgroup.com/primo-explore/search?tab=default_tab&amp;search_scope=EVERYTHING&amp;vid=01CRU&amp;lang=en_US&amp;offset=0&amp;query=any,contains,991000799479702656","Catalog Record")</f>
        <v/>
      </c>
      <c r="AV984">
        <f>HYPERLINK("http://www.worldcat.org/oclc/1014513","WorldCat Record")</f>
        <v/>
      </c>
    </row>
    <row r="985">
      <c r="D985" t="inlineStr">
        <is>
          <t>QT 34 E38 1985</t>
        </is>
      </c>
      <c r="E985" t="inlineStr">
        <is>
          <t>0                      QT 0034000E  38          1985</t>
        </is>
      </c>
      <c r="F985" t="inlineStr">
        <is>
          <t>Electronic devices for rehabilitation / edited by John G. Webster ... [et al.].</t>
        </is>
      </c>
      <c r="H985" t="inlineStr">
        <is>
          <t>No</t>
        </is>
      </c>
      <c r="I985" t="inlineStr">
        <is>
          <t>1</t>
        </is>
      </c>
      <c r="J985" t="inlineStr">
        <is>
          <t>No</t>
        </is>
      </c>
      <c r="K985" t="inlineStr">
        <is>
          <t>No</t>
        </is>
      </c>
      <c r="L985" t="inlineStr">
        <is>
          <t>0</t>
        </is>
      </c>
      <c r="N985" t="inlineStr">
        <is>
          <t>New York : Wiley, c1985.</t>
        </is>
      </c>
      <c r="O985" t="inlineStr">
        <is>
          <t>1985</t>
        </is>
      </c>
      <c r="Q985" t="inlineStr">
        <is>
          <t>eng</t>
        </is>
      </c>
      <c r="R985" t="inlineStr">
        <is>
          <t>nyu</t>
        </is>
      </c>
      <c r="S985" t="inlineStr">
        <is>
          <t>A Wiley medical publication</t>
        </is>
      </c>
      <c r="T985" t="inlineStr">
        <is>
          <t xml:space="preserve">QT </t>
        </is>
      </c>
      <c r="U985" t="n">
        <v>1</v>
      </c>
      <c r="V985" t="n">
        <v>1</v>
      </c>
      <c r="W985" t="inlineStr">
        <is>
          <t>1992-07-17</t>
        </is>
      </c>
      <c r="X985" t="inlineStr">
        <is>
          <t>1992-07-17</t>
        </is>
      </c>
      <c r="Y985" t="inlineStr">
        <is>
          <t>1988-01-18</t>
        </is>
      </c>
      <c r="Z985" t="inlineStr">
        <is>
          <t>1988-01-18</t>
        </is>
      </c>
      <c r="AA985" t="n">
        <v>205</v>
      </c>
      <c r="AB985" t="n">
        <v>190</v>
      </c>
      <c r="AC985" t="n">
        <v>211</v>
      </c>
      <c r="AD985" t="n">
        <v>2</v>
      </c>
      <c r="AE985" t="n">
        <v>2</v>
      </c>
      <c r="AF985" t="n">
        <v>9</v>
      </c>
      <c r="AG985" t="n">
        <v>9</v>
      </c>
      <c r="AH985" t="n">
        <v>4</v>
      </c>
      <c r="AI985" t="n">
        <v>4</v>
      </c>
      <c r="AJ985" t="n">
        <v>2</v>
      </c>
      <c r="AK985" t="n">
        <v>2</v>
      </c>
      <c r="AL985" t="n">
        <v>5</v>
      </c>
      <c r="AM985" t="n">
        <v>5</v>
      </c>
      <c r="AN985" t="n">
        <v>1</v>
      </c>
      <c r="AO985" t="n">
        <v>1</v>
      </c>
      <c r="AP985" t="n">
        <v>0</v>
      </c>
      <c r="AQ985" t="n">
        <v>0</v>
      </c>
      <c r="AR985" t="inlineStr">
        <is>
          <t>No</t>
        </is>
      </c>
      <c r="AS985" t="inlineStr">
        <is>
          <t>Yes</t>
        </is>
      </c>
      <c r="AT985">
        <f>HYPERLINK("http://catalog.hathitrust.org/Record/000367519","HathiTrust Record")</f>
        <v/>
      </c>
      <c r="AU985">
        <f>HYPERLINK("https://creighton-primo.hosted.exlibrisgroup.com/primo-explore/search?tab=default_tab&amp;search_scope=EVERYTHING&amp;vid=01CRU&amp;lang=en_US&amp;offset=0&amp;query=any,contains,991000799749702656","Catalog Record")</f>
        <v/>
      </c>
      <c r="AV985">
        <f>HYPERLINK("http://www.worldcat.org/oclc/10948236","WorldCat Record")</f>
        <v/>
      </c>
    </row>
    <row r="986">
      <c r="D986" t="inlineStr">
        <is>
          <t>QT 34 G295p 1989</t>
        </is>
      </c>
      <c r="E986" t="inlineStr">
        <is>
          <t>0                      QT 0034000G  295p        1989</t>
        </is>
      </c>
      <c r="F986" t="inlineStr">
        <is>
          <t>Principles of applied biomedical instrumentation / L.A. Geddes, L.E. Baker.</t>
        </is>
      </c>
      <c r="H986" t="inlineStr">
        <is>
          <t>No</t>
        </is>
      </c>
      <c r="I986" t="inlineStr">
        <is>
          <t>1</t>
        </is>
      </c>
      <c r="J986" t="inlineStr">
        <is>
          <t>No</t>
        </is>
      </c>
      <c r="K986" t="inlineStr">
        <is>
          <t>Yes</t>
        </is>
      </c>
      <c r="L986" t="inlineStr">
        <is>
          <t>0</t>
        </is>
      </c>
      <c r="M986" t="inlineStr">
        <is>
          <t>Geddes, L. A. (Leslie Alexander), 1921-</t>
        </is>
      </c>
      <c r="N986" t="inlineStr">
        <is>
          <t>New York : Wiley, c1989.</t>
        </is>
      </c>
      <c r="O986" t="inlineStr">
        <is>
          <t>1989</t>
        </is>
      </c>
      <c r="P986" t="inlineStr">
        <is>
          <t>3rd ed.</t>
        </is>
      </c>
      <c r="Q986" t="inlineStr">
        <is>
          <t>eng</t>
        </is>
      </c>
      <c r="R986" t="inlineStr">
        <is>
          <t>nyu</t>
        </is>
      </c>
      <c r="T986" t="inlineStr">
        <is>
          <t xml:space="preserve">QT </t>
        </is>
      </c>
      <c r="U986" t="n">
        <v>12</v>
      </c>
      <c r="V986" t="n">
        <v>12</v>
      </c>
      <c r="W986" t="inlineStr">
        <is>
          <t>1997-11-04</t>
        </is>
      </c>
      <c r="X986" t="inlineStr">
        <is>
          <t>1997-11-04</t>
        </is>
      </c>
      <c r="Y986" t="inlineStr">
        <is>
          <t>1992-04-27</t>
        </is>
      </c>
      <c r="Z986" t="inlineStr">
        <is>
          <t>1992-04-27</t>
        </is>
      </c>
      <c r="AA986" t="n">
        <v>273</v>
      </c>
      <c r="AB986" t="n">
        <v>167</v>
      </c>
      <c r="AC986" t="n">
        <v>523</v>
      </c>
      <c r="AD986" t="n">
        <v>1</v>
      </c>
      <c r="AE986" t="n">
        <v>4</v>
      </c>
      <c r="AF986" t="n">
        <v>5</v>
      </c>
      <c r="AG986" t="n">
        <v>14</v>
      </c>
      <c r="AH986" t="n">
        <v>1</v>
      </c>
      <c r="AI986" t="n">
        <v>3</v>
      </c>
      <c r="AJ986" t="n">
        <v>3</v>
      </c>
      <c r="AK986" t="n">
        <v>5</v>
      </c>
      <c r="AL986" t="n">
        <v>2</v>
      </c>
      <c r="AM986" t="n">
        <v>8</v>
      </c>
      <c r="AN986" t="n">
        <v>0</v>
      </c>
      <c r="AO986" t="n">
        <v>2</v>
      </c>
      <c r="AP986" t="n">
        <v>0</v>
      </c>
      <c r="AQ986" t="n">
        <v>0</v>
      </c>
      <c r="AR986" t="inlineStr">
        <is>
          <t>No</t>
        </is>
      </c>
      <c r="AS986" t="inlineStr">
        <is>
          <t>Yes</t>
        </is>
      </c>
      <c r="AT986">
        <f>HYPERLINK("http://catalog.hathitrust.org/Record/001536918","HathiTrust Record")</f>
        <v/>
      </c>
      <c r="AU986">
        <f>HYPERLINK("https://creighton-primo.hosted.exlibrisgroup.com/primo-explore/search?tab=default_tab&amp;search_scope=EVERYTHING&amp;vid=01CRU&amp;lang=en_US&amp;offset=0&amp;query=any,contains,991001299679702656","Catalog Record")</f>
        <v/>
      </c>
      <c r="AV986">
        <f>HYPERLINK("http://www.worldcat.org/oclc/18557129","WorldCat Record")</f>
        <v/>
      </c>
    </row>
    <row r="987">
      <c r="D987" t="inlineStr">
        <is>
          <t>QT 34 H236 1986</t>
        </is>
      </c>
      <c r="E987" t="inlineStr">
        <is>
          <t>0                      QT 0034000H  236         1986</t>
        </is>
      </c>
      <c r="F987" t="inlineStr">
        <is>
          <t>Handbook of biomaterials evaluation : scientific, technical, and clinical testing of implant materials / editor, Andreas F. von Recum ; section editors, Robert E. Baier ... [et al.].</t>
        </is>
      </c>
      <c r="H987" t="inlineStr">
        <is>
          <t>No</t>
        </is>
      </c>
      <c r="I987" t="inlineStr">
        <is>
          <t>1</t>
        </is>
      </c>
      <c r="J987" t="inlineStr">
        <is>
          <t>No</t>
        </is>
      </c>
      <c r="K987" t="inlineStr">
        <is>
          <t>No</t>
        </is>
      </c>
      <c r="L987" t="inlineStr">
        <is>
          <t>0</t>
        </is>
      </c>
      <c r="N987" t="inlineStr">
        <is>
          <t>New York : Macmillan, c1986.</t>
        </is>
      </c>
      <c r="O987" t="inlineStr">
        <is>
          <t>1986</t>
        </is>
      </c>
      <c r="Q987" t="inlineStr">
        <is>
          <t>eng</t>
        </is>
      </c>
      <c r="R987" t="inlineStr">
        <is>
          <t>xxu</t>
        </is>
      </c>
      <c r="T987" t="inlineStr">
        <is>
          <t xml:space="preserve">QT </t>
        </is>
      </c>
      <c r="U987" t="n">
        <v>4</v>
      </c>
      <c r="V987" t="n">
        <v>4</v>
      </c>
      <c r="W987" t="inlineStr">
        <is>
          <t>2001-06-19</t>
        </is>
      </c>
      <c r="X987" t="inlineStr">
        <is>
          <t>2001-06-19</t>
        </is>
      </c>
      <c r="Y987" t="inlineStr">
        <is>
          <t>1988-01-18</t>
        </is>
      </c>
      <c r="Z987" t="inlineStr">
        <is>
          <t>1988-01-18</t>
        </is>
      </c>
      <c r="AA987" t="n">
        <v>133</v>
      </c>
      <c r="AB987" t="n">
        <v>100</v>
      </c>
      <c r="AC987" t="n">
        <v>157</v>
      </c>
      <c r="AD987" t="n">
        <v>2</v>
      </c>
      <c r="AE987" t="n">
        <v>2</v>
      </c>
      <c r="AF987" t="n">
        <v>3</v>
      </c>
      <c r="AG987" t="n">
        <v>4</v>
      </c>
      <c r="AH987" t="n">
        <v>0</v>
      </c>
      <c r="AI987" t="n">
        <v>0</v>
      </c>
      <c r="AJ987" t="n">
        <v>2</v>
      </c>
      <c r="AK987" t="n">
        <v>2</v>
      </c>
      <c r="AL987" t="n">
        <v>1</v>
      </c>
      <c r="AM987" t="n">
        <v>2</v>
      </c>
      <c r="AN987" t="n">
        <v>1</v>
      </c>
      <c r="AO987" t="n">
        <v>1</v>
      </c>
      <c r="AP987" t="n">
        <v>0</v>
      </c>
      <c r="AQ987" t="n">
        <v>0</v>
      </c>
      <c r="AR987" t="inlineStr">
        <is>
          <t>No</t>
        </is>
      </c>
      <c r="AS987" t="inlineStr">
        <is>
          <t>Yes</t>
        </is>
      </c>
      <c r="AT987">
        <f>HYPERLINK("http://catalog.hathitrust.org/Record/000819304","HathiTrust Record")</f>
        <v/>
      </c>
      <c r="AU987">
        <f>HYPERLINK("https://creighton-primo.hosted.exlibrisgroup.com/primo-explore/search?tab=default_tab&amp;search_scope=EVERYTHING&amp;vid=01CRU&amp;lang=en_US&amp;offset=0&amp;query=any,contains,991001268219702656","Catalog Record")</f>
        <v/>
      </c>
      <c r="AV987">
        <f>HYPERLINK("http://www.worldcat.org/oclc/13268890","WorldCat Record")</f>
        <v/>
      </c>
    </row>
    <row r="988">
      <c r="D988" t="inlineStr">
        <is>
          <t>QT 34 H456u 1995</t>
        </is>
      </c>
      <c r="E988" t="inlineStr">
        <is>
          <t>0                      QT 0034000H  456u        1995</t>
        </is>
      </c>
      <c r="F988" t="inlineStr">
        <is>
          <t>Ultrasound physics and instrumentation / Wayne R. Hedrick, David L. Hykes, Dale E. Starchman.</t>
        </is>
      </c>
      <c r="H988" t="inlineStr">
        <is>
          <t>No</t>
        </is>
      </c>
      <c r="I988" t="inlineStr">
        <is>
          <t>1</t>
        </is>
      </c>
      <c r="J988" t="inlineStr">
        <is>
          <t>No</t>
        </is>
      </c>
      <c r="K988" t="inlineStr">
        <is>
          <t>No</t>
        </is>
      </c>
      <c r="L988" t="inlineStr">
        <is>
          <t>0</t>
        </is>
      </c>
      <c r="M988" t="inlineStr">
        <is>
          <t>Hedrick, Wayne R.</t>
        </is>
      </c>
      <c r="N988" t="inlineStr">
        <is>
          <t>St. Louis : Mosby, c1995.</t>
        </is>
      </c>
      <c r="O988" t="inlineStr">
        <is>
          <t>1995</t>
        </is>
      </c>
      <c r="P988" t="inlineStr">
        <is>
          <t>3rd ed.</t>
        </is>
      </c>
      <c r="Q988" t="inlineStr">
        <is>
          <t>eng</t>
        </is>
      </c>
      <c r="R988" t="inlineStr">
        <is>
          <t>mou</t>
        </is>
      </c>
      <c r="T988" t="inlineStr">
        <is>
          <t xml:space="preserve">QT </t>
        </is>
      </c>
      <c r="U988" t="n">
        <v>25</v>
      </c>
      <c r="V988" t="n">
        <v>25</v>
      </c>
      <c r="W988" t="inlineStr">
        <is>
          <t>2003-12-08</t>
        </is>
      </c>
      <c r="X988" t="inlineStr">
        <is>
          <t>2003-12-08</t>
        </is>
      </c>
      <c r="Y988" t="inlineStr">
        <is>
          <t>1995-02-20</t>
        </is>
      </c>
      <c r="Z988" t="inlineStr">
        <is>
          <t>1995-02-20</t>
        </is>
      </c>
      <c r="AA988" t="n">
        <v>167</v>
      </c>
      <c r="AB988" t="n">
        <v>110</v>
      </c>
      <c r="AC988" t="n">
        <v>270</v>
      </c>
      <c r="AD988" t="n">
        <v>1</v>
      </c>
      <c r="AE988" t="n">
        <v>1</v>
      </c>
      <c r="AF988" t="n">
        <v>1</v>
      </c>
      <c r="AG988" t="n">
        <v>3</v>
      </c>
      <c r="AH988" t="n">
        <v>0</v>
      </c>
      <c r="AI988" t="n">
        <v>0</v>
      </c>
      <c r="AJ988" t="n">
        <v>1</v>
      </c>
      <c r="AK988" t="n">
        <v>1</v>
      </c>
      <c r="AL988" t="n">
        <v>0</v>
      </c>
      <c r="AM988" t="n">
        <v>2</v>
      </c>
      <c r="AN988" t="n">
        <v>0</v>
      </c>
      <c r="AO988" t="n">
        <v>0</v>
      </c>
      <c r="AP988" t="n">
        <v>0</v>
      </c>
      <c r="AQ988" t="n">
        <v>0</v>
      </c>
      <c r="AR988" t="inlineStr">
        <is>
          <t>No</t>
        </is>
      </c>
      <c r="AS988" t="inlineStr">
        <is>
          <t>Yes</t>
        </is>
      </c>
      <c r="AT988">
        <f>HYPERLINK("http://catalog.hathitrust.org/Record/002887601","HathiTrust Record")</f>
        <v/>
      </c>
      <c r="AU988">
        <f>HYPERLINK("https://creighton-primo.hosted.exlibrisgroup.com/primo-explore/search?tab=default_tab&amp;search_scope=EVERYTHING&amp;vid=01CRU&amp;lang=en_US&amp;offset=0&amp;query=any,contains,991001395489702656","Catalog Record")</f>
        <v/>
      </c>
      <c r="AV988">
        <f>HYPERLINK("http://www.worldcat.org/oclc/30700472","WorldCat Record")</f>
        <v/>
      </c>
    </row>
    <row r="989">
      <c r="D989" t="inlineStr">
        <is>
          <t>QT 34 I348 1994</t>
        </is>
      </c>
      <c r="E989" t="inlineStr">
        <is>
          <t>0                      QT 0034000I  348         1994</t>
        </is>
      </c>
      <c r="F989" t="inlineStr">
        <is>
          <t>Implantation biology : the host response and biomedical devices / edited by Ralph S. Greco.</t>
        </is>
      </c>
      <c r="H989" t="inlineStr">
        <is>
          <t>No</t>
        </is>
      </c>
      <c r="I989" t="inlineStr">
        <is>
          <t>1</t>
        </is>
      </c>
      <c r="J989" t="inlineStr">
        <is>
          <t>No</t>
        </is>
      </c>
      <c r="K989" t="inlineStr">
        <is>
          <t>No</t>
        </is>
      </c>
      <c r="L989" t="inlineStr">
        <is>
          <t>0</t>
        </is>
      </c>
      <c r="N989" t="inlineStr">
        <is>
          <t>Boca Raton : CRC Press, c1994.</t>
        </is>
      </c>
      <c r="O989" t="inlineStr">
        <is>
          <t>1994</t>
        </is>
      </c>
      <c r="Q989" t="inlineStr">
        <is>
          <t>eng</t>
        </is>
      </c>
      <c r="R989" t="inlineStr">
        <is>
          <t>flu</t>
        </is>
      </c>
      <c r="T989" t="inlineStr">
        <is>
          <t xml:space="preserve">QT </t>
        </is>
      </c>
      <c r="U989" t="n">
        <v>6</v>
      </c>
      <c r="V989" t="n">
        <v>6</v>
      </c>
      <c r="W989" t="inlineStr">
        <is>
          <t>1998-11-09</t>
        </is>
      </c>
      <c r="X989" t="inlineStr">
        <is>
          <t>1998-11-09</t>
        </is>
      </c>
      <c r="Y989" t="inlineStr">
        <is>
          <t>1995-02-20</t>
        </is>
      </c>
      <c r="Z989" t="inlineStr">
        <is>
          <t>1995-02-20</t>
        </is>
      </c>
      <c r="AA989" t="n">
        <v>131</v>
      </c>
      <c r="AB989" t="n">
        <v>91</v>
      </c>
      <c r="AC989" t="n">
        <v>98</v>
      </c>
      <c r="AD989" t="n">
        <v>1</v>
      </c>
      <c r="AE989" t="n">
        <v>1</v>
      </c>
      <c r="AF989" t="n">
        <v>3</v>
      </c>
      <c r="AG989" t="n">
        <v>3</v>
      </c>
      <c r="AH989" t="n">
        <v>0</v>
      </c>
      <c r="AI989" t="n">
        <v>0</v>
      </c>
      <c r="AJ989" t="n">
        <v>1</v>
      </c>
      <c r="AK989" t="n">
        <v>1</v>
      </c>
      <c r="AL989" t="n">
        <v>3</v>
      </c>
      <c r="AM989" t="n">
        <v>3</v>
      </c>
      <c r="AN989" t="n">
        <v>0</v>
      </c>
      <c r="AO989" t="n">
        <v>0</v>
      </c>
      <c r="AP989" t="n">
        <v>0</v>
      </c>
      <c r="AQ989" t="n">
        <v>0</v>
      </c>
      <c r="AR989" t="inlineStr">
        <is>
          <t>No</t>
        </is>
      </c>
      <c r="AS989" t="inlineStr">
        <is>
          <t>Yes</t>
        </is>
      </c>
      <c r="AT989">
        <f>HYPERLINK("http://catalog.hathitrust.org/Record/002865281","HathiTrust Record")</f>
        <v/>
      </c>
      <c r="AU989">
        <f>HYPERLINK("https://creighton-primo.hosted.exlibrisgroup.com/primo-explore/search?tab=default_tab&amp;search_scope=EVERYTHING&amp;vid=01CRU&amp;lang=en_US&amp;offset=0&amp;query=any,contains,991001396059702656","Catalog Record")</f>
        <v/>
      </c>
      <c r="AV989">
        <f>HYPERLINK("http://www.worldcat.org/oclc/28584214","WorldCat Record")</f>
        <v/>
      </c>
    </row>
    <row r="990">
      <c r="D990" t="inlineStr">
        <is>
          <t>QT 34 J54i 1976</t>
        </is>
      </c>
      <c r="E990" t="inlineStr">
        <is>
          <t>0                      QT 0034000J  54i         1976</t>
        </is>
      </c>
      <c r="F990" t="inlineStr">
        <is>
          <t>Physics for the health professions / J. Trygve Jensen.</t>
        </is>
      </c>
      <c r="H990" t="inlineStr">
        <is>
          <t>No</t>
        </is>
      </c>
      <c r="I990" t="inlineStr">
        <is>
          <t>1</t>
        </is>
      </c>
      <c r="J990" t="inlineStr">
        <is>
          <t>No</t>
        </is>
      </c>
      <c r="K990" t="inlineStr">
        <is>
          <t>No</t>
        </is>
      </c>
      <c r="L990" t="inlineStr">
        <is>
          <t>0</t>
        </is>
      </c>
      <c r="M990" t="inlineStr">
        <is>
          <t>Jensen, J. Trygve (Jens Trygve)</t>
        </is>
      </c>
      <c r="N990" t="inlineStr">
        <is>
          <t>Philadelphia : Lippincott, c1976.</t>
        </is>
      </c>
      <c r="O990" t="inlineStr">
        <is>
          <t>1976</t>
        </is>
      </c>
      <c r="P990" t="inlineStr">
        <is>
          <t>2d ed.</t>
        </is>
      </c>
      <c r="Q990" t="inlineStr">
        <is>
          <t>eng</t>
        </is>
      </c>
      <c r="R990" t="inlineStr">
        <is>
          <t>pau</t>
        </is>
      </c>
      <c r="T990" t="inlineStr">
        <is>
          <t xml:space="preserve">QT </t>
        </is>
      </c>
      <c r="U990" t="n">
        <v>6</v>
      </c>
      <c r="V990" t="n">
        <v>6</v>
      </c>
      <c r="W990" t="inlineStr">
        <is>
          <t>1996-03-23</t>
        </is>
      </c>
      <c r="X990" t="inlineStr">
        <is>
          <t>1996-03-23</t>
        </is>
      </c>
      <c r="Y990" t="inlineStr">
        <is>
          <t>1988-01-18</t>
        </is>
      </c>
      <c r="Z990" t="inlineStr">
        <is>
          <t>1988-01-18</t>
        </is>
      </c>
      <c r="AA990" t="n">
        <v>181</v>
      </c>
      <c r="AB990" t="n">
        <v>140</v>
      </c>
      <c r="AC990" t="n">
        <v>265</v>
      </c>
      <c r="AD990" t="n">
        <v>2</v>
      </c>
      <c r="AE990" t="n">
        <v>3</v>
      </c>
      <c r="AF990" t="n">
        <v>5</v>
      </c>
      <c r="AG990" t="n">
        <v>9</v>
      </c>
      <c r="AH990" t="n">
        <v>0</v>
      </c>
      <c r="AI990" t="n">
        <v>1</v>
      </c>
      <c r="AJ990" t="n">
        <v>1</v>
      </c>
      <c r="AK990" t="n">
        <v>2</v>
      </c>
      <c r="AL990" t="n">
        <v>4</v>
      </c>
      <c r="AM990" t="n">
        <v>7</v>
      </c>
      <c r="AN990" t="n">
        <v>1</v>
      </c>
      <c r="AO990" t="n">
        <v>2</v>
      </c>
      <c r="AP990" t="n">
        <v>0</v>
      </c>
      <c r="AQ990" t="n">
        <v>0</v>
      </c>
      <c r="AR990" t="inlineStr">
        <is>
          <t>No</t>
        </is>
      </c>
      <c r="AS990" t="inlineStr">
        <is>
          <t>Yes</t>
        </is>
      </c>
      <c r="AT990">
        <f>HYPERLINK("http://catalog.hathitrust.org/Record/000017207","HathiTrust Record")</f>
        <v/>
      </c>
      <c r="AU990">
        <f>HYPERLINK("https://creighton-primo.hosted.exlibrisgroup.com/primo-explore/search?tab=default_tab&amp;search_scope=EVERYTHING&amp;vid=01CRU&amp;lang=en_US&amp;offset=0&amp;query=any,contains,991000799789702656","Catalog Record")</f>
        <v/>
      </c>
      <c r="AV990">
        <f>HYPERLINK("http://www.worldcat.org/oclc/1529478","WorldCat Record")</f>
        <v/>
      </c>
    </row>
    <row r="991">
      <c r="D991" t="inlineStr">
        <is>
          <t>QT 34 W446b 1992</t>
        </is>
      </c>
      <c r="E991" t="inlineStr">
        <is>
          <t>0                      QT 0034000W  446b        1992</t>
        </is>
      </c>
      <c r="F991" t="inlineStr">
        <is>
          <t>Biomedical instruments : theory and design / Walter Welkowitz, Sid Deutsch, Metin Akay.</t>
        </is>
      </c>
      <c r="H991" t="inlineStr">
        <is>
          <t>No</t>
        </is>
      </c>
      <c r="I991" t="inlineStr">
        <is>
          <t>1</t>
        </is>
      </c>
      <c r="J991" t="inlineStr">
        <is>
          <t>No</t>
        </is>
      </c>
      <c r="K991" t="inlineStr">
        <is>
          <t>No</t>
        </is>
      </c>
      <c r="L991" t="inlineStr">
        <is>
          <t>0</t>
        </is>
      </c>
      <c r="M991" t="inlineStr">
        <is>
          <t>Welkowitz, Walter, 1926-2012.</t>
        </is>
      </c>
      <c r="N991" t="inlineStr">
        <is>
          <t>San Diego : Academic Press, c1992.</t>
        </is>
      </c>
      <c r="O991" t="inlineStr">
        <is>
          <t>1992</t>
        </is>
      </c>
      <c r="P991" t="inlineStr">
        <is>
          <t>2nd ed.</t>
        </is>
      </c>
      <c r="Q991" t="inlineStr">
        <is>
          <t>eng</t>
        </is>
      </c>
      <c r="R991" t="inlineStr">
        <is>
          <t>cau</t>
        </is>
      </c>
      <c r="T991" t="inlineStr">
        <is>
          <t xml:space="preserve">QT </t>
        </is>
      </c>
      <c r="U991" t="n">
        <v>6</v>
      </c>
      <c r="V991" t="n">
        <v>6</v>
      </c>
      <c r="W991" t="inlineStr">
        <is>
          <t>1996-03-05</t>
        </is>
      </c>
      <c r="X991" t="inlineStr">
        <is>
          <t>1996-03-05</t>
        </is>
      </c>
      <c r="Y991" t="inlineStr">
        <is>
          <t>1992-02-18</t>
        </is>
      </c>
      <c r="Z991" t="inlineStr">
        <is>
          <t>1992-02-18</t>
        </is>
      </c>
      <c r="AA991" t="n">
        <v>174</v>
      </c>
      <c r="AB991" t="n">
        <v>111</v>
      </c>
      <c r="AC991" t="n">
        <v>298</v>
      </c>
      <c r="AD991" t="n">
        <v>2</v>
      </c>
      <c r="AE991" t="n">
        <v>2</v>
      </c>
      <c r="AF991" t="n">
        <v>2</v>
      </c>
      <c r="AG991" t="n">
        <v>12</v>
      </c>
      <c r="AH991" t="n">
        <v>0</v>
      </c>
      <c r="AI991" t="n">
        <v>4</v>
      </c>
      <c r="AJ991" t="n">
        <v>1</v>
      </c>
      <c r="AK991" t="n">
        <v>5</v>
      </c>
      <c r="AL991" t="n">
        <v>1</v>
      </c>
      <c r="AM991" t="n">
        <v>6</v>
      </c>
      <c r="AN991" t="n">
        <v>1</v>
      </c>
      <c r="AO991" t="n">
        <v>1</v>
      </c>
      <c r="AP991" t="n">
        <v>0</v>
      </c>
      <c r="AQ991" t="n">
        <v>0</v>
      </c>
      <c r="AR991" t="inlineStr">
        <is>
          <t>No</t>
        </is>
      </c>
      <c r="AS991" t="inlineStr">
        <is>
          <t>Yes</t>
        </is>
      </c>
      <c r="AT991">
        <f>HYPERLINK("http://catalog.hathitrust.org/Record/002503566","HathiTrust Record")</f>
        <v/>
      </c>
      <c r="AU991">
        <f>HYPERLINK("https://creighton-primo.hosted.exlibrisgroup.com/primo-explore/search?tab=default_tab&amp;search_scope=EVERYTHING&amp;vid=01CRU&amp;lang=en_US&amp;offset=0&amp;query=any,contains,991001036149702656","Catalog Record")</f>
        <v/>
      </c>
      <c r="AV991">
        <f>HYPERLINK("http://www.worldcat.org/oclc/23941675","WorldCat Record")</f>
        <v/>
      </c>
    </row>
    <row r="992">
      <c r="D992" t="inlineStr">
        <is>
          <t>QT 35 M4265 1984</t>
        </is>
      </c>
      <c r="E992" t="inlineStr">
        <is>
          <t>0                      QT 0035000M  4265        1984</t>
        </is>
      </c>
      <c r="F992" t="inlineStr">
        <is>
          <t>Mathematical methods in medicine / edited by D. Ingram, R.F. Bloch.</t>
        </is>
      </c>
      <c r="H992" t="inlineStr">
        <is>
          <t>No</t>
        </is>
      </c>
      <c r="I992" t="inlineStr">
        <is>
          <t>1</t>
        </is>
      </c>
      <c r="J992" t="inlineStr">
        <is>
          <t>No</t>
        </is>
      </c>
      <c r="K992" t="inlineStr">
        <is>
          <t>No</t>
        </is>
      </c>
      <c r="L992" t="inlineStr">
        <is>
          <t>0</t>
        </is>
      </c>
      <c r="N992" t="inlineStr">
        <is>
          <t>Chichester ; New York : Wiley, c1984.</t>
        </is>
      </c>
      <c r="O992" t="inlineStr">
        <is>
          <t>1984</t>
        </is>
      </c>
      <c r="Q992" t="inlineStr">
        <is>
          <t>eng</t>
        </is>
      </c>
      <c r="R992" t="inlineStr">
        <is>
          <t>enk</t>
        </is>
      </c>
      <c r="S992" t="inlineStr">
        <is>
          <t>Handbook of applicable mathematics. Guidebook ; 3, etc.</t>
        </is>
      </c>
      <c r="T992" t="inlineStr">
        <is>
          <t xml:space="preserve">QT </t>
        </is>
      </c>
      <c r="U992" t="n">
        <v>6</v>
      </c>
      <c r="V992" t="n">
        <v>6</v>
      </c>
      <c r="W992" t="inlineStr">
        <is>
          <t>2005-10-26</t>
        </is>
      </c>
      <c r="X992" t="inlineStr">
        <is>
          <t>2005-10-26</t>
        </is>
      </c>
      <c r="Y992" t="inlineStr">
        <is>
          <t>1988-04-19</t>
        </is>
      </c>
      <c r="Z992" t="inlineStr">
        <is>
          <t>1988-04-19</t>
        </is>
      </c>
      <c r="AA992" t="n">
        <v>140</v>
      </c>
      <c r="AB992" t="n">
        <v>116</v>
      </c>
      <c r="AC992" t="n">
        <v>117</v>
      </c>
      <c r="AD992" t="n">
        <v>3</v>
      </c>
      <c r="AE992" t="n">
        <v>3</v>
      </c>
      <c r="AF992" t="n">
        <v>6</v>
      </c>
      <c r="AG992" t="n">
        <v>6</v>
      </c>
      <c r="AH992" t="n">
        <v>0</v>
      </c>
      <c r="AI992" t="n">
        <v>0</v>
      </c>
      <c r="AJ992" t="n">
        <v>2</v>
      </c>
      <c r="AK992" t="n">
        <v>2</v>
      </c>
      <c r="AL992" t="n">
        <v>4</v>
      </c>
      <c r="AM992" t="n">
        <v>4</v>
      </c>
      <c r="AN992" t="n">
        <v>2</v>
      </c>
      <c r="AO992" t="n">
        <v>2</v>
      </c>
      <c r="AP992" t="n">
        <v>0</v>
      </c>
      <c r="AQ992" t="n">
        <v>0</v>
      </c>
      <c r="AR992" t="inlineStr">
        <is>
          <t>No</t>
        </is>
      </c>
      <c r="AS992" t="inlineStr">
        <is>
          <t>No</t>
        </is>
      </c>
      <c r="AU992">
        <f>HYPERLINK("https://creighton-primo.hosted.exlibrisgroup.com/primo-explore/search?tab=default_tab&amp;search_scope=EVERYTHING&amp;vid=01CRU&amp;lang=en_US&amp;offset=0&amp;query=any,contains,991000800029702656","Catalog Record")</f>
        <v/>
      </c>
      <c r="AV992">
        <f>HYPERLINK("http://www.worldcat.org/oclc/9830013","WorldCat Record")</f>
        <v/>
      </c>
    </row>
    <row r="993">
      <c r="D993" t="inlineStr">
        <is>
          <t>QT 36 E61 1998</t>
        </is>
      </c>
      <c r="E993" t="inlineStr">
        <is>
          <t>0                      QT 0036000E  61          1998</t>
        </is>
      </c>
      <c r="F993" t="inlineStr">
        <is>
          <t>Enzyme and microbial biosensors : techniques and protocols / edited by Ashok Mulchandani and Kim R. Rogers.</t>
        </is>
      </c>
      <c r="H993" t="inlineStr">
        <is>
          <t>No</t>
        </is>
      </c>
      <c r="I993" t="inlineStr">
        <is>
          <t>1</t>
        </is>
      </c>
      <c r="J993" t="inlineStr">
        <is>
          <t>No</t>
        </is>
      </c>
      <c r="K993" t="inlineStr">
        <is>
          <t>No</t>
        </is>
      </c>
      <c r="L993" t="inlineStr">
        <is>
          <t>0</t>
        </is>
      </c>
      <c r="N993" t="inlineStr">
        <is>
          <t>Totowa, N.J. : Humana Press, c1998.</t>
        </is>
      </c>
      <c r="O993" t="inlineStr">
        <is>
          <t>1998</t>
        </is>
      </c>
      <c r="Q993" t="inlineStr">
        <is>
          <t>eng</t>
        </is>
      </c>
      <c r="R993" t="inlineStr">
        <is>
          <t>nju</t>
        </is>
      </c>
      <c r="S993" t="inlineStr">
        <is>
          <t>Methods in biotechnology ; 6</t>
        </is>
      </c>
      <c r="T993" t="inlineStr">
        <is>
          <t xml:space="preserve">QT </t>
        </is>
      </c>
      <c r="U993" t="n">
        <v>2</v>
      </c>
      <c r="V993" t="n">
        <v>2</v>
      </c>
      <c r="W993" t="inlineStr">
        <is>
          <t>2001-07-02</t>
        </is>
      </c>
      <c r="X993" t="inlineStr">
        <is>
          <t>2001-07-02</t>
        </is>
      </c>
      <c r="Y993" t="inlineStr">
        <is>
          <t>1999-11-23</t>
        </is>
      </c>
      <c r="Z993" t="inlineStr">
        <is>
          <t>1999-11-23</t>
        </is>
      </c>
      <c r="AA993" t="n">
        <v>121</v>
      </c>
      <c r="AB993" t="n">
        <v>83</v>
      </c>
      <c r="AC993" t="n">
        <v>152</v>
      </c>
      <c r="AD993" t="n">
        <v>2</v>
      </c>
      <c r="AE993" t="n">
        <v>3</v>
      </c>
      <c r="AF993" t="n">
        <v>1</v>
      </c>
      <c r="AG993" t="n">
        <v>4</v>
      </c>
      <c r="AH993" t="n">
        <v>0</v>
      </c>
      <c r="AI993" t="n">
        <v>1</v>
      </c>
      <c r="AJ993" t="n">
        <v>0</v>
      </c>
      <c r="AK993" t="n">
        <v>1</v>
      </c>
      <c r="AL993" t="n">
        <v>0</v>
      </c>
      <c r="AM993" t="n">
        <v>1</v>
      </c>
      <c r="AN993" t="n">
        <v>1</v>
      </c>
      <c r="AO993" t="n">
        <v>2</v>
      </c>
      <c r="AP993" t="n">
        <v>0</v>
      </c>
      <c r="AQ993" t="n">
        <v>0</v>
      </c>
      <c r="AR993" t="inlineStr">
        <is>
          <t>No</t>
        </is>
      </c>
      <c r="AS993" t="inlineStr">
        <is>
          <t>No</t>
        </is>
      </c>
      <c r="AU993">
        <f>HYPERLINK("https://creighton-primo.hosted.exlibrisgroup.com/primo-explore/search?tab=default_tab&amp;search_scope=EVERYTHING&amp;vid=01CRU&amp;lang=en_US&amp;offset=0&amp;query=any,contains,991001409179702656","Catalog Record")</f>
        <v/>
      </c>
      <c r="AV993">
        <f>HYPERLINK("http://www.worldcat.org/oclc/39369680","WorldCat Record")</f>
        <v/>
      </c>
    </row>
    <row r="994">
      <c r="D994" t="inlineStr">
        <is>
          <t>QT 36 M592 2009</t>
        </is>
      </c>
      <c r="E994" t="inlineStr">
        <is>
          <t>0                      QT 0036000M  592         2009</t>
        </is>
      </c>
      <c r="F994" t="inlineStr">
        <is>
          <t>Methods in bioengineering : nanoscale bioengineering and nanomedicine / Kaushal Rege, Igor L. Medintz, editors.</t>
        </is>
      </c>
      <c r="H994" t="inlineStr">
        <is>
          <t>No</t>
        </is>
      </c>
      <c r="I994" t="inlineStr">
        <is>
          <t>1</t>
        </is>
      </c>
      <c r="J994" t="inlineStr">
        <is>
          <t>No</t>
        </is>
      </c>
      <c r="K994" t="inlineStr">
        <is>
          <t>No</t>
        </is>
      </c>
      <c r="L994" t="inlineStr">
        <is>
          <t>1</t>
        </is>
      </c>
      <c r="N994" t="inlineStr">
        <is>
          <t>Boston : Artech House, c2009.</t>
        </is>
      </c>
      <c r="O994" t="inlineStr">
        <is>
          <t>2009</t>
        </is>
      </c>
      <c r="Q994" t="inlineStr">
        <is>
          <t>eng</t>
        </is>
      </c>
      <c r="R994" t="inlineStr">
        <is>
          <t>mau</t>
        </is>
      </c>
      <c r="S994" t="inlineStr">
        <is>
          <t>The Artech House methods in bioengineering series</t>
        </is>
      </c>
      <c r="T994" t="inlineStr">
        <is>
          <t xml:space="preserve">QT </t>
        </is>
      </c>
      <c r="U994" t="n">
        <v>0</v>
      </c>
      <c r="V994" t="n">
        <v>0</v>
      </c>
      <c r="W994" t="inlineStr">
        <is>
          <t>2010-09-17</t>
        </is>
      </c>
      <c r="X994" t="inlineStr">
        <is>
          <t>2010-09-17</t>
        </is>
      </c>
      <c r="Y994" t="inlineStr">
        <is>
          <t>2010-09-17</t>
        </is>
      </c>
      <c r="Z994" t="inlineStr">
        <is>
          <t>2010-09-17</t>
        </is>
      </c>
      <c r="AA994" t="n">
        <v>95</v>
      </c>
      <c r="AB994" t="n">
        <v>55</v>
      </c>
      <c r="AC994" t="n">
        <v>1283</v>
      </c>
      <c r="AD994" t="n">
        <v>3</v>
      </c>
      <c r="AE994" t="n">
        <v>24</v>
      </c>
      <c r="AF994" t="n">
        <v>2</v>
      </c>
      <c r="AG994" t="n">
        <v>46</v>
      </c>
      <c r="AH994" t="n">
        <v>0</v>
      </c>
      <c r="AI994" t="n">
        <v>13</v>
      </c>
      <c r="AJ994" t="n">
        <v>0</v>
      </c>
      <c r="AK994" t="n">
        <v>10</v>
      </c>
      <c r="AL994" t="n">
        <v>0</v>
      </c>
      <c r="AM994" t="n">
        <v>11</v>
      </c>
      <c r="AN994" t="n">
        <v>2</v>
      </c>
      <c r="AO994" t="n">
        <v>16</v>
      </c>
      <c r="AP994" t="n">
        <v>0</v>
      </c>
      <c r="AQ994" t="n">
        <v>2</v>
      </c>
      <c r="AR994" t="inlineStr">
        <is>
          <t>No</t>
        </is>
      </c>
      <c r="AS994" t="inlineStr">
        <is>
          <t>No</t>
        </is>
      </c>
      <c r="AU994">
        <f>HYPERLINK("https://creighton-primo.hosted.exlibrisgroup.com/primo-explore/search?tab=default_tab&amp;search_scope=EVERYTHING&amp;vid=01CRU&amp;lang=en_US&amp;offset=0&amp;query=any,contains,991000034349702656","Catalog Record")</f>
        <v/>
      </c>
      <c r="AV994">
        <f>HYPERLINK("http://www.worldcat.org/oclc/326517099","WorldCat Record")</f>
        <v/>
      </c>
    </row>
    <row r="995">
      <c r="D995" t="inlineStr">
        <is>
          <t>QT36 U84 2005</t>
        </is>
      </c>
      <c r="E995" t="inlineStr">
        <is>
          <t>0                      QT 0036000U  84          2005</t>
        </is>
      </c>
      <c r="F995" t="inlineStr">
        <is>
          <t>Using human factors engineering to improve patient safety / editor, John W. Gosbee ; contributing editor, Laura Lin Gosbee.</t>
        </is>
      </c>
      <c r="H995" t="inlineStr">
        <is>
          <t>No</t>
        </is>
      </c>
      <c r="I995" t="inlineStr">
        <is>
          <t>1</t>
        </is>
      </c>
      <c r="J995" t="inlineStr">
        <is>
          <t>No</t>
        </is>
      </c>
      <c r="K995" t="inlineStr">
        <is>
          <t>No</t>
        </is>
      </c>
      <c r="L995" t="inlineStr">
        <is>
          <t>0</t>
        </is>
      </c>
      <c r="N995" t="inlineStr">
        <is>
          <t>Oakbrook Terrace, Ill. : Joint Commission Resources, c2005.</t>
        </is>
      </c>
      <c r="O995" t="inlineStr">
        <is>
          <t>2005</t>
        </is>
      </c>
      <c r="Q995" t="inlineStr">
        <is>
          <t>eng</t>
        </is>
      </c>
      <c r="R995" t="inlineStr">
        <is>
          <t>ilu</t>
        </is>
      </c>
      <c r="T995" t="inlineStr">
        <is>
          <t xml:space="preserve">QT </t>
        </is>
      </c>
      <c r="U995" t="n">
        <v>5</v>
      </c>
      <c r="V995" t="n">
        <v>5</v>
      </c>
      <c r="W995" t="inlineStr">
        <is>
          <t>2009-03-26</t>
        </is>
      </c>
      <c r="X995" t="inlineStr">
        <is>
          <t>2009-03-26</t>
        </is>
      </c>
      <c r="Y995" t="inlineStr">
        <is>
          <t>2005-05-05</t>
        </is>
      </c>
      <c r="Z995" t="inlineStr">
        <is>
          <t>2005-05-05</t>
        </is>
      </c>
      <c r="AA995" t="n">
        <v>147</v>
      </c>
      <c r="AB995" t="n">
        <v>135</v>
      </c>
      <c r="AC995" t="n">
        <v>153</v>
      </c>
      <c r="AD995" t="n">
        <v>2</v>
      </c>
      <c r="AE995" t="n">
        <v>2</v>
      </c>
      <c r="AF995" t="n">
        <v>1</v>
      </c>
      <c r="AG995" t="n">
        <v>3</v>
      </c>
      <c r="AH995" t="n">
        <v>0</v>
      </c>
      <c r="AI995" t="n">
        <v>1</v>
      </c>
      <c r="AJ995" t="n">
        <v>1</v>
      </c>
      <c r="AK995" t="n">
        <v>1</v>
      </c>
      <c r="AL995" t="n">
        <v>0</v>
      </c>
      <c r="AM995" t="n">
        <v>2</v>
      </c>
      <c r="AN995" t="n">
        <v>0</v>
      </c>
      <c r="AO995" t="n">
        <v>0</v>
      </c>
      <c r="AP995" t="n">
        <v>0</v>
      </c>
      <c r="AQ995" t="n">
        <v>0</v>
      </c>
      <c r="AR995" t="inlineStr">
        <is>
          <t>No</t>
        </is>
      </c>
      <c r="AS995" t="inlineStr">
        <is>
          <t>Yes</t>
        </is>
      </c>
      <c r="AT995">
        <f>HYPERLINK("http://catalog.hathitrust.org/Record/005084221","HathiTrust Record")</f>
        <v/>
      </c>
      <c r="AU995">
        <f>HYPERLINK("https://creighton-primo.hosted.exlibrisgroup.com/primo-explore/search?tab=default_tab&amp;search_scope=EVERYTHING&amp;vid=01CRU&amp;lang=en_US&amp;offset=0&amp;query=any,contains,991000438289702656","Catalog Record")</f>
        <v/>
      </c>
      <c r="AV995">
        <f>HYPERLINK("http://www.worldcat.org/oclc/60211843","WorldCat Record")</f>
        <v/>
      </c>
    </row>
    <row r="996">
      <c r="D996" t="inlineStr">
        <is>
          <t>QT37 B6146 2004</t>
        </is>
      </c>
      <c r="E996" t="inlineStr">
        <is>
          <t>0                      QT 0037000B  6146        2004</t>
        </is>
      </c>
      <c r="F996" t="inlineStr">
        <is>
          <t>Biomechanics and biomaterials in orthopedics / Dominique G. Poitout, ed. ; with forewords by Reinat Kotz and Karl-Göran Thorngren.</t>
        </is>
      </c>
      <c r="H996" t="inlineStr">
        <is>
          <t>No</t>
        </is>
      </c>
      <c r="I996" t="inlineStr">
        <is>
          <t>1</t>
        </is>
      </c>
      <c r="J996" t="inlineStr">
        <is>
          <t>No</t>
        </is>
      </c>
      <c r="K996" t="inlineStr">
        <is>
          <t>No</t>
        </is>
      </c>
      <c r="L996" t="inlineStr">
        <is>
          <t>0</t>
        </is>
      </c>
      <c r="N996" t="inlineStr">
        <is>
          <t>London ; New York : Springer, c2004.</t>
        </is>
      </c>
      <c r="O996" t="inlineStr">
        <is>
          <t>2004</t>
        </is>
      </c>
      <c r="Q996" t="inlineStr">
        <is>
          <t>eng</t>
        </is>
      </c>
      <c r="R996" t="inlineStr">
        <is>
          <t>enk</t>
        </is>
      </c>
      <c r="T996" t="inlineStr">
        <is>
          <t xml:space="preserve">QT </t>
        </is>
      </c>
      <c r="U996" t="n">
        <v>0</v>
      </c>
      <c r="V996" t="n">
        <v>0</v>
      </c>
      <c r="W996" t="inlineStr">
        <is>
          <t>2004-12-21</t>
        </is>
      </c>
      <c r="X996" t="inlineStr">
        <is>
          <t>2004-12-21</t>
        </is>
      </c>
      <c r="Y996" t="inlineStr">
        <is>
          <t>2004-12-10</t>
        </is>
      </c>
      <c r="Z996" t="inlineStr">
        <is>
          <t>2004-12-10</t>
        </is>
      </c>
      <c r="AA996" t="n">
        <v>95</v>
      </c>
      <c r="AB996" t="n">
        <v>54</v>
      </c>
      <c r="AC996" t="n">
        <v>54</v>
      </c>
      <c r="AD996" t="n">
        <v>2</v>
      </c>
      <c r="AE996" t="n">
        <v>2</v>
      </c>
      <c r="AF996" t="n">
        <v>3</v>
      </c>
      <c r="AG996" t="n">
        <v>3</v>
      </c>
      <c r="AH996" t="n">
        <v>0</v>
      </c>
      <c r="AI996" t="n">
        <v>0</v>
      </c>
      <c r="AJ996" t="n">
        <v>1</v>
      </c>
      <c r="AK996" t="n">
        <v>1</v>
      </c>
      <c r="AL996" t="n">
        <v>2</v>
      </c>
      <c r="AM996" t="n">
        <v>2</v>
      </c>
      <c r="AN996" t="n">
        <v>1</v>
      </c>
      <c r="AO996" t="n">
        <v>1</v>
      </c>
      <c r="AP996" t="n">
        <v>0</v>
      </c>
      <c r="AQ996" t="n">
        <v>0</v>
      </c>
      <c r="AR996" t="inlineStr">
        <is>
          <t>No</t>
        </is>
      </c>
      <c r="AS996" t="inlineStr">
        <is>
          <t>No</t>
        </is>
      </c>
      <c r="AU996">
        <f>HYPERLINK("https://creighton-primo.hosted.exlibrisgroup.com/primo-explore/search?tab=default_tab&amp;search_scope=EVERYTHING&amp;vid=01CRU&amp;lang=en_US&amp;offset=0&amp;query=any,contains,991000419029702656","Catalog Record")</f>
        <v/>
      </c>
      <c r="AV996">
        <f>HYPERLINK("http://www.worldcat.org/oclc/52127755","WorldCat Record")</f>
        <v/>
      </c>
    </row>
    <row r="997">
      <c r="D997" t="inlineStr">
        <is>
          <t>QT 39 H236 1993</t>
        </is>
      </c>
      <c r="E997" t="inlineStr">
        <is>
          <t>0                      QT 0039000H  236         1993</t>
        </is>
      </c>
      <c r="F997" t="inlineStr">
        <is>
          <t>Handbook of sports medicine : a symptom-oriented approach / editors, Wade A. Lillegard, Karen S. Rucker ; foreword by John Lombardo ; with 37 contributors.</t>
        </is>
      </c>
      <c r="H997" t="inlineStr">
        <is>
          <t>No</t>
        </is>
      </c>
      <c r="I997" t="inlineStr">
        <is>
          <t>1</t>
        </is>
      </c>
      <c r="J997" t="inlineStr">
        <is>
          <t>No</t>
        </is>
      </c>
      <c r="K997" t="inlineStr">
        <is>
          <t>No</t>
        </is>
      </c>
      <c r="L997" t="inlineStr">
        <is>
          <t>0</t>
        </is>
      </c>
      <c r="N997" t="inlineStr">
        <is>
          <t>Boston : Andover Medical Publishers, c1993.</t>
        </is>
      </c>
      <c r="O997" t="inlineStr">
        <is>
          <t>1993</t>
        </is>
      </c>
      <c r="Q997" t="inlineStr">
        <is>
          <t>eng</t>
        </is>
      </c>
      <c r="R997" t="inlineStr">
        <is>
          <t>mau</t>
        </is>
      </c>
      <c r="T997" t="inlineStr">
        <is>
          <t xml:space="preserve">QT </t>
        </is>
      </c>
      <c r="U997" t="n">
        <v>25</v>
      </c>
      <c r="V997" t="n">
        <v>25</v>
      </c>
      <c r="W997" t="inlineStr">
        <is>
          <t>2000-11-25</t>
        </is>
      </c>
      <c r="X997" t="inlineStr">
        <is>
          <t>2000-11-25</t>
        </is>
      </c>
      <c r="Y997" t="inlineStr">
        <is>
          <t>1995-09-21</t>
        </is>
      </c>
      <c r="Z997" t="inlineStr">
        <is>
          <t>1995-09-21</t>
        </is>
      </c>
      <c r="AA997" t="n">
        <v>212</v>
      </c>
      <c r="AB997" t="n">
        <v>145</v>
      </c>
      <c r="AC997" t="n">
        <v>280</v>
      </c>
      <c r="AD997" t="n">
        <v>1</v>
      </c>
      <c r="AE997" t="n">
        <v>1</v>
      </c>
      <c r="AF997" t="n">
        <v>2</v>
      </c>
      <c r="AG997" t="n">
        <v>8</v>
      </c>
      <c r="AH997" t="n">
        <v>1</v>
      </c>
      <c r="AI997" t="n">
        <v>5</v>
      </c>
      <c r="AJ997" t="n">
        <v>1</v>
      </c>
      <c r="AK997" t="n">
        <v>2</v>
      </c>
      <c r="AL997" t="n">
        <v>1</v>
      </c>
      <c r="AM997" t="n">
        <v>3</v>
      </c>
      <c r="AN997" t="n">
        <v>0</v>
      </c>
      <c r="AO997" t="n">
        <v>0</v>
      </c>
      <c r="AP997" t="n">
        <v>0</v>
      </c>
      <c r="AQ997" t="n">
        <v>0</v>
      </c>
      <c r="AR997" t="inlineStr">
        <is>
          <t>No</t>
        </is>
      </c>
      <c r="AS997" t="inlineStr">
        <is>
          <t>Yes</t>
        </is>
      </c>
      <c r="AT997">
        <f>HYPERLINK("http://catalog.hathitrust.org/Record/002636045","HathiTrust Record")</f>
        <v/>
      </c>
      <c r="AU997">
        <f>HYPERLINK("https://creighton-primo.hosted.exlibrisgroup.com/primo-explore/search?tab=default_tab&amp;search_scope=EVERYTHING&amp;vid=01CRU&amp;lang=en_US&amp;offset=0&amp;query=any,contains,991001492519702656","Catalog Record")</f>
        <v/>
      </c>
      <c r="AV997">
        <f>HYPERLINK("http://www.worldcat.org/oclc/27385039","WorldCat Record")</f>
        <v/>
      </c>
    </row>
    <row r="998">
      <c r="D998" t="inlineStr">
        <is>
          <t>QT 104 B561p 1991</t>
        </is>
      </c>
      <c r="E998" t="inlineStr">
        <is>
          <t>0                      QT 0104000B  561p        1991</t>
        </is>
      </c>
      <c r="F998" t="inlineStr">
        <is>
          <t>Best and Taylor's physiological basis of medical practice.</t>
        </is>
      </c>
      <c r="H998" t="inlineStr">
        <is>
          <t>No</t>
        </is>
      </c>
      <c r="I998" t="inlineStr">
        <is>
          <t>1</t>
        </is>
      </c>
      <c r="J998" t="inlineStr">
        <is>
          <t>No</t>
        </is>
      </c>
      <c r="K998" t="inlineStr">
        <is>
          <t>No</t>
        </is>
      </c>
      <c r="L998" t="inlineStr">
        <is>
          <t>0</t>
        </is>
      </c>
      <c r="N998" t="inlineStr">
        <is>
          <t>Baltimore : Williams &amp; Wilkins, c1991 [1990 printing].</t>
        </is>
      </c>
      <c r="O998" t="inlineStr">
        <is>
          <t>1991</t>
        </is>
      </c>
      <c r="P998" t="inlineStr">
        <is>
          <t>12th ed. / edited by John B. West.</t>
        </is>
      </c>
      <c r="Q998" t="inlineStr">
        <is>
          <t>eng</t>
        </is>
      </c>
      <c r="R998" t="inlineStr">
        <is>
          <t>xxu</t>
        </is>
      </c>
      <c r="T998" t="inlineStr">
        <is>
          <t xml:space="preserve">QT </t>
        </is>
      </c>
      <c r="U998" t="n">
        <v>30</v>
      </c>
      <c r="V998" t="n">
        <v>30</v>
      </c>
      <c r="W998" t="inlineStr">
        <is>
          <t>2004-07-13</t>
        </is>
      </c>
      <c r="X998" t="inlineStr">
        <is>
          <t>2004-07-13</t>
        </is>
      </c>
      <c r="Y998" t="inlineStr">
        <is>
          <t>1991-01-14</t>
        </is>
      </c>
      <c r="Z998" t="inlineStr">
        <is>
          <t>1991-01-14</t>
        </is>
      </c>
      <c r="AA998" t="n">
        <v>492</v>
      </c>
      <c r="AB998" t="n">
        <v>399</v>
      </c>
      <c r="AC998" t="n">
        <v>838</v>
      </c>
      <c r="AD998" t="n">
        <v>2</v>
      </c>
      <c r="AE998" t="n">
        <v>6</v>
      </c>
      <c r="AF998" t="n">
        <v>12</v>
      </c>
      <c r="AG998" t="n">
        <v>27</v>
      </c>
      <c r="AH998" t="n">
        <v>4</v>
      </c>
      <c r="AI998" t="n">
        <v>10</v>
      </c>
      <c r="AJ998" t="n">
        <v>2</v>
      </c>
      <c r="AK998" t="n">
        <v>5</v>
      </c>
      <c r="AL998" t="n">
        <v>9</v>
      </c>
      <c r="AM998" t="n">
        <v>13</v>
      </c>
      <c r="AN998" t="n">
        <v>1</v>
      </c>
      <c r="AO998" t="n">
        <v>5</v>
      </c>
      <c r="AP998" t="n">
        <v>0</v>
      </c>
      <c r="AQ998" t="n">
        <v>0</v>
      </c>
      <c r="AR998" t="inlineStr">
        <is>
          <t>No</t>
        </is>
      </c>
      <c r="AS998" t="inlineStr">
        <is>
          <t>Yes</t>
        </is>
      </c>
      <c r="AT998">
        <f>HYPERLINK("http://catalog.hathitrust.org/Record/002427882","HathiTrust Record")</f>
        <v/>
      </c>
      <c r="AU998">
        <f>HYPERLINK("https://creighton-primo.hosted.exlibrisgroup.com/primo-explore/search?tab=default_tab&amp;search_scope=EVERYTHING&amp;vid=01CRU&amp;lang=en_US&amp;offset=0&amp;query=any,contains,991000762249702656","Catalog Record")</f>
        <v/>
      </c>
      <c r="AV998">
        <f>HYPERLINK("http://www.worldcat.org/oclc/20013215","WorldCat Record")</f>
        <v/>
      </c>
    </row>
    <row r="999">
      <c r="D999" t="inlineStr">
        <is>
          <t>QT 104 C891i 1938</t>
        </is>
      </c>
      <c r="E999" t="inlineStr">
        <is>
          <t>0                      QT 0104000C  891i        1938</t>
        </is>
      </c>
      <c r="F999" t="inlineStr">
        <is>
          <t>An introduction to human physiology / by Lathan A. Crandall, Jr.</t>
        </is>
      </c>
      <c r="H999" t="inlineStr">
        <is>
          <t>No</t>
        </is>
      </c>
      <c r="I999" t="inlineStr">
        <is>
          <t>1</t>
        </is>
      </c>
      <c r="J999" t="inlineStr">
        <is>
          <t>No</t>
        </is>
      </c>
      <c r="K999" t="inlineStr">
        <is>
          <t>No</t>
        </is>
      </c>
      <c r="L999" t="inlineStr">
        <is>
          <t>0</t>
        </is>
      </c>
      <c r="M999" t="inlineStr">
        <is>
          <t>Crandall, Lathan A. (Lathan Augustus), 1903-</t>
        </is>
      </c>
      <c r="N999" t="inlineStr">
        <is>
          <t>Philadelphia : Saunders, c1938.</t>
        </is>
      </c>
      <c r="O999" t="inlineStr">
        <is>
          <t>1938</t>
        </is>
      </c>
      <c r="P999" t="inlineStr">
        <is>
          <t>2nd ed., rev.</t>
        </is>
      </c>
      <c r="Q999" t="inlineStr">
        <is>
          <t>eng</t>
        </is>
      </c>
      <c r="R999" t="inlineStr">
        <is>
          <t>pau</t>
        </is>
      </c>
      <c r="T999" t="inlineStr">
        <is>
          <t xml:space="preserve">QT </t>
        </is>
      </c>
      <c r="U999" t="n">
        <v>2</v>
      </c>
      <c r="V999" t="n">
        <v>2</v>
      </c>
      <c r="W999" t="inlineStr">
        <is>
          <t>1995-11-07</t>
        </is>
      </c>
      <c r="X999" t="inlineStr">
        <is>
          <t>1995-11-07</t>
        </is>
      </c>
      <c r="Y999" t="inlineStr">
        <is>
          <t>1988-01-20</t>
        </is>
      </c>
      <c r="Z999" t="inlineStr">
        <is>
          <t>1988-01-20</t>
        </is>
      </c>
      <c r="AA999" t="n">
        <v>42</v>
      </c>
      <c r="AB999" t="n">
        <v>40</v>
      </c>
      <c r="AC999" t="n">
        <v>149</v>
      </c>
      <c r="AD999" t="n">
        <v>1</v>
      </c>
      <c r="AE999" t="n">
        <v>2</v>
      </c>
      <c r="AF999" t="n">
        <v>3</v>
      </c>
      <c r="AG999" t="n">
        <v>5</v>
      </c>
      <c r="AH999" t="n">
        <v>1</v>
      </c>
      <c r="AI999" t="n">
        <v>1</v>
      </c>
      <c r="AJ999" t="n">
        <v>1</v>
      </c>
      <c r="AK999" t="n">
        <v>1</v>
      </c>
      <c r="AL999" t="n">
        <v>1</v>
      </c>
      <c r="AM999" t="n">
        <v>2</v>
      </c>
      <c r="AN999" t="n">
        <v>0</v>
      </c>
      <c r="AO999" t="n">
        <v>1</v>
      </c>
      <c r="AP999" t="n">
        <v>0</v>
      </c>
      <c r="AQ999" t="n">
        <v>0</v>
      </c>
      <c r="AR999" t="inlineStr">
        <is>
          <t>No</t>
        </is>
      </c>
      <c r="AS999" t="inlineStr">
        <is>
          <t>Yes</t>
        </is>
      </c>
      <c r="AT999">
        <f>HYPERLINK("http://catalog.hathitrust.org/Record/009074617","HathiTrust Record")</f>
        <v/>
      </c>
      <c r="AU999">
        <f>HYPERLINK("https://creighton-primo.hosted.exlibrisgroup.com/primo-explore/search?tab=default_tab&amp;search_scope=EVERYTHING&amp;vid=01CRU&amp;lang=en_US&amp;offset=0&amp;query=any,contains,991000860019702656","Catalog Record")</f>
        <v/>
      </c>
      <c r="AV999">
        <f>HYPERLINK("http://www.worldcat.org/oclc/2396966","WorldCat Record")</f>
        <v/>
      </c>
    </row>
    <row r="1000">
      <c r="D1000" t="inlineStr">
        <is>
          <t>QT 104 G688p 1984</t>
        </is>
      </c>
      <c r="E1000" t="inlineStr">
        <is>
          <t>0                      QT 0104000G  688p        1984</t>
        </is>
      </c>
      <c r="F1000" t="inlineStr">
        <is>
          <t>Physiology for the anesthesiologist / Nishan G. Goudsouzian, Agop Karamanian.</t>
        </is>
      </c>
      <c r="H1000" t="inlineStr">
        <is>
          <t>No</t>
        </is>
      </c>
      <c r="I1000" t="inlineStr">
        <is>
          <t>1</t>
        </is>
      </c>
      <c r="J1000" t="inlineStr">
        <is>
          <t>No</t>
        </is>
      </c>
      <c r="K1000" t="inlineStr">
        <is>
          <t>No</t>
        </is>
      </c>
      <c r="L1000" t="inlineStr">
        <is>
          <t>0</t>
        </is>
      </c>
      <c r="M1000" t="inlineStr">
        <is>
          <t>Goudsouzian, Nishan G.</t>
        </is>
      </c>
      <c r="N1000" t="inlineStr">
        <is>
          <t>Norwalk, Conn. : Appleton-Century-Crofts, c1984.</t>
        </is>
      </c>
      <c r="O1000" t="inlineStr">
        <is>
          <t>1984</t>
        </is>
      </c>
      <c r="P1000" t="inlineStr">
        <is>
          <t>2nd ed.</t>
        </is>
      </c>
      <c r="Q1000" t="inlineStr">
        <is>
          <t>eng</t>
        </is>
      </c>
      <c r="R1000" t="inlineStr">
        <is>
          <t>xxu</t>
        </is>
      </c>
      <c r="T1000" t="inlineStr">
        <is>
          <t xml:space="preserve">QT </t>
        </is>
      </c>
      <c r="U1000" t="n">
        <v>8</v>
      </c>
      <c r="V1000" t="n">
        <v>8</v>
      </c>
      <c r="W1000" t="inlineStr">
        <is>
          <t>1995-04-26</t>
        </is>
      </c>
      <c r="X1000" t="inlineStr">
        <is>
          <t>1995-04-26</t>
        </is>
      </c>
      <c r="Y1000" t="inlineStr">
        <is>
          <t>1988-01-20</t>
        </is>
      </c>
      <c r="Z1000" t="inlineStr">
        <is>
          <t>1988-01-20</t>
        </is>
      </c>
      <c r="AA1000" t="n">
        <v>92</v>
      </c>
      <c r="AB1000" t="n">
        <v>67</v>
      </c>
      <c r="AC1000" t="n">
        <v>99</v>
      </c>
      <c r="AD1000" t="n">
        <v>1</v>
      </c>
      <c r="AE1000" t="n">
        <v>1</v>
      </c>
      <c r="AF1000" t="n">
        <v>1</v>
      </c>
      <c r="AG1000" t="n">
        <v>1</v>
      </c>
      <c r="AH1000" t="n">
        <v>0</v>
      </c>
      <c r="AI1000" t="n">
        <v>0</v>
      </c>
      <c r="AJ1000" t="n">
        <v>1</v>
      </c>
      <c r="AK1000" t="n">
        <v>1</v>
      </c>
      <c r="AL1000" t="n">
        <v>0</v>
      </c>
      <c r="AM1000" t="n">
        <v>0</v>
      </c>
      <c r="AN1000" t="n">
        <v>0</v>
      </c>
      <c r="AO1000" t="n">
        <v>0</v>
      </c>
      <c r="AP1000" t="n">
        <v>0</v>
      </c>
      <c r="AQ1000" t="n">
        <v>0</v>
      </c>
      <c r="AR1000" t="inlineStr">
        <is>
          <t>No</t>
        </is>
      </c>
      <c r="AS1000" t="inlineStr">
        <is>
          <t>Yes</t>
        </is>
      </c>
      <c r="AT1000">
        <f>HYPERLINK("http://catalog.hathitrust.org/Record/000601471","HathiTrust Record")</f>
        <v/>
      </c>
      <c r="AU1000">
        <f>HYPERLINK("https://creighton-primo.hosted.exlibrisgroup.com/primo-explore/search?tab=default_tab&amp;search_scope=EVERYTHING&amp;vid=01CRU&amp;lang=en_US&amp;offset=0&amp;query=any,contains,991000860059702656","Catalog Record")</f>
        <v/>
      </c>
      <c r="AV1000">
        <f>HYPERLINK("http://www.worldcat.org/oclc/10046227","WorldCat Record")</f>
        <v/>
      </c>
    </row>
    <row r="1001">
      <c r="D1001" t="inlineStr">
        <is>
          <t>QT 104 G992b 1992</t>
        </is>
      </c>
      <c r="E1001" t="inlineStr">
        <is>
          <t>0                      QT 0104000G  992b        1992</t>
        </is>
      </c>
      <c r="F1001" t="inlineStr">
        <is>
          <t>Human physiology and mechanisms of disease / Arthur C. Guyton.</t>
        </is>
      </c>
      <c r="H1001" t="inlineStr">
        <is>
          <t>No</t>
        </is>
      </c>
      <c r="I1001" t="inlineStr">
        <is>
          <t>1</t>
        </is>
      </c>
      <c r="J1001" t="inlineStr">
        <is>
          <t>No</t>
        </is>
      </c>
      <c r="K1001" t="inlineStr">
        <is>
          <t>Yes</t>
        </is>
      </c>
      <c r="L1001" t="inlineStr">
        <is>
          <t>0</t>
        </is>
      </c>
      <c r="M1001" t="inlineStr">
        <is>
          <t>Guyton, Arthur C.</t>
        </is>
      </c>
      <c r="N1001" t="inlineStr">
        <is>
          <t>Philadelphia : W.B. Saunders, c1992.</t>
        </is>
      </c>
      <c r="O1001" t="inlineStr">
        <is>
          <t>1992</t>
        </is>
      </c>
      <c r="P1001" t="inlineStr">
        <is>
          <t>5th ed.</t>
        </is>
      </c>
      <c r="Q1001" t="inlineStr">
        <is>
          <t>eng</t>
        </is>
      </c>
      <c r="R1001" t="inlineStr">
        <is>
          <t>pau</t>
        </is>
      </c>
      <c r="T1001" t="inlineStr">
        <is>
          <t xml:space="preserve">QT </t>
        </is>
      </c>
      <c r="U1001" t="n">
        <v>75</v>
      </c>
      <c r="V1001" t="n">
        <v>75</v>
      </c>
      <c r="W1001" t="inlineStr">
        <is>
          <t>2006-01-30</t>
        </is>
      </c>
      <c r="X1001" t="inlineStr">
        <is>
          <t>2006-01-30</t>
        </is>
      </c>
      <c r="Y1001" t="inlineStr">
        <is>
          <t>1991-11-25</t>
        </is>
      </c>
      <c r="Z1001" t="inlineStr">
        <is>
          <t>1991-11-25</t>
        </is>
      </c>
      <c r="AA1001" t="n">
        <v>406</v>
      </c>
      <c r="AB1001" t="n">
        <v>291</v>
      </c>
      <c r="AC1001" t="n">
        <v>929</v>
      </c>
      <c r="AD1001" t="n">
        <v>3</v>
      </c>
      <c r="AE1001" t="n">
        <v>6</v>
      </c>
      <c r="AF1001" t="n">
        <v>11</v>
      </c>
      <c r="AG1001" t="n">
        <v>30</v>
      </c>
      <c r="AH1001" t="n">
        <v>1</v>
      </c>
      <c r="AI1001" t="n">
        <v>12</v>
      </c>
      <c r="AJ1001" t="n">
        <v>6</v>
      </c>
      <c r="AK1001" t="n">
        <v>10</v>
      </c>
      <c r="AL1001" t="n">
        <v>5</v>
      </c>
      <c r="AM1001" t="n">
        <v>18</v>
      </c>
      <c r="AN1001" t="n">
        <v>2</v>
      </c>
      <c r="AO1001" t="n">
        <v>3</v>
      </c>
      <c r="AP1001" t="n">
        <v>0</v>
      </c>
      <c r="AQ1001" t="n">
        <v>0</v>
      </c>
      <c r="AR1001" t="inlineStr">
        <is>
          <t>No</t>
        </is>
      </c>
      <c r="AS1001" t="inlineStr">
        <is>
          <t>Yes</t>
        </is>
      </c>
      <c r="AT1001">
        <f>HYPERLINK("http://catalog.hathitrust.org/Record/002501526","HathiTrust Record")</f>
        <v/>
      </c>
      <c r="AU1001">
        <f>HYPERLINK("https://creighton-primo.hosted.exlibrisgroup.com/primo-explore/search?tab=default_tab&amp;search_scope=EVERYTHING&amp;vid=01CRU&amp;lang=en_US&amp;offset=0&amp;query=any,contains,991000948729702656","Catalog Record")</f>
        <v/>
      </c>
      <c r="AV1001">
        <f>HYPERLINK("http://www.worldcat.org/oclc/24501695","WorldCat Record")</f>
        <v/>
      </c>
    </row>
    <row r="1002">
      <c r="D1002" t="inlineStr">
        <is>
          <t>QT 104 G992b 1997</t>
        </is>
      </c>
      <c r="E1002" t="inlineStr">
        <is>
          <t>0                      QT 0104000G  992b        1997</t>
        </is>
      </c>
      <c r="F1002" t="inlineStr">
        <is>
          <t>Human physiology and mechanisms of disease / Arthur C. Guyton and John E. Hall.</t>
        </is>
      </c>
      <c r="H1002" t="inlineStr">
        <is>
          <t>No</t>
        </is>
      </c>
      <c r="I1002" t="inlineStr">
        <is>
          <t>1</t>
        </is>
      </c>
      <c r="J1002" t="inlineStr">
        <is>
          <t>No</t>
        </is>
      </c>
      <c r="K1002" t="inlineStr">
        <is>
          <t>Yes</t>
        </is>
      </c>
      <c r="L1002" t="inlineStr">
        <is>
          <t>0</t>
        </is>
      </c>
      <c r="M1002" t="inlineStr">
        <is>
          <t>Guyton, Arthur C.</t>
        </is>
      </c>
      <c r="N1002" t="inlineStr">
        <is>
          <t>Philadelphia : Saunders, c1997.</t>
        </is>
      </c>
      <c r="O1002" t="inlineStr">
        <is>
          <t>1997</t>
        </is>
      </c>
      <c r="P1002" t="inlineStr">
        <is>
          <t>6th ed.</t>
        </is>
      </c>
      <c r="Q1002" t="inlineStr">
        <is>
          <t>eng</t>
        </is>
      </c>
      <c r="R1002" t="inlineStr">
        <is>
          <t>pau</t>
        </is>
      </c>
      <c r="T1002" t="inlineStr">
        <is>
          <t xml:space="preserve">QT </t>
        </is>
      </c>
      <c r="U1002" t="n">
        <v>59</v>
      </c>
      <c r="V1002" t="n">
        <v>59</v>
      </c>
      <c r="W1002" t="inlineStr">
        <is>
          <t>2010-01-15</t>
        </is>
      </c>
      <c r="X1002" t="inlineStr">
        <is>
          <t>2010-01-15</t>
        </is>
      </c>
      <c r="Y1002" t="inlineStr">
        <is>
          <t>1997-01-17</t>
        </is>
      </c>
      <c r="Z1002" t="inlineStr">
        <is>
          <t>1997-01-17</t>
        </is>
      </c>
      <c r="AA1002" t="n">
        <v>651</v>
      </c>
      <c r="AB1002" t="n">
        <v>466</v>
      </c>
      <c r="AC1002" t="n">
        <v>929</v>
      </c>
      <c r="AD1002" t="n">
        <v>3</v>
      </c>
      <c r="AE1002" t="n">
        <v>6</v>
      </c>
      <c r="AF1002" t="n">
        <v>14</v>
      </c>
      <c r="AG1002" t="n">
        <v>30</v>
      </c>
      <c r="AH1002" t="n">
        <v>6</v>
      </c>
      <c r="AI1002" t="n">
        <v>12</v>
      </c>
      <c r="AJ1002" t="n">
        <v>5</v>
      </c>
      <c r="AK1002" t="n">
        <v>10</v>
      </c>
      <c r="AL1002" t="n">
        <v>7</v>
      </c>
      <c r="AM1002" t="n">
        <v>18</v>
      </c>
      <c r="AN1002" t="n">
        <v>1</v>
      </c>
      <c r="AO1002" t="n">
        <v>3</v>
      </c>
      <c r="AP1002" t="n">
        <v>0</v>
      </c>
      <c r="AQ1002" t="n">
        <v>0</v>
      </c>
      <c r="AR1002" t="inlineStr">
        <is>
          <t>No</t>
        </is>
      </c>
      <c r="AS1002" t="inlineStr">
        <is>
          <t>Yes</t>
        </is>
      </c>
      <c r="AT1002">
        <f>HYPERLINK("http://catalog.hathitrust.org/Record/003105897","HathiTrust Record")</f>
        <v/>
      </c>
      <c r="AU1002">
        <f>HYPERLINK("https://creighton-primo.hosted.exlibrisgroup.com/primo-explore/search?tab=default_tab&amp;search_scope=EVERYTHING&amp;vid=01CRU&amp;lang=en_US&amp;offset=0&amp;query=any,contains,991001552239702656","Catalog Record")</f>
        <v/>
      </c>
      <c r="AV1002">
        <f>HYPERLINK("http://www.worldcat.org/oclc/33821149","WorldCat Record")</f>
        <v/>
      </c>
    </row>
    <row r="1003">
      <c r="D1003" t="inlineStr">
        <is>
          <t>QT 104 G992f 1974</t>
        </is>
      </c>
      <c r="E1003" t="inlineStr">
        <is>
          <t>0                      QT 0104000G  992f        1974</t>
        </is>
      </c>
      <c r="F1003" t="inlineStr">
        <is>
          <t>Function of the human body / [by] Arthur C. Guyton.</t>
        </is>
      </c>
      <c r="H1003" t="inlineStr">
        <is>
          <t>No</t>
        </is>
      </c>
      <c r="I1003" t="inlineStr">
        <is>
          <t>1</t>
        </is>
      </c>
      <c r="J1003" t="inlineStr">
        <is>
          <t>No</t>
        </is>
      </c>
      <c r="K1003" t="inlineStr">
        <is>
          <t>No</t>
        </is>
      </c>
      <c r="L1003" t="inlineStr">
        <is>
          <t>0</t>
        </is>
      </c>
      <c r="M1003" t="inlineStr">
        <is>
          <t>Guyton, Arthur C.</t>
        </is>
      </c>
      <c r="N1003" t="inlineStr">
        <is>
          <t>Philadelphia : Saunders, 1974.</t>
        </is>
      </c>
      <c r="O1003" t="inlineStr">
        <is>
          <t>1974</t>
        </is>
      </c>
      <c r="P1003" t="inlineStr">
        <is>
          <t>4th ed.</t>
        </is>
      </c>
      <c r="Q1003" t="inlineStr">
        <is>
          <t>eng</t>
        </is>
      </c>
      <c r="R1003" t="inlineStr">
        <is>
          <t>pau</t>
        </is>
      </c>
      <c r="T1003" t="inlineStr">
        <is>
          <t xml:space="preserve">QT </t>
        </is>
      </c>
      <c r="U1003" t="n">
        <v>8</v>
      </c>
      <c r="V1003" t="n">
        <v>8</v>
      </c>
      <c r="W1003" t="inlineStr">
        <is>
          <t>2000-11-13</t>
        </is>
      </c>
      <c r="X1003" t="inlineStr">
        <is>
          <t>2000-11-13</t>
        </is>
      </c>
      <c r="Y1003" t="inlineStr">
        <is>
          <t>1988-03-02</t>
        </is>
      </c>
      <c r="Z1003" t="inlineStr">
        <is>
          <t>1988-03-02</t>
        </is>
      </c>
      <c r="AA1003" t="n">
        <v>370</v>
      </c>
      <c r="AB1003" t="n">
        <v>271</v>
      </c>
      <c r="AC1003" t="n">
        <v>615</v>
      </c>
      <c r="AD1003" t="n">
        <v>2</v>
      </c>
      <c r="AE1003" t="n">
        <v>5</v>
      </c>
      <c r="AF1003" t="n">
        <v>7</v>
      </c>
      <c r="AG1003" t="n">
        <v>22</v>
      </c>
      <c r="AH1003" t="n">
        <v>3</v>
      </c>
      <c r="AI1003" t="n">
        <v>8</v>
      </c>
      <c r="AJ1003" t="n">
        <v>1</v>
      </c>
      <c r="AK1003" t="n">
        <v>5</v>
      </c>
      <c r="AL1003" t="n">
        <v>3</v>
      </c>
      <c r="AM1003" t="n">
        <v>9</v>
      </c>
      <c r="AN1003" t="n">
        <v>1</v>
      </c>
      <c r="AO1003" t="n">
        <v>3</v>
      </c>
      <c r="AP1003" t="n">
        <v>0</v>
      </c>
      <c r="AQ1003" t="n">
        <v>0</v>
      </c>
      <c r="AR1003" t="inlineStr">
        <is>
          <t>No</t>
        </is>
      </c>
      <c r="AS1003" t="inlineStr">
        <is>
          <t>Yes</t>
        </is>
      </c>
      <c r="AT1003">
        <f>HYPERLINK("http://catalog.hathitrust.org/Record/000011519","HathiTrust Record")</f>
        <v/>
      </c>
      <c r="AU1003">
        <f>HYPERLINK("https://creighton-primo.hosted.exlibrisgroup.com/primo-explore/search?tab=default_tab&amp;search_scope=EVERYTHING&amp;vid=01CRU&amp;lang=en_US&amp;offset=0&amp;query=any,contains,991000860089702656","Catalog Record")</f>
        <v/>
      </c>
      <c r="AV1003">
        <f>HYPERLINK("http://www.worldcat.org/oclc/783352","WorldCat Record")</f>
        <v/>
      </c>
    </row>
    <row r="1004">
      <c r="D1004" t="inlineStr">
        <is>
          <t>QT 104 H236 sect.1 1977</t>
        </is>
      </c>
      <c r="E1004" t="inlineStr">
        <is>
          <t>0                      QT 0104000H  236                                                     sect.1 1977</t>
        </is>
      </c>
      <c r="F1004" t="inlineStr">
        <is>
          <t>Handbook of physiology : a critical, comprehensive presentation of physiological knowledge and concepts: Section 1 : The nervous system. Volume 1. Cellular Biology of Neurons, Part 1 and 2 / John M. Brookhart, Vernon B. Mountcastle, section editors.</t>
        </is>
      </c>
      <c r="G1004" t="inlineStr">
        <is>
          <t>V. 1 PT. 2</t>
        </is>
      </c>
      <c r="H1004" t="inlineStr">
        <is>
          <t>Yes</t>
        </is>
      </c>
      <c r="I1004" t="inlineStr">
        <is>
          <t>1</t>
        </is>
      </c>
      <c r="J1004" t="inlineStr">
        <is>
          <t>No</t>
        </is>
      </c>
      <c r="K1004" t="inlineStr">
        <is>
          <t>Yes</t>
        </is>
      </c>
      <c r="L1004" t="inlineStr">
        <is>
          <t>0</t>
        </is>
      </c>
      <c r="N1004" t="inlineStr">
        <is>
          <t>Bethesda, Md. : American Physiological Society, 1977.</t>
        </is>
      </c>
      <c r="O1004" t="inlineStr">
        <is>
          <t>1977</t>
        </is>
      </c>
      <c r="P1004" t="inlineStr">
        <is>
          <t>[Rev. ed.]</t>
        </is>
      </c>
      <c r="Q1004" t="inlineStr">
        <is>
          <t>eng</t>
        </is>
      </c>
      <c r="R1004" t="inlineStr">
        <is>
          <t>mdu</t>
        </is>
      </c>
      <c r="T1004" t="inlineStr">
        <is>
          <t xml:space="preserve">QT </t>
        </is>
      </c>
      <c r="U1004" t="n">
        <v>2</v>
      </c>
      <c r="V1004" t="n">
        <v>5</v>
      </c>
      <c r="W1004" t="inlineStr">
        <is>
          <t>1995-12-06</t>
        </is>
      </c>
      <c r="X1004" t="inlineStr">
        <is>
          <t>1995-12-06</t>
        </is>
      </c>
      <c r="Y1004" t="inlineStr">
        <is>
          <t>1987-11-06</t>
        </is>
      </c>
      <c r="Z1004" t="inlineStr">
        <is>
          <t>1987-11-06</t>
        </is>
      </c>
      <c r="AA1004" t="n">
        <v>101</v>
      </c>
      <c r="AB1004" t="n">
        <v>78</v>
      </c>
      <c r="AC1004" t="n">
        <v>574</v>
      </c>
      <c r="AD1004" t="n">
        <v>0</v>
      </c>
      <c r="AE1004" t="n">
        <v>4</v>
      </c>
      <c r="AF1004" t="n">
        <v>2</v>
      </c>
      <c r="AG1004" t="n">
        <v>18</v>
      </c>
      <c r="AH1004" t="n">
        <v>0</v>
      </c>
      <c r="AI1004" t="n">
        <v>8</v>
      </c>
      <c r="AJ1004" t="n">
        <v>1</v>
      </c>
      <c r="AK1004" t="n">
        <v>4</v>
      </c>
      <c r="AL1004" t="n">
        <v>1</v>
      </c>
      <c r="AM1004" t="n">
        <v>9</v>
      </c>
      <c r="AN1004" t="n">
        <v>0</v>
      </c>
      <c r="AO1004" t="n">
        <v>3</v>
      </c>
      <c r="AP1004" t="n">
        <v>0</v>
      </c>
      <c r="AQ1004" t="n">
        <v>0</v>
      </c>
      <c r="AR1004" t="inlineStr">
        <is>
          <t>No</t>
        </is>
      </c>
      <c r="AS1004" t="inlineStr">
        <is>
          <t>Yes</t>
        </is>
      </c>
      <c r="AT1004">
        <f>HYPERLINK("http://catalog.hathitrust.org/Record/008331199","HathiTrust Record")</f>
        <v/>
      </c>
      <c r="AU1004">
        <f>HYPERLINK("https://creighton-primo.hosted.exlibrisgroup.com/primo-explore/search?tab=default_tab&amp;search_scope=EVERYTHING&amp;vid=01CRU&amp;lang=en_US&amp;offset=0&amp;query=any,contains,991001280619702656","Catalog Record")</f>
        <v/>
      </c>
      <c r="AV1004">
        <f>HYPERLINK("http://www.worldcat.org/oclc/4171915","WorldCat Record")</f>
        <v/>
      </c>
    </row>
    <row r="1005">
      <c r="D1005" t="inlineStr">
        <is>
          <t>QT 104 H236 sect.1 1977</t>
        </is>
      </c>
      <c r="E1005" t="inlineStr">
        <is>
          <t>0                      QT 0104000H  236                                                     sect.1 1977</t>
        </is>
      </c>
      <c r="F1005" t="inlineStr">
        <is>
          <t>Handbook of physiology : a critical, comprehensive presentation of physiological knowledge and concepts: Section 1 : The nervous system. Volume 1. Cellular Biology of Neurons, Part 1 and 2 / John M. Brookhart, Vernon B. Mountcastle, section editors.</t>
        </is>
      </c>
      <c r="G1005" t="inlineStr">
        <is>
          <t>V. 1 PT. 1</t>
        </is>
      </c>
      <c r="H1005" t="inlineStr">
        <is>
          <t>Yes</t>
        </is>
      </c>
      <c r="I1005" t="inlineStr">
        <is>
          <t>1</t>
        </is>
      </c>
      <c r="J1005" t="inlineStr">
        <is>
          <t>No</t>
        </is>
      </c>
      <c r="K1005" t="inlineStr">
        <is>
          <t>Yes</t>
        </is>
      </c>
      <c r="L1005" t="inlineStr">
        <is>
          <t>0</t>
        </is>
      </c>
      <c r="N1005" t="inlineStr">
        <is>
          <t>Bethesda, Md. : American Physiological Society, 1977.</t>
        </is>
      </c>
      <c r="O1005" t="inlineStr">
        <is>
          <t>1977</t>
        </is>
      </c>
      <c r="P1005" t="inlineStr">
        <is>
          <t>[Rev. ed.]</t>
        </is>
      </c>
      <c r="Q1005" t="inlineStr">
        <is>
          <t>eng</t>
        </is>
      </c>
      <c r="R1005" t="inlineStr">
        <is>
          <t>mdu</t>
        </is>
      </c>
      <c r="T1005" t="inlineStr">
        <is>
          <t xml:space="preserve">QT </t>
        </is>
      </c>
      <c r="U1005" t="n">
        <v>3</v>
      </c>
      <c r="V1005" t="n">
        <v>5</v>
      </c>
      <c r="W1005" t="inlineStr">
        <is>
          <t>1995-12-06</t>
        </is>
      </c>
      <c r="X1005" t="inlineStr">
        <is>
          <t>1995-12-06</t>
        </is>
      </c>
      <c r="Y1005" t="inlineStr">
        <is>
          <t>1987-11-06</t>
        </is>
      </c>
      <c r="Z1005" t="inlineStr">
        <is>
          <t>1987-11-06</t>
        </is>
      </c>
      <c r="AA1005" t="n">
        <v>101</v>
      </c>
      <c r="AB1005" t="n">
        <v>78</v>
      </c>
      <c r="AC1005" t="n">
        <v>574</v>
      </c>
      <c r="AD1005" t="n">
        <v>0</v>
      </c>
      <c r="AE1005" t="n">
        <v>4</v>
      </c>
      <c r="AF1005" t="n">
        <v>2</v>
      </c>
      <c r="AG1005" t="n">
        <v>18</v>
      </c>
      <c r="AH1005" t="n">
        <v>0</v>
      </c>
      <c r="AI1005" t="n">
        <v>8</v>
      </c>
      <c r="AJ1005" t="n">
        <v>1</v>
      </c>
      <c r="AK1005" t="n">
        <v>4</v>
      </c>
      <c r="AL1005" t="n">
        <v>1</v>
      </c>
      <c r="AM1005" t="n">
        <v>9</v>
      </c>
      <c r="AN1005" t="n">
        <v>0</v>
      </c>
      <c r="AO1005" t="n">
        <v>3</v>
      </c>
      <c r="AP1005" t="n">
        <v>0</v>
      </c>
      <c r="AQ1005" t="n">
        <v>0</v>
      </c>
      <c r="AR1005" t="inlineStr">
        <is>
          <t>No</t>
        </is>
      </c>
      <c r="AS1005" t="inlineStr">
        <is>
          <t>Yes</t>
        </is>
      </c>
      <c r="AT1005">
        <f>HYPERLINK("http://catalog.hathitrust.org/Record/008331199","HathiTrust Record")</f>
        <v/>
      </c>
      <c r="AU1005">
        <f>HYPERLINK("https://creighton-primo.hosted.exlibrisgroup.com/primo-explore/search?tab=default_tab&amp;search_scope=EVERYTHING&amp;vid=01CRU&amp;lang=en_US&amp;offset=0&amp;query=any,contains,991001280619702656","Catalog Record")</f>
        <v/>
      </c>
      <c r="AV1005">
        <f>HYPERLINK("http://www.worldcat.org/oclc/4171915","WorldCat Record")</f>
        <v/>
      </c>
    </row>
    <row r="1006">
      <c r="D1006" t="inlineStr">
        <is>
          <t>QT 104 H236 Sect.2</t>
        </is>
      </c>
      <c r="E1006" t="inlineStr">
        <is>
          <t>0                      QT 0104000H  236                                                     Sect.2</t>
        </is>
      </c>
      <c r="F1006" t="inlineStr">
        <is>
          <t>The Cardiovascular system : section 2 / volume editor, Robert M. Berne, associate editor, Nick Sperelakis, executive editor, Stephen R. Geiger.</t>
        </is>
      </c>
      <c r="G1006" t="inlineStr">
        <is>
          <t>V. 2</t>
        </is>
      </c>
      <c r="H1006" t="inlineStr">
        <is>
          <t>Yes</t>
        </is>
      </c>
      <c r="I1006" t="inlineStr">
        <is>
          <t>1</t>
        </is>
      </c>
      <c r="J1006" t="inlineStr">
        <is>
          <t>No</t>
        </is>
      </c>
      <c r="K1006" t="inlineStr">
        <is>
          <t>No</t>
        </is>
      </c>
      <c r="L1006" t="inlineStr">
        <is>
          <t>0</t>
        </is>
      </c>
      <c r="N1006" t="inlineStr">
        <is>
          <t>Bethesda, Md. : American Physiological Society ; Baltimore, Md. : distributed by Williams and Wilkins Co., 1979-1980.</t>
        </is>
      </c>
      <c r="O1006" t="inlineStr">
        <is>
          <t>1979</t>
        </is>
      </c>
      <c r="Q1006" t="inlineStr">
        <is>
          <t>eng</t>
        </is>
      </c>
      <c r="R1006" t="inlineStr">
        <is>
          <t>mdu</t>
        </is>
      </c>
      <c r="S1006" t="inlineStr">
        <is>
          <t>Handbook of physiology ; section 2</t>
        </is>
      </c>
      <c r="T1006" t="inlineStr">
        <is>
          <t xml:space="preserve">QT </t>
        </is>
      </c>
      <c r="U1006" t="n">
        <v>4</v>
      </c>
      <c r="V1006" t="n">
        <v>11</v>
      </c>
      <c r="W1006" t="inlineStr">
        <is>
          <t>1992-06-18</t>
        </is>
      </c>
      <c r="X1006" t="inlineStr">
        <is>
          <t>1992-06-18</t>
        </is>
      </c>
      <c r="Y1006" t="inlineStr">
        <is>
          <t>1988-10-01</t>
        </is>
      </c>
      <c r="Z1006" t="inlineStr">
        <is>
          <t>1988-10-01</t>
        </is>
      </c>
      <c r="AA1006" t="n">
        <v>324</v>
      </c>
      <c r="AB1006" t="n">
        <v>271</v>
      </c>
      <c r="AC1006" t="n">
        <v>275</v>
      </c>
      <c r="AD1006" t="n">
        <v>3</v>
      </c>
      <c r="AE1006" t="n">
        <v>3</v>
      </c>
      <c r="AF1006" t="n">
        <v>12</v>
      </c>
      <c r="AG1006" t="n">
        <v>12</v>
      </c>
      <c r="AH1006" t="n">
        <v>2</v>
      </c>
      <c r="AI1006" t="n">
        <v>2</v>
      </c>
      <c r="AJ1006" t="n">
        <v>4</v>
      </c>
      <c r="AK1006" t="n">
        <v>4</v>
      </c>
      <c r="AL1006" t="n">
        <v>7</v>
      </c>
      <c r="AM1006" t="n">
        <v>7</v>
      </c>
      <c r="AN1006" t="n">
        <v>2</v>
      </c>
      <c r="AO1006" t="n">
        <v>2</v>
      </c>
      <c r="AP1006" t="n">
        <v>0</v>
      </c>
      <c r="AQ1006" t="n">
        <v>0</v>
      </c>
      <c r="AR1006" t="inlineStr">
        <is>
          <t>No</t>
        </is>
      </c>
      <c r="AS1006" t="inlineStr">
        <is>
          <t>Yes</t>
        </is>
      </c>
      <c r="AT1006">
        <f>HYPERLINK("http://catalog.hathitrust.org/Record/000145376","HathiTrust Record")</f>
        <v/>
      </c>
      <c r="AU1006">
        <f>HYPERLINK("https://creighton-primo.hosted.exlibrisgroup.com/primo-explore/search?tab=default_tab&amp;search_scope=EVERYTHING&amp;vid=01CRU&amp;lang=en_US&amp;offset=0&amp;query=any,contains,991001280839702656","Catalog Record")</f>
        <v/>
      </c>
      <c r="AV1006">
        <f>HYPERLINK("http://www.worldcat.org/oclc/4775901","WorldCat Record")</f>
        <v/>
      </c>
    </row>
    <row r="1007">
      <c r="D1007" t="inlineStr">
        <is>
          <t>QT 104 H236 Sect.2</t>
        </is>
      </c>
      <c r="E1007" t="inlineStr">
        <is>
          <t>0                      QT 0104000H  236                                                     Sect.2</t>
        </is>
      </c>
      <c r="F1007" t="inlineStr">
        <is>
          <t>The Cardiovascular system : section 2 / volume editor, Robert M. Berne, associate editor, Nick Sperelakis, executive editor, Stephen R. Geiger.</t>
        </is>
      </c>
      <c r="G1007" t="inlineStr">
        <is>
          <t>V. 1</t>
        </is>
      </c>
      <c r="H1007" t="inlineStr">
        <is>
          <t>Yes</t>
        </is>
      </c>
      <c r="I1007" t="inlineStr">
        <is>
          <t>1</t>
        </is>
      </c>
      <c r="J1007" t="inlineStr">
        <is>
          <t>No</t>
        </is>
      </c>
      <c r="K1007" t="inlineStr">
        <is>
          <t>No</t>
        </is>
      </c>
      <c r="L1007" t="inlineStr">
        <is>
          <t>0</t>
        </is>
      </c>
      <c r="N1007" t="inlineStr">
        <is>
          <t>Bethesda, Md. : American Physiological Society ; Baltimore, Md. : distributed by Williams and Wilkins Co., 1979-1980.</t>
        </is>
      </c>
      <c r="O1007" t="inlineStr">
        <is>
          <t>1979</t>
        </is>
      </c>
      <c r="Q1007" t="inlineStr">
        <is>
          <t>eng</t>
        </is>
      </c>
      <c r="R1007" t="inlineStr">
        <is>
          <t>mdu</t>
        </is>
      </c>
      <c r="S1007" t="inlineStr">
        <is>
          <t>Handbook of physiology ; section 2</t>
        </is>
      </c>
      <c r="T1007" t="inlineStr">
        <is>
          <t xml:space="preserve">QT </t>
        </is>
      </c>
      <c r="U1007" t="n">
        <v>7</v>
      </c>
      <c r="V1007" t="n">
        <v>11</v>
      </c>
      <c r="W1007" t="inlineStr">
        <is>
          <t>1991-11-25</t>
        </is>
      </c>
      <c r="X1007" t="inlineStr">
        <is>
          <t>1992-06-18</t>
        </is>
      </c>
      <c r="Y1007" t="inlineStr">
        <is>
          <t>1988-04-13</t>
        </is>
      </c>
      <c r="Z1007" t="inlineStr">
        <is>
          <t>1988-10-01</t>
        </is>
      </c>
      <c r="AA1007" t="n">
        <v>324</v>
      </c>
      <c r="AB1007" t="n">
        <v>271</v>
      </c>
      <c r="AC1007" t="n">
        <v>275</v>
      </c>
      <c r="AD1007" t="n">
        <v>3</v>
      </c>
      <c r="AE1007" t="n">
        <v>3</v>
      </c>
      <c r="AF1007" t="n">
        <v>12</v>
      </c>
      <c r="AG1007" t="n">
        <v>12</v>
      </c>
      <c r="AH1007" t="n">
        <v>2</v>
      </c>
      <c r="AI1007" t="n">
        <v>2</v>
      </c>
      <c r="AJ1007" t="n">
        <v>4</v>
      </c>
      <c r="AK1007" t="n">
        <v>4</v>
      </c>
      <c r="AL1007" t="n">
        <v>7</v>
      </c>
      <c r="AM1007" t="n">
        <v>7</v>
      </c>
      <c r="AN1007" t="n">
        <v>2</v>
      </c>
      <c r="AO1007" t="n">
        <v>2</v>
      </c>
      <c r="AP1007" t="n">
        <v>0</v>
      </c>
      <c r="AQ1007" t="n">
        <v>0</v>
      </c>
      <c r="AR1007" t="inlineStr">
        <is>
          <t>No</t>
        </is>
      </c>
      <c r="AS1007" t="inlineStr">
        <is>
          <t>Yes</t>
        </is>
      </c>
      <c r="AT1007">
        <f>HYPERLINK("http://catalog.hathitrust.org/Record/000145376","HathiTrust Record")</f>
        <v/>
      </c>
      <c r="AU1007">
        <f>HYPERLINK("https://creighton-primo.hosted.exlibrisgroup.com/primo-explore/search?tab=default_tab&amp;search_scope=EVERYTHING&amp;vid=01CRU&amp;lang=en_US&amp;offset=0&amp;query=any,contains,991001280839702656","Catalog Record")</f>
        <v/>
      </c>
      <c r="AV1007">
        <f>HYPERLINK("http://www.worldcat.org/oclc/4775901","WorldCat Record")</f>
        <v/>
      </c>
    </row>
    <row r="1008">
      <c r="D1008" t="inlineStr">
        <is>
          <t>QT 104 H236 1964-65 sect.3</t>
        </is>
      </c>
      <c r="E1008" t="inlineStr">
        <is>
          <t>0                      QT 0104000H  236         1964                                        -65 sect.3</t>
        </is>
      </c>
      <c r="F1008" t="inlineStr">
        <is>
          <t>Handbook of physiology : a critical, comprehensive presentation of physiological knowledge and concepts : section 3, respiration / section editors Wallace O. Fenn, Hermann Rahn.</t>
        </is>
      </c>
      <c r="G1008" t="inlineStr">
        <is>
          <t>V. 2</t>
        </is>
      </c>
      <c r="H1008" t="inlineStr">
        <is>
          <t>Yes</t>
        </is>
      </c>
      <c r="I1008" t="inlineStr">
        <is>
          <t>1</t>
        </is>
      </c>
      <c r="J1008" t="inlineStr">
        <is>
          <t>No</t>
        </is>
      </c>
      <c r="K1008" t="inlineStr">
        <is>
          <t>No</t>
        </is>
      </c>
      <c r="L1008" t="inlineStr">
        <is>
          <t>0</t>
        </is>
      </c>
      <c r="N1008" t="inlineStr">
        <is>
          <t>Washington : American Physiological Society ; Baltimore : distributed by Williams &amp; Wilkins, c1964-1965</t>
        </is>
      </c>
      <c r="O1008" t="inlineStr">
        <is>
          <t>1965</t>
        </is>
      </c>
      <c r="Q1008" t="inlineStr">
        <is>
          <t>eng</t>
        </is>
      </c>
      <c r="R1008" t="inlineStr">
        <is>
          <t>dcu</t>
        </is>
      </c>
      <c r="S1008" t="inlineStr">
        <is>
          <t>Handbook of physiology ; sect. 3</t>
        </is>
      </c>
      <c r="T1008" t="inlineStr">
        <is>
          <t xml:space="preserve">QT </t>
        </is>
      </c>
      <c r="U1008" t="n">
        <v>0</v>
      </c>
      <c r="V1008" t="n">
        <v>4</v>
      </c>
      <c r="X1008" t="inlineStr">
        <is>
          <t>1997-07-17</t>
        </is>
      </c>
      <c r="Y1008" t="inlineStr">
        <is>
          <t>1989-02-17</t>
        </is>
      </c>
      <c r="Z1008" t="inlineStr">
        <is>
          <t>1989-02-17</t>
        </is>
      </c>
      <c r="AA1008" t="n">
        <v>51</v>
      </c>
      <c r="AB1008" t="n">
        <v>49</v>
      </c>
      <c r="AC1008" t="n">
        <v>308</v>
      </c>
      <c r="AD1008" t="n">
        <v>1</v>
      </c>
      <c r="AE1008" t="n">
        <v>4</v>
      </c>
      <c r="AF1008" t="n">
        <v>4</v>
      </c>
      <c r="AG1008" t="n">
        <v>12</v>
      </c>
      <c r="AH1008" t="n">
        <v>1</v>
      </c>
      <c r="AI1008" t="n">
        <v>2</v>
      </c>
      <c r="AJ1008" t="n">
        <v>1</v>
      </c>
      <c r="AK1008" t="n">
        <v>2</v>
      </c>
      <c r="AL1008" t="n">
        <v>2</v>
      </c>
      <c r="AM1008" t="n">
        <v>6</v>
      </c>
      <c r="AN1008" t="n">
        <v>0</v>
      </c>
      <c r="AO1008" t="n">
        <v>3</v>
      </c>
      <c r="AP1008" t="n">
        <v>0</v>
      </c>
      <c r="AQ1008" t="n">
        <v>0</v>
      </c>
      <c r="AR1008" t="inlineStr">
        <is>
          <t>No</t>
        </is>
      </c>
      <c r="AS1008" t="inlineStr">
        <is>
          <t>No</t>
        </is>
      </c>
      <c r="AU1008">
        <f>HYPERLINK("https://creighton-primo.hosted.exlibrisgroup.com/primo-explore/search?tab=default_tab&amp;search_scope=EVERYTHING&amp;vid=01CRU&amp;lang=en_US&amp;offset=0&amp;query=any,contains,991000860359702656","Catalog Record")</f>
        <v/>
      </c>
      <c r="AV1008">
        <f>HYPERLINK("http://www.worldcat.org/oclc/3367388","WorldCat Record")</f>
        <v/>
      </c>
    </row>
    <row r="1009">
      <c r="D1009" t="inlineStr">
        <is>
          <t>QT 104 H236 1964-65 sect.3</t>
        </is>
      </c>
      <c r="E1009" t="inlineStr">
        <is>
          <t>0                      QT 0104000H  236         1964                                        -65 sect.3</t>
        </is>
      </c>
      <c r="F1009" t="inlineStr">
        <is>
          <t>Handbook of physiology : a critical, comprehensive presentation of physiological knowledge and concepts : section 3, respiration / section editors Wallace O. Fenn, Hermann Rahn.</t>
        </is>
      </c>
      <c r="G1009" t="inlineStr">
        <is>
          <t>V. 1</t>
        </is>
      </c>
      <c r="H1009" t="inlineStr">
        <is>
          <t>Yes</t>
        </is>
      </c>
      <c r="I1009" t="inlineStr">
        <is>
          <t>1</t>
        </is>
      </c>
      <c r="J1009" t="inlineStr">
        <is>
          <t>No</t>
        </is>
      </c>
      <c r="K1009" t="inlineStr">
        <is>
          <t>No</t>
        </is>
      </c>
      <c r="L1009" t="inlineStr">
        <is>
          <t>0</t>
        </is>
      </c>
      <c r="N1009" t="inlineStr">
        <is>
          <t>Washington : American Physiological Society ; Baltimore : distributed by Williams &amp; Wilkins, c1964-1965</t>
        </is>
      </c>
      <c r="O1009" t="inlineStr">
        <is>
          <t>1965</t>
        </is>
      </c>
      <c r="Q1009" t="inlineStr">
        <is>
          <t>eng</t>
        </is>
      </c>
      <c r="R1009" t="inlineStr">
        <is>
          <t>dcu</t>
        </is>
      </c>
      <c r="S1009" t="inlineStr">
        <is>
          <t>Handbook of physiology ; sect. 3</t>
        </is>
      </c>
      <c r="T1009" t="inlineStr">
        <is>
          <t xml:space="preserve">QT </t>
        </is>
      </c>
      <c r="U1009" t="n">
        <v>4</v>
      </c>
      <c r="V1009" t="n">
        <v>4</v>
      </c>
      <c r="W1009" t="inlineStr">
        <is>
          <t>1997-07-17</t>
        </is>
      </c>
      <c r="X1009" t="inlineStr">
        <is>
          <t>1997-07-17</t>
        </is>
      </c>
      <c r="Y1009" t="inlineStr">
        <is>
          <t>1987-10-16</t>
        </is>
      </c>
      <c r="Z1009" t="inlineStr">
        <is>
          <t>1989-02-17</t>
        </is>
      </c>
      <c r="AA1009" t="n">
        <v>51</v>
      </c>
      <c r="AB1009" t="n">
        <v>49</v>
      </c>
      <c r="AC1009" t="n">
        <v>308</v>
      </c>
      <c r="AD1009" t="n">
        <v>1</v>
      </c>
      <c r="AE1009" t="n">
        <v>4</v>
      </c>
      <c r="AF1009" t="n">
        <v>4</v>
      </c>
      <c r="AG1009" t="n">
        <v>12</v>
      </c>
      <c r="AH1009" t="n">
        <v>1</v>
      </c>
      <c r="AI1009" t="n">
        <v>2</v>
      </c>
      <c r="AJ1009" t="n">
        <v>1</v>
      </c>
      <c r="AK1009" t="n">
        <v>2</v>
      </c>
      <c r="AL1009" t="n">
        <v>2</v>
      </c>
      <c r="AM1009" t="n">
        <v>6</v>
      </c>
      <c r="AN1009" t="n">
        <v>0</v>
      </c>
      <c r="AO1009" t="n">
        <v>3</v>
      </c>
      <c r="AP1009" t="n">
        <v>0</v>
      </c>
      <c r="AQ1009" t="n">
        <v>0</v>
      </c>
      <c r="AR1009" t="inlineStr">
        <is>
          <t>No</t>
        </is>
      </c>
      <c r="AS1009" t="inlineStr">
        <is>
          <t>No</t>
        </is>
      </c>
      <c r="AU1009">
        <f>HYPERLINK("https://creighton-primo.hosted.exlibrisgroup.com/primo-explore/search?tab=default_tab&amp;search_scope=EVERYTHING&amp;vid=01CRU&amp;lang=en_US&amp;offset=0&amp;query=any,contains,991000860359702656","Catalog Record")</f>
        <v/>
      </c>
      <c r="AV1009">
        <f>HYPERLINK("http://www.worldcat.org/oclc/3367388","WorldCat Record")</f>
        <v/>
      </c>
    </row>
    <row r="1010">
      <c r="D1010" t="inlineStr">
        <is>
          <t>QT 104 H236 1981 S1V2</t>
        </is>
      </c>
      <c r="E1010" t="inlineStr">
        <is>
          <t>0                      QT 0104000H  236         1981   S  1                  V  2</t>
        </is>
      </c>
      <c r="F1010" t="inlineStr">
        <is>
          <t>Handbook of physiology : a critical, comprehensive presentation of physiological knowledge and concepts : Section 1 : the nervous system : Volume II: motor control / section editors, John M. Brookhart, Vernon B. Mountcastle ; volume editor, Vernon B. Brooks ; executive editor, Stephen RG. Geiger.</t>
        </is>
      </c>
      <c r="G1010" t="inlineStr">
        <is>
          <t>V. 2 PT. 1</t>
        </is>
      </c>
      <c r="H1010" t="inlineStr">
        <is>
          <t>Yes</t>
        </is>
      </c>
      <c r="I1010" t="inlineStr">
        <is>
          <t>1</t>
        </is>
      </c>
      <c r="J1010" t="inlineStr">
        <is>
          <t>No</t>
        </is>
      </c>
      <c r="K1010" t="inlineStr">
        <is>
          <t>No</t>
        </is>
      </c>
      <c r="L1010" t="inlineStr">
        <is>
          <t>0</t>
        </is>
      </c>
      <c r="N1010" t="inlineStr">
        <is>
          <t>Bethesda, Md. : American Physiological Society ; Baltimore, Md. : Distributed by the Williams &amp; Wilkins Co., c1981.</t>
        </is>
      </c>
      <c r="O1010" t="inlineStr">
        <is>
          <t>1981</t>
        </is>
      </c>
      <c r="Q1010" t="inlineStr">
        <is>
          <t>eng</t>
        </is>
      </c>
      <c r="R1010" t="inlineStr">
        <is>
          <t>mdu</t>
        </is>
      </c>
      <c r="S1010" t="inlineStr">
        <is>
          <t>Handbook of physiology ; sect. 1, v. 2</t>
        </is>
      </c>
      <c r="T1010" t="inlineStr">
        <is>
          <t xml:space="preserve">QT </t>
        </is>
      </c>
      <c r="U1010" t="n">
        <v>1</v>
      </c>
      <c r="V1010" t="n">
        <v>4</v>
      </c>
      <c r="W1010" t="inlineStr">
        <is>
          <t>2001-12-03</t>
        </is>
      </c>
      <c r="X1010" t="inlineStr">
        <is>
          <t>2001-12-03</t>
        </is>
      </c>
      <c r="Y1010" t="inlineStr">
        <is>
          <t>1987-11-06</t>
        </is>
      </c>
      <c r="Z1010" t="inlineStr">
        <is>
          <t>1987-11-06</t>
        </is>
      </c>
      <c r="AA1010" t="n">
        <v>66</v>
      </c>
      <c r="AB1010" t="n">
        <v>55</v>
      </c>
      <c r="AC1010" t="n">
        <v>57</v>
      </c>
      <c r="AD1010" t="n">
        <v>2</v>
      </c>
      <c r="AE1010" t="n">
        <v>2</v>
      </c>
      <c r="AF1010" t="n">
        <v>1</v>
      </c>
      <c r="AG1010" t="n">
        <v>1</v>
      </c>
      <c r="AH1010" t="n">
        <v>0</v>
      </c>
      <c r="AI1010" t="n">
        <v>0</v>
      </c>
      <c r="AJ1010" t="n">
        <v>1</v>
      </c>
      <c r="AK1010" t="n">
        <v>1</v>
      </c>
      <c r="AL1010" t="n">
        <v>0</v>
      </c>
      <c r="AM1010" t="n">
        <v>0</v>
      </c>
      <c r="AN1010" t="n">
        <v>0</v>
      </c>
      <c r="AO1010" t="n">
        <v>0</v>
      </c>
      <c r="AP1010" t="n">
        <v>0</v>
      </c>
      <c r="AQ1010" t="n">
        <v>0</v>
      </c>
      <c r="AR1010" t="inlineStr">
        <is>
          <t>No</t>
        </is>
      </c>
      <c r="AS1010" t="inlineStr">
        <is>
          <t>Yes</t>
        </is>
      </c>
      <c r="AT1010">
        <f>HYPERLINK("http://catalog.hathitrust.org/Record/010597494","HathiTrust Record")</f>
        <v/>
      </c>
      <c r="AU1010">
        <f>HYPERLINK("https://creighton-primo.hosted.exlibrisgroup.com/primo-explore/search?tab=default_tab&amp;search_scope=EVERYTHING&amp;vid=01CRU&amp;lang=en_US&amp;offset=0&amp;query=any,contains,991001280649702656","Catalog Record")</f>
        <v/>
      </c>
      <c r="AV1010">
        <f>HYPERLINK("http://www.worldcat.org/oclc/8096346","WorldCat Record")</f>
        <v/>
      </c>
    </row>
    <row r="1011">
      <c r="D1011" t="inlineStr">
        <is>
          <t>QT 104 H236 1981 S1V2</t>
        </is>
      </c>
      <c r="E1011" t="inlineStr">
        <is>
          <t>0                      QT 0104000H  236         1981   S  1                  V  2</t>
        </is>
      </c>
      <c r="F1011" t="inlineStr">
        <is>
          <t>Handbook of physiology : a critical, comprehensive presentation of physiological knowledge and concepts : Section 1 : the nervous system : Volume II: motor control / section editors, John M. Brookhart, Vernon B. Mountcastle ; volume editor, Vernon B. Brooks ; executive editor, Stephen RG. Geiger.</t>
        </is>
      </c>
      <c r="G1011" t="inlineStr">
        <is>
          <t>V. 2 PT. 2</t>
        </is>
      </c>
      <c r="H1011" t="inlineStr">
        <is>
          <t>Yes</t>
        </is>
      </c>
      <c r="I1011" t="inlineStr">
        <is>
          <t>1</t>
        </is>
      </c>
      <c r="J1011" t="inlineStr">
        <is>
          <t>No</t>
        </is>
      </c>
      <c r="K1011" t="inlineStr">
        <is>
          <t>No</t>
        </is>
      </c>
      <c r="L1011" t="inlineStr">
        <is>
          <t>0</t>
        </is>
      </c>
      <c r="N1011" t="inlineStr">
        <is>
          <t>Bethesda, Md. : American Physiological Society ; Baltimore, Md. : Distributed by the Williams &amp; Wilkins Co., c1981.</t>
        </is>
      </c>
      <c r="O1011" t="inlineStr">
        <is>
          <t>1981</t>
        </is>
      </c>
      <c r="Q1011" t="inlineStr">
        <is>
          <t>eng</t>
        </is>
      </c>
      <c r="R1011" t="inlineStr">
        <is>
          <t>mdu</t>
        </is>
      </c>
      <c r="S1011" t="inlineStr">
        <is>
          <t>Handbook of physiology ; sect. 1, v. 2</t>
        </is>
      </c>
      <c r="T1011" t="inlineStr">
        <is>
          <t xml:space="preserve">QT </t>
        </is>
      </c>
      <c r="U1011" t="n">
        <v>3</v>
      </c>
      <c r="V1011" t="n">
        <v>4</v>
      </c>
      <c r="W1011" t="inlineStr">
        <is>
          <t>2001-12-03</t>
        </is>
      </c>
      <c r="X1011" t="inlineStr">
        <is>
          <t>2001-12-03</t>
        </is>
      </c>
      <c r="Y1011" t="inlineStr">
        <is>
          <t>1987-11-06</t>
        </is>
      </c>
      <c r="Z1011" t="inlineStr">
        <is>
          <t>1987-11-06</t>
        </is>
      </c>
      <c r="AA1011" t="n">
        <v>66</v>
      </c>
      <c r="AB1011" t="n">
        <v>55</v>
      </c>
      <c r="AC1011" t="n">
        <v>57</v>
      </c>
      <c r="AD1011" t="n">
        <v>2</v>
      </c>
      <c r="AE1011" t="n">
        <v>2</v>
      </c>
      <c r="AF1011" t="n">
        <v>1</v>
      </c>
      <c r="AG1011" t="n">
        <v>1</v>
      </c>
      <c r="AH1011" t="n">
        <v>0</v>
      </c>
      <c r="AI1011" t="n">
        <v>0</v>
      </c>
      <c r="AJ1011" t="n">
        <v>1</v>
      </c>
      <c r="AK1011" t="n">
        <v>1</v>
      </c>
      <c r="AL1011" t="n">
        <v>0</v>
      </c>
      <c r="AM1011" t="n">
        <v>0</v>
      </c>
      <c r="AN1011" t="n">
        <v>0</v>
      </c>
      <c r="AO1011" t="n">
        <v>0</v>
      </c>
      <c r="AP1011" t="n">
        <v>0</v>
      </c>
      <c r="AQ1011" t="n">
        <v>0</v>
      </c>
      <c r="AR1011" t="inlineStr">
        <is>
          <t>No</t>
        </is>
      </c>
      <c r="AS1011" t="inlineStr">
        <is>
          <t>Yes</t>
        </is>
      </c>
      <c r="AT1011">
        <f>HYPERLINK("http://catalog.hathitrust.org/Record/010597494","HathiTrust Record")</f>
        <v/>
      </c>
      <c r="AU1011">
        <f>HYPERLINK("https://creighton-primo.hosted.exlibrisgroup.com/primo-explore/search?tab=default_tab&amp;search_scope=EVERYTHING&amp;vid=01CRU&amp;lang=en_US&amp;offset=0&amp;query=any,contains,991001280649702656","Catalog Record")</f>
        <v/>
      </c>
      <c r="AV1011">
        <f>HYPERLINK("http://www.worldcat.org/oclc/8096346","WorldCat Record")</f>
        <v/>
      </c>
    </row>
    <row r="1012">
      <c r="D1012" t="inlineStr">
        <is>
          <t>QT 104 H236 1983 Section10</t>
        </is>
      </c>
      <c r="E1012" t="inlineStr">
        <is>
          <t>0                      QT 0104000H  236         1983                                        Section10</t>
        </is>
      </c>
      <c r="F1012" t="inlineStr">
        <is>
          <t>Handbook of physiology : a critical, comprehensive presentation of physiological knowledge and concepts : Section 10 : skeletal muscle / section editor, Lee D. Peachey, associate editor, Richard H. Adrian, executive editor, Stephen R. Geiger.</t>
        </is>
      </c>
      <c r="H1012" t="inlineStr">
        <is>
          <t>No</t>
        </is>
      </c>
      <c r="I1012" t="inlineStr">
        <is>
          <t>1</t>
        </is>
      </c>
      <c r="J1012" t="inlineStr">
        <is>
          <t>No</t>
        </is>
      </c>
      <c r="K1012" t="inlineStr">
        <is>
          <t>No</t>
        </is>
      </c>
      <c r="L1012" t="inlineStr">
        <is>
          <t>0</t>
        </is>
      </c>
      <c r="N1012" t="inlineStr">
        <is>
          <t>Bethesda, Md. : American Physiological Society ; Baltimore : Distributed by William &amp; Wilkins, c1983.</t>
        </is>
      </c>
      <c r="O1012" t="inlineStr">
        <is>
          <t>1983</t>
        </is>
      </c>
      <c r="Q1012" t="inlineStr">
        <is>
          <t>eng</t>
        </is>
      </c>
      <c r="R1012" t="inlineStr">
        <is>
          <t>mdu</t>
        </is>
      </c>
      <c r="S1012" t="inlineStr">
        <is>
          <t>Handbook of physiology ; section 10</t>
        </is>
      </c>
      <c r="T1012" t="inlineStr">
        <is>
          <t xml:space="preserve">QT </t>
        </is>
      </c>
      <c r="U1012" t="n">
        <v>5</v>
      </c>
      <c r="V1012" t="n">
        <v>5</v>
      </c>
      <c r="W1012" t="inlineStr">
        <is>
          <t>2003-02-12</t>
        </is>
      </c>
      <c r="X1012" t="inlineStr">
        <is>
          <t>2003-02-12</t>
        </is>
      </c>
      <c r="Y1012" t="inlineStr">
        <is>
          <t>1987-11-06</t>
        </is>
      </c>
      <c r="Z1012" t="inlineStr">
        <is>
          <t>1987-11-06</t>
        </is>
      </c>
      <c r="AA1012" t="n">
        <v>342</v>
      </c>
      <c r="AB1012" t="n">
        <v>283</v>
      </c>
      <c r="AC1012" t="n">
        <v>290</v>
      </c>
      <c r="AD1012" t="n">
        <v>3</v>
      </c>
      <c r="AE1012" t="n">
        <v>3</v>
      </c>
      <c r="AF1012" t="n">
        <v>10</v>
      </c>
      <c r="AG1012" t="n">
        <v>10</v>
      </c>
      <c r="AH1012" t="n">
        <v>3</v>
      </c>
      <c r="AI1012" t="n">
        <v>3</v>
      </c>
      <c r="AJ1012" t="n">
        <v>1</v>
      </c>
      <c r="AK1012" t="n">
        <v>1</v>
      </c>
      <c r="AL1012" t="n">
        <v>6</v>
      </c>
      <c r="AM1012" t="n">
        <v>6</v>
      </c>
      <c r="AN1012" t="n">
        <v>2</v>
      </c>
      <c r="AO1012" t="n">
        <v>2</v>
      </c>
      <c r="AP1012" t="n">
        <v>0</v>
      </c>
      <c r="AQ1012" t="n">
        <v>0</v>
      </c>
      <c r="AR1012" t="inlineStr">
        <is>
          <t>No</t>
        </is>
      </c>
      <c r="AS1012" t="inlineStr">
        <is>
          <t>Yes</t>
        </is>
      </c>
      <c r="AT1012">
        <f>HYPERLINK("http://catalog.hathitrust.org/Record/000222737","HathiTrust Record")</f>
        <v/>
      </c>
      <c r="AU1012">
        <f>HYPERLINK("https://creighton-primo.hosted.exlibrisgroup.com/primo-explore/search?tab=default_tab&amp;search_scope=EVERYTHING&amp;vid=01CRU&amp;lang=en_US&amp;offset=0&amp;query=any,contains,991000764479702656","Catalog Record")</f>
        <v/>
      </c>
      <c r="AV1012">
        <f>HYPERLINK("http://www.worldcat.org/oclc/4134347","WorldCat Record")</f>
        <v/>
      </c>
    </row>
    <row r="1013">
      <c r="D1013" t="inlineStr">
        <is>
          <t>QT 104 H236 1984 S1V3</t>
        </is>
      </c>
      <c r="E1013" t="inlineStr">
        <is>
          <t>0                      QT 0104000H  236         1984   S  1                  V  3</t>
        </is>
      </c>
      <c r="F1013" t="inlineStr">
        <is>
          <t>Handbook of physiology : a critical, comprehensive presentation of physiological knowledge and concepts : Section 1 : the nervous system : Volume III: sensory processes / section editors, John M. Brookhart, Vernon B. Mountcastle ; volume editor, Ian Darian-Smith ; executive editor, Stephen R. Geiger.</t>
        </is>
      </c>
      <c r="G1013" t="inlineStr">
        <is>
          <t>V. 3 PT. 2</t>
        </is>
      </c>
      <c r="H1013" t="inlineStr">
        <is>
          <t>Yes</t>
        </is>
      </c>
      <c r="I1013" t="inlineStr">
        <is>
          <t>1</t>
        </is>
      </c>
      <c r="J1013" t="inlineStr">
        <is>
          <t>No</t>
        </is>
      </c>
      <c r="K1013" t="inlineStr">
        <is>
          <t>No</t>
        </is>
      </c>
      <c r="L1013" t="inlineStr">
        <is>
          <t>0</t>
        </is>
      </c>
      <c r="N1013" t="inlineStr">
        <is>
          <t>Bethesda, Md. : American Physiological Society ; Baltimore, Md. : Distributed by Williams &amp; Wilkins, c1984.</t>
        </is>
      </c>
      <c r="O1013" t="inlineStr">
        <is>
          <t>1984</t>
        </is>
      </c>
      <c r="Q1013" t="inlineStr">
        <is>
          <t>eng</t>
        </is>
      </c>
      <c r="R1013" t="inlineStr">
        <is>
          <t>mdu</t>
        </is>
      </c>
      <c r="S1013" t="inlineStr">
        <is>
          <t>Handbook of physiology ; sect. 1, v. 3</t>
        </is>
      </c>
      <c r="T1013" t="inlineStr">
        <is>
          <t xml:space="preserve">QT </t>
        </is>
      </c>
      <c r="U1013" t="n">
        <v>6</v>
      </c>
      <c r="V1013" t="n">
        <v>6</v>
      </c>
      <c r="W1013" t="inlineStr">
        <is>
          <t>1997-01-27</t>
        </is>
      </c>
      <c r="X1013" t="inlineStr">
        <is>
          <t>1997-01-27</t>
        </is>
      </c>
      <c r="Y1013" t="inlineStr">
        <is>
          <t>1987-11-06</t>
        </is>
      </c>
      <c r="Z1013" t="inlineStr">
        <is>
          <t>2017-02-28</t>
        </is>
      </c>
      <c r="AA1013" t="n">
        <v>70</v>
      </c>
      <c r="AB1013" t="n">
        <v>60</v>
      </c>
      <c r="AC1013" t="n">
        <v>61</v>
      </c>
      <c r="AD1013" t="n">
        <v>1</v>
      </c>
      <c r="AE1013" t="n">
        <v>1</v>
      </c>
      <c r="AF1013" t="n">
        <v>2</v>
      </c>
      <c r="AG1013" t="n">
        <v>2</v>
      </c>
      <c r="AH1013" t="n">
        <v>1</v>
      </c>
      <c r="AI1013" t="n">
        <v>1</v>
      </c>
      <c r="AJ1013" t="n">
        <v>2</v>
      </c>
      <c r="AK1013" t="n">
        <v>2</v>
      </c>
      <c r="AL1013" t="n">
        <v>0</v>
      </c>
      <c r="AM1013" t="n">
        <v>0</v>
      </c>
      <c r="AN1013" t="n">
        <v>0</v>
      </c>
      <c r="AO1013" t="n">
        <v>0</v>
      </c>
      <c r="AP1013" t="n">
        <v>0</v>
      </c>
      <c r="AQ1013" t="n">
        <v>0</v>
      </c>
      <c r="AR1013" t="inlineStr">
        <is>
          <t>No</t>
        </is>
      </c>
      <c r="AS1013" t="inlineStr">
        <is>
          <t>No</t>
        </is>
      </c>
      <c r="AU1013">
        <f>HYPERLINK("https://creighton-primo.hosted.exlibrisgroup.com/primo-explore/search?tab=default_tab&amp;search_scope=EVERYTHING&amp;vid=01CRU&amp;lang=en_US&amp;offset=0&amp;query=any,contains,991001280709702656","Catalog Record")</f>
        <v/>
      </c>
      <c r="AV1013">
        <f>HYPERLINK("http://www.worldcat.org/oclc/10631459","WorldCat Record")</f>
        <v/>
      </c>
    </row>
    <row r="1014">
      <c r="D1014" t="inlineStr">
        <is>
          <t>QT 104 H236 1984 S1V3</t>
        </is>
      </c>
      <c r="E1014" t="inlineStr">
        <is>
          <t>0                      QT 0104000H  236         1984   S  1                  V  3</t>
        </is>
      </c>
      <c r="F1014" t="inlineStr">
        <is>
          <t>Handbook of physiology : a critical, comprehensive presentation of physiological knowledge and concepts : Section 1 : the nervous system : Volume III: sensory processes / section editors, John M. Brookhart, Vernon B. Mountcastle ; volume editor, Ian Darian-Smith ; executive editor, Stephen R. Geiger.</t>
        </is>
      </c>
      <c r="G1014" t="inlineStr">
        <is>
          <t>V. 3 PT. 1</t>
        </is>
      </c>
      <c r="H1014" t="inlineStr">
        <is>
          <t>Yes</t>
        </is>
      </c>
      <c r="J1014" t="inlineStr">
        <is>
          <t>No</t>
        </is>
      </c>
      <c r="K1014" t="inlineStr">
        <is>
          <t>No</t>
        </is>
      </c>
      <c r="L1014" t="inlineStr">
        <is>
          <t>0</t>
        </is>
      </c>
      <c r="N1014" t="inlineStr">
        <is>
          <t>Bethesda, Md. : American Physiological Society ; Baltimore, Md. : Distributed by Williams &amp; Wilkins, c1984.</t>
        </is>
      </c>
      <c r="O1014" t="inlineStr">
        <is>
          <t>1984</t>
        </is>
      </c>
      <c r="Q1014" t="inlineStr">
        <is>
          <t>eng</t>
        </is>
      </c>
      <c r="R1014" t="inlineStr">
        <is>
          <t>mdu</t>
        </is>
      </c>
      <c r="S1014" t="inlineStr">
        <is>
          <t>Handbook of physiology ; sect. 1, v. 3</t>
        </is>
      </c>
      <c r="T1014" t="inlineStr">
        <is>
          <t xml:space="preserve">QT </t>
        </is>
      </c>
      <c r="U1014" t="n">
        <v>0</v>
      </c>
      <c r="V1014" t="n">
        <v>6</v>
      </c>
      <c r="X1014" t="inlineStr">
        <is>
          <t>1997-01-27</t>
        </is>
      </c>
      <c r="Y1014" t="inlineStr">
        <is>
          <t>2017-02-28</t>
        </is>
      </c>
      <c r="Z1014" t="inlineStr">
        <is>
          <t>2017-02-28</t>
        </is>
      </c>
      <c r="AA1014" t="n">
        <v>70</v>
      </c>
      <c r="AB1014" t="n">
        <v>60</v>
      </c>
      <c r="AC1014" t="n">
        <v>61</v>
      </c>
      <c r="AD1014" t="n">
        <v>1</v>
      </c>
      <c r="AE1014" t="n">
        <v>1</v>
      </c>
      <c r="AF1014" t="n">
        <v>2</v>
      </c>
      <c r="AG1014" t="n">
        <v>2</v>
      </c>
      <c r="AH1014" t="n">
        <v>1</v>
      </c>
      <c r="AI1014" t="n">
        <v>1</v>
      </c>
      <c r="AJ1014" t="n">
        <v>2</v>
      </c>
      <c r="AK1014" t="n">
        <v>2</v>
      </c>
      <c r="AL1014" t="n">
        <v>0</v>
      </c>
      <c r="AM1014" t="n">
        <v>0</v>
      </c>
      <c r="AN1014" t="n">
        <v>0</v>
      </c>
      <c r="AO1014" t="n">
        <v>0</v>
      </c>
      <c r="AP1014" t="n">
        <v>0</v>
      </c>
      <c r="AQ1014" t="n">
        <v>0</v>
      </c>
      <c r="AR1014" t="inlineStr">
        <is>
          <t>No</t>
        </is>
      </c>
      <c r="AS1014" t="inlineStr">
        <is>
          <t>No</t>
        </is>
      </c>
      <c r="AU1014">
        <f>HYPERLINK("https://creighton-primo.hosted.exlibrisgroup.com/primo-explore/search?tab=default_tab&amp;search_scope=EVERYTHING&amp;vid=01CRU&amp;lang=en_US&amp;offset=0&amp;query=any,contains,991001280709702656","Catalog Record")</f>
        <v/>
      </c>
      <c r="AV1014">
        <f>HYPERLINK("http://www.worldcat.org/oclc/10631459","WorldCat Record")</f>
        <v/>
      </c>
    </row>
    <row r="1015">
      <c r="D1015" t="inlineStr">
        <is>
          <t>QT 104 H236 1984 S2,v.4</t>
        </is>
      </c>
      <c r="E1015" t="inlineStr">
        <is>
          <t>0                      QT 0104000H  236         1984   S  2                                 v.4</t>
        </is>
      </c>
      <c r="F1015" t="inlineStr">
        <is>
          <t>Handbook of physiology : a critical, comprehensive presentation of physiological knowledge and concepts : section 2: the cardiovascular system ; Volume IV: Microcirculation / volume editors, Eugene M. Renkin, C. Charles Michel ; executive editor, Stephen R. Geiger.</t>
        </is>
      </c>
      <c r="G1015" t="inlineStr">
        <is>
          <t>V. 4 PT. 1</t>
        </is>
      </c>
      <c r="H1015" t="inlineStr">
        <is>
          <t>Yes</t>
        </is>
      </c>
      <c r="I1015" t="inlineStr">
        <is>
          <t>1</t>
        </is>
      </c>
      <c r="J1015" t="inlineStr">
        <is>
          <t>No</t>
        </is>
      </c>
      <c r="K1015" t="inlineStr">
        <is>
          <t>No</t>
        </is>
      </c>
      <c r="L1015" t="inlineStr">
        <is>
          <t>0</t>
        </is>
      </c>
      <c r="N1015" t="inlineStr">
        <is>
          <t>Bethesda, Md. : American Physiological Society, c1984.</t>
        </is>
      </c>
      <c r="O1015" t="inlineStr">
        <is>
          <t>1984</t>
        </is>
      </c>
      <c r="Q1015" t="inlineStr">
        <is>
          <t>eng</t>
        </is>
      </c>
      <c r="R1015" t="inlineStr">
        <is>
          <t>mdu</t>
        </is>
      </c>
      <c r="S1015" t="inlineStr">
        <is>
          <t>Handbook of physiology ; sect. 2, v. 4</t>
        </is>
      </c>
      <c r="T1015" t="inlineStr">
        <is>
          <t xml:space="preserve">QT </t>
        </is>
      </c>
      <c r="U1015" t="n">
        <v>7</v>
      </c>
      <c r="V1015" t="n">
        <v>11</v>
      </c>
      <c r="W1015" t="inlineStr">
        <is>
          <t>1990-07-17</t>
        </is>
      </c>
      <c r="X1015" t="inlineStr">
        <is>
          <t>1990-07-17</t>
        </is>
      </c>
      <c r="Y1015" t="inlineStr">
        <is>
          <t>1990-06-15</t>
        </is>
      </c>
      <c r="Z1015" t="inlineStr">
        <is>
          <t>1990-06-15</t>
        </is>
      </c>
      <c r="AA1015" t="n">
        <v>48</v>
      </c>
      <c r="AB1015" t="n">
        <v>42</v>
      </c>
      <c r="AC1015" t="n">
        <v>43</v>
      </c>
      <c r="AD1015" t="n">
        <v>1</v>
      </c>
      <c r="AE1015" t="n">
        <v>1</v>
      </c>
      <c r="AF1015" t="n">
        <v>1</v>
      </c>
      <c r="AG1015" t="n">
        <v>1</v>
      </c>
      <c r="AH1015" t="n">
        <v>0</v>
      </c>
      <c r="AI1015" t="n">
        <v>0</v>
      </c>
      <c r="AJ1015" t="n">
        <v>1</v>
      </c>
      <c r="AK1015" t="n">
        <v>1</v>
      </c>
      <c r="AL1015" t="n">
        <v>0</v>
      </c>
      <c r="AM1015" t="n">
        <v>0</v>
      </c>
      <c r="AN1015" t="n">
        <v>0</v>
      </c>
      <c r="AO1015" t="n">
        <v>0</v>
      </c>
      <c r="AP1015" t="n">
        <v>0</v>
      </c>
      <c r="AQ1015" t="n">
        <v>0</v>
      </c>
      <c r="AR1015" t="inlineStr">
        <is>
          <t>No</t>
        </is>
      </c>
      <c r="AS1015" t="inlineStr">
        <is>
          <t>No</t>
        </is>
      </c>
      <c r="AU1015">
        <f>HYPERLINK("https://creighton-primo.hosted.exlibrisgroup.com/primo-explore/search?tab=default_tab&amp;search_scope=EVERYTHING&amp;vid=01CRU&amp;lang=en_US&amp;offset=0&amp;query=any,contains,991001374779702656","Catalog Record")</f>
        <v/>
      </c>
      <c r="AV1015">
        <f>HYPERLINK("http://www.worldcat.org/oclc/11377550","WorldCat Record")</f>
        <v/>
      </c>
    </row>
    <row r="1016">
      <c r="D1016" t="inlineStr">
        <is>
          <t>QT 104 H236 1984 S2,v.4</t>
        </is>
      </c>
      <c r="E1016" t="inlineStr">
        <is>
          <t>0                      QT 0104000H  236         1984   S  2                                 v.4</t>
        </is>
      </c>
      <c r="F1016" t="inlineStr">
        <is>
          <t>Handbook of physiology : a critical, comprehensive presentation of physiological knowledge and concepts : section 2: the cardiovascular system ; Volume IV: Microcirculation / volume editors, Eugene M. Renkin, C. Charles Michel ; executive editor, Stephen R. Geiger.</t>
        </is>
      </c>
      <c r="G1016" t="inlineStr">
        <is>
          <t>V. 4 PT. 2</t>
        </is>
      </c>
      <c r="H1016" t="inlineStr">
        <is>
          <t>Yes</t>
        </is>
      </c>
      <c r="I1016" t="inlineStr">
        <is>
          <t>1</t>
        </is>
      </c>
      <c r="J1016" t="inlineStr">
        <is>
          <t>No</t>
        </is>
      </c>
      <c r="K1016" t="inlineStr">
        <is>
          <t>No</t>
        </is>
      </c>
      <c r="L1016" t="inlineStr">
        <is>
          <t>0</t>
        </is>
      </c>
      <c r="N1016" t="inlineStr">
        <is>
          <t>Bethesda, Md. : American Physiological Society, c1984.</t>
        </is>
      </c>
      <c r="O1016" t="inlineStr">
        <is>
          <t>1984</t>
        </is>
      </c>
      <c r="Q1016" t="inlineStr">
        <is>
          <t>eng</t>
        </is>
      </c>
      <c r="R1016" t="inlineStr">
        <is>
          <t>mdu</t>
        </is>
      </c>
      <c r="S1016" t="inlineStr">
        <is>
          <t>Handbook of physiology ; sect. 2, v. 4</t>
        </is>
      </c>
      <c r="T1016" t="inlineStr">
        <is>
          <t xml:space="preserve">QT </t>
        </is>
      </c>
      <c r="U1016" t="n">
        <v>4</v>
      </c>
      <c r="V1016" t="n">
        <v>11</v>
      </c>
      <c r="W1016" t="inlineStr">
        <is>
          <t>1990-07-17</t>
        </is>
      </c>
      <c r="X1016" t="inlineStr">
        <is>
          <t>1990-07-17</t>
        </is>
      </c>
      <c r="Y1016" t="inlineStr">
        <is>
          <t>1990-06-15</t>
        </is>
      </c>
      <c r="Z1016" t="inlineStr">
        <is>
          <t>1990-06-15</t>
        </is>
      </c>
      <c r="AA1016" t="n">
        <v>48</v>
      </c>
      <c r="AB1016" t="n">
        <v>42</v>
      </c>
      <c r="AC1016" t="n">
        <v>43</v>
      </c>
      <c r="AD1016" t="n">
        <v>1</v>
      </c>
      <c r="AE1016" t="n">
        <v>1</v>
      </c>
      <c r="AF1016" t="n">
        <v>1</v>
      </c>
      <c r="AG1016" t="n">
        <v>1</v>
      </c>
      <c r="AH1016" t="n">
        <v>0</v>
      </c>
      <c r="AI1016" t="n">
        <v>0</v>
      </c>
      <c r="AJ1016" t="n">
        <v>1</v>
      </c>
      <c r="AK1016" t="n">
        <v>1</v>
      </c>
      <c r="AL1016" t="n">
        <v>0</v>
      </c>
      <c r="AM1016" t="n">
        <v>0</v>
      </c>
      <c r="AN1016" t="n">
        <v>0</v>
      </c>
      <c r="AO1016" t="n">
        <v>0</v>
      </c>
      <c r="AP1016" t="n">
        <v>0</v>
      </c>
      <c r="AQ1016" t="n">
        <v>0</v>
      </c>
      <c r="AR1016" t="inlineStr">
        <is>
          <t>No</t>
        </is>
      </c>
      <c r="AS1016" t="inlineStr">
        <is>
          <t>No</t>
        </is>
      </c>
      <c r="AU1016">
        <f>HYPERLINK("https://creighton-primo.hosted.exlibrisgroup.com/primo-explore/search?tab=default_tab&amp;search_scope=EVERYTHING&amp;vid=01CRU&amp;lang=en_US&amp;offset=0&amp;query=any,contains,991001374779702656","Catalog Record")</f>
        <v/>
      </c>
      <c r="AV1016">
        <f>HYPERLINK("http://www.worldcat.org/oclc/11377550","WorldCat Record")</f>
        <v/>
      </c>
    </row>
    <row r="1017">
      <c r="D1017" t="inlineStr">
        <is>
          <t>QT 104 H236 1985-86 Section 3</t>
        </is>
      </c>
      <c r="E1017" t="inlineStr">
        <is>
          <t>0                      QT 0104000H  236         1985                                        -86 Section 3</t>
        </is>
      </c>
      <c r="F1017" t="inlineStr">
        <is>
          <t>Handbook of physiology : a critical, comprehensive presentation of physiological knowledge and concepts : the respiratory system / section editor, Alfred P. Fishman ; executive editor, Stephen R. Geiger.</t>
        </is>
      </c>
      <c r="G1017" t="inlineStr">
        <is>
          <t>V. 2 PT. 1</t>
        </is>
      </c>
      <c r="H1017" t="inlineStr">
        <is>
          <t>Yes</t>
        </is>
      </c>
      <c r="I1017" t="inlineStr">
        <is>
          <t>2</t>
        </is>
      </c>
      <c r="J1017" t="inlineStr">
        <is>
          <t>Yes</t>
        </is>
      </c>
      <c r="K1017" t="inlineStr">
        <is>
          <t>No</t>
        </is>
      </c>
      <c r="L1017" t="inlineStr">
        <is>
          <t>0</t>
        </is>
      </c>
      <c r="N1017" t="inlineStr">
        <is>
          <t>Bethesda, Md. : American Physiological Society ; Baltimore, Md. : Distributed by Williams &amp; Wilkins, c1985-1986. &gt;</t>
        </is>
      </c>
      <c r="O1017" t="inlineStr">
        <is>
          <t>1985</t>
        </is>
      </c>
      <c r="Q1017" t="inlineStr">
        <is>
          <t>eng</t>
        </is>
      </c>
      <c r="R1017" t="inlineStr">
        <is>
          <t>mdu</t>
        </is>
      </c>
      <c r="S1017" t="inlineStr">
        <is>
          <t>Handbook of physiology ; section 3</t>
        </is>
      </c>
      <c r="T1017" t="inlineStr">
        <is>
          <t xml:space="preserve">QT </t>
        </is>
      </c>
      <c r="U1017" t="n">
        <v>1</v>
      </c>
      <c r="V1017" t="n">
        <v>6</v>
      </c>
      <c r="W1017" t="inlineStr">
        <is>
          <t>2003-02-12</t>
        </is>
      </c>
      <c r="X1017" t="inlineStr">
        <is>
          <t>2003-02-12</t>
        </is>
      </c>
      <c r="Y1017" t="inlineStr">
        <is>
          <t>1987-11-06</t>
        </is>
      </c>
      <c r="Z1017" t="inlineStr">
        <is>
          <t>1988-12-30</t>
        </is>
      </c>
      <c r="AA1017" t="n">
        <v>311</v>
      </c>
      <c r="AB1017" t="n">
        <v>244</v>
      </c>
      <c r="AC1017" t="n">
        <v>249</v>
      </c>
      <c r="AD1017" t="n">
        <v>3</v>
      </c>
      <c r="AE1017" t="n">
        <v>3</v>
      </c>
      <c r="AF1017" t="n">
        <v>9</v>
      </c>
      <c r="AG1017" t="n">
        <v>9</v>
      </c>
      <c r="AH1017" t="n">
        <v>1</v>
      </c>
      <c r="AI1017" t="n">
        <v>1</v>
      </c>
      <c r="AJ1017" t="n">
        <v>2</v>
      </c>
      <c r="AK1017" t="n">
        <v>2</v>
      </c>
      <c r="AL1017" t="n">
        <v>5</v>
      </c>
      <c r="AM1017" t="n">
        <v>5</v>
      </c>
      <c r="AN1017" t="n">
        <v>2</v>
      </c>
      <c r="AO1017" t="n">
        <v>2</v>
      </c>
      <c r="AP1017" t="n">
        <v>0</v>
      </c>
      <c r="AQ1017" t="n">
        <v>0</v>
      </c>
      <c r="AR1017" t="inlineStr">
        <is>
          <t>No</t>
        </is>
      </c>
      <c r="AS1017" t="inlineStr">
        <is>
          <t>Yes</t>
        </is>
      </c>
      <c r="AT1017">
        <f>HYPERLINK("http://catalog.hathitrust.org/Record/000372273","HathiTrust Record")</f>
        <v/>
      </c>
      <c r="AU1017">
        <f>HYPERLINK("https://creighton-primo.hosted.exlibrisgroup.com/primo-explore/search?tab=default_tab&amp;search_scope=EVERYTHING&amp;vid=01CRU&amp;lang=en_US&amp;offset=0&amp;query=any,contains,991000860519702656","Catalog Record")</f>
        <v/>
      </c>
      <c r="AV1017">
        <f>HYPERLINK("http://www.worldcat.org/oclc/11468311","WorldCat Record")</f>
        <v/>
      </c>
    </row>
    <row r="1018">
      <c r="D1018" t="inlineStr">
        <is>
          <t>QT 104 H236 1985-86 Section 3</t>
        </is>
      </c>
      <c r="E1018" t="inlineStr">
        <is>
          <t>0                      QT 0104000H  236         1985                                        -86 Section 3</t>
        </is>
      </c>
      <c r="F1018" t="inlineStr">
        <is>
          <t>Handbook of physiology : a critical, comprehensive presentation of physiological knowledge and concepts : the respiratory system / section editor, Alfred P. Fishman ; executive editor, Stephen R. Geiger.</t>
        </is>
      </c>
      <c r="G1018" t="inlineStr">
        <is>
          <t>V. 1</t>
        </is>
      </c>
      <c r="H1018" t="inlineStr">
        <is>
          <t>Yes</t>
        </is>
      </c>
      <c r="I1018" t="inlineStr">
        <is>
          <t>1</t>
        </is>
      </c>
      <c r="J1018" t="inlineStr">
        <is>
          <t>No</t>
        </is>
      </c>
      <c r="K1018" t="inlineStr">
        <is>
          <t>No</t>
        </is>
      </c>
      <c r="L1018" t="inlineStr">
        <is>
          <t>0</t>
        </is>
      </c>
      <c r="N1018" t="inlineStr">
        <is>
          <t>Bethesda, Md. : American Physiological Society ; Baltimore, Md. : Distributed by Williams &amp; Wilkins, c1985-1986. &gt;</t>
        </is>
      </c>
      <c r="O1018" t="inlineStr">
        <is>
          <t>1985</t>
        </is>
      </c>
      <c r="Q1018" t="inlineStr">
        <is>
          <t>eng</t>
        </is>
      </c>
      <c r="R1018" t="inlineStr">
        <is>
          <t>mdu</t>
        </is>
      </c>
      <c r="S1018" t="inlineStr">
        <is>
          <t>Handbook of physiology ; section 3</t>
        </is>
      </c>
      <c r="T1018" t="inlineStr">
        <is>
          <t xml:space="preserve">QT </t>
        </is>
      </c>
      <c r="U1018" t="n">
        <v>1</v>
      </c>
      <c r="V1018" t="n">
        <v>6</v>
      </c>
      <c r="W1018" t="inlineStr">
        <is>
          <t>1990-07-16</t>
        </is>
      </c>
      <c r="X1018" t="inlineStr">
        <is>
          <t>2003-02-12</t>
        </is>
      </c>
      <c r="Y1018" t="inlineStr">
        <is>
          <t>1987-11-06</t>
        </is>
      </c>
      <c r="Z1018" t="inlineStr">
        <is>
          <t>1988-12-30</t>
        </is>
      </c>
      <c r="AA1018" t="n">
        <v>311</v>
      </c>
      <c r="AB1018" t="n">
        <v>244</v>
      </c>
      <c r="AC1018" t="n">
        <v>249</v>
      </c>
      <c r="AD1018" t="n">
        <v>3</v>
      </c>
      <c r="AE1018" t="n">
        <v>3</v>
      </c>
      <c r="AF1018" t="n">
        <v>9</v>
      </c>
      <c r="AG1018" t="n">
        <v>9</v>
      </c>
      <c r="AH1018" t="n">
        <v>1</v>
      </c>
      <c r="AI1018" t="n">
        <v>1</v>
      </c>
      <c r="AJ1018" t="n">
        <v>2</v>
      </c>
      <c r="AK1018" t="n">
        <v>2</v>
      </c>
      <c r="AL1018" t="n">
        <v>5</v>
      </c>
      <c r="AM1018" t="n">
        <v>5</v>
      </c>
      <c r="AN1018" t="n">
        <v>2</v>
      </c>
      <c r="AO1018" t="n">
        <v>2</v>
      </c>
      <c r="AP1018" t="n">
        <v>0</v>
      </c>
      <c r="AQ1018" t="n">
        <v>0</v>
      </c>
      <c r="AR1018" t="inlineStr">
        <is>
          <t>No</t>
        </is>
      </c>
      <c r="AS1018" t="inlineStr">
        <is>
          <t>Yes</t>
        </is>
      </c>
      <c r="AT1018">
        <f>HYPERLINK("http://catalog.hathitrust.org/Record/000372273","HathiTrust Record")</f>
        <v/>
      </c>
      <c r="AU1018">
        <f>HYPERLINK("https://creighton-primo.hosted.exlibrisgroup.com/primo-explore/search?tab=default_tab&amp;search_scope=EVERYTHING&amp;vid=01CRU&amp;lang=en_US&amp;offset=0&amp;query=any,contains,991000860519702656","Catalog Record")</f>
        <v/>
      </c>
      <c r="AV1018">
        <f>HYPERLINK("http://www.worldcat.org/oclc/11468311","WorldCat Record")</f>
        <v/>
      </c>
    </row>
    <row r="1019">
      <c r="D1019" t="inlineStr">
        <is>
          <t>QT 104 H236 1985-86 Section 3</t>
        </is>
      </c>
      <c r="E1019" t="inlineStr">
        <is>
          <t>0                      QT 0104000H  236         1985                                        -86 Section 3</t>
        </is>
      </c>
      <c r="F1019" t="inlineStr">
        <is>
          <t>Handbook of physiology : a critical, comprehensive presentation of physiological knowledge and concepts : the respiratory system / section editor, Alfred P. Fishman ; executive editor, Stephen R. Geiger.</t>
        </is>
      </c>
      <c r="G1019" t="inlineStr">
        <is>
          <t>V. 2 PT. 1</t>
        </is>
      </c>
      <c r="H1019" t="inlineStr">
        <is>
          <t>Yes</t>
        </is>
      </c>
      <c r="I1019" t="inlineStr">
        <is>
          <t>1</t>
        </is>
      </c>
      <c r="J1019" t="inlineStr">
        <is>
          <t>Yes</t>
        </is>
      </c>
      <c r="K1019" t="inlineStr">
        <is>
          <t>No</t>
        </is>
      </c>
      <c r="L1019" t="inlineStr">
        <is>
          <t>0</t>
        </is>
      </c>
      <c r="N1019" t="inlineStr">
        <is>
          <t>Bethesda, Md. : American Physiological Society ; Baltimore, Md. : Distributed by Williams &amp; Wilkins, c1985-1986. &gt;</t>
        </is>
      </c>
      <c r="O1019" t="inlineStr">
        <is>
          <t>1985</t>
        </is>
      </c>
      <c r="Q1019" t="inlineStr">
        <is>
          <t>eng</t>
        </is>
      </c>
      <c r="R1019" t="inlineStr">
        <is>
          <t>mdu</t>
        </is>
      </c>
      <c r="S1019" t="inlineStr">
        <is>
          <t>Handbook of physiology ; section 3</t>
        </is>
      </c>
      <c r="T1019" t="inlineStr">
        <is>
          <t xml:space="preserve">QT </t>
        </is>
      </c>
      <c r="U1019" t="n">
        <v>3</v>
      </c>
      <c r="V1019" t="n">
        <v>6</v>
      </c>
      <c r="W1019" t="inlineStr">
        <is>
          <t>1993-04-18</t>
        </is>
      </c>
      <c r="X1019" t="inlineStr">
        <is>
          <t>2003-02-12</t>
        </is>
      </c>
      <c r="Y1019" t="inlineStr">
        <is>
          <t>1988-12-30</t>
        </is>
      </c>
      <c r="Z1019" t="inlineStr">
        <is>
          <t>1988-12-30</t>
        </is>
      </c>
      <c r="AA1019" t="n">
        <v>311</v>
      </c>
      <c r="AB1019" t="n">
        <v>244</v>
      </c>
      <c r="AC1019" t="n">
        <v>249</v>
      </c>
      <c r="AD1019" t="n">
        <v>3</v>
      </c>
      <c r="AE1019" t="n">
        <v>3</v>
      </c>
      <c r="AF1019" t="n">
        <v>9</v>
      </c>
      <c r="AG1019" t="n">
        <v>9</v>
      </c>
      <c r="AH1019" t="n">
        <v>1</v>
      </c>
      <c r="AI1019" t="n">
        <v>1</v>
      </c>
      <c r="AJ1019" t="n">
        <v>2</v>
      </c>
      <c r="AK1019" t="n">
        <v>2</v>
      </c>
      <c r="AL1019" t="n">
        <v>5</v>
      </c>
      <c r="AM1019" t="n">
        <v>5</v>
      </c>
      <c r="AN1019" t="n">
        <v>2</v>
      </c>
      <c r="AO1019" t="n">
        <v>2</v>
      </c>
      <c r="AP1019" t="n">
        <v>0</v>
      </c>
      <c r="AQ1019" t="n">
        <v>0</v>
      </c>
      <c r="AR1019" t="inlineStr">
        <is>
          <t>No</t>
        </is>
      </c>
      <c r="AS1019" t="inlineStr">
        <is>
          <t>Yes</t>
        </is>
      </c>
      <c r="AT1019">
        <f>HYPERLINK("http://catalog.hathitrust.org/Record/000372273","HathiTrust Record")</f>
        <v/>
      </c>
      <c r="AU1019">
        <f>HYPERLINK("https://creighton-primo.hosted.exlibrisgroup.com/primo-explore/search?tab=default_tab&amp;search_scope=EVERYTHING&amp;vid=01CRU&amp;lang=en_US&amp;offset=0&amp;query=any,contains,991000860519702656","Catalog Record")</f>
        <v/>
      </c>
      <c r="AV1019">
        <f>HYPERLINK("http://www.worldcat.org/oclc/11468311","WorldCat Record")</f>
        <v/>
      </c>
    </row>
    <row r="1020">
      <c r="D1020" t="inlineStr">
        <is>
          <t>QT 104 H236 1986 s1v4</t>
        </is>
      </c>
      <c r="E1020" t="inlineStr">
        <is>
          <t>0                      QT 0104000H  236         1986                                        s1v4</t>
        </is>
      </c>
      <c r="F1020" t="inlineStr">
        <is>
          <t>Handbook of physiology : a critical, comprehensive presentation of physiological knowledge and concepts : Section 1: the nervous system : volume IV: intrinsic regulatory systems of the brain / section editor, Vernon B. Mountcastle ; volume editor, FLoyd E. Bloom ; executive editor, Steven R. Geiger.</t>
        </is>
      </c>
      <c r="G1020" t="inlineStr">
        <is>
          <t>V. 4</t>
        </is>
      </c>
      <c r="H1020" t="inlineStr">
        <is>
          <t>No</t>
        </is>
      </c>
      <c r="I1020" t="inlineStr">
        <is>
          <t>1</t>
        </is>
      </c>
      <c r="J1020" t="inlineStr">
        <is>
          <t>No</t>
        </is>
      </c>
      <c r="K1020" t="inlineStr">
        <is>
          <t>No</t>
        </is>
      </c>
      <c r="L1020" t="inlineStr">
        <is>
          <t>0</t>
        </is>
      </c>
      <c r="N1020" t="inlineStr">
        <is>
          <t>Bethesda, Md. : American Physiological Society ; Baltimore, Md. : Distributed by the Williams &amp; Wilkins Co., c1986.</t>
        </is>
      </c>
      <c r="O1020" t="inlineStr">
        <is>
          <t>1986</t>
        </is>
      </c>
      <c r="Q1020" t="inlineStr">
        <is>
          <t>eng</t>
        </is>
      </c>
      <c r="R1020" t="inlineStr">
        <is>
          <t>mdu</t>
        </is>
      </c>
      <c r="S1020" t="inlineStr">
        <is>
          <t>Handbook of physiology ; sect. 1, v. 4</t>
        </is>
      </c>
      <c r="T1020" t="inlineStr">
        <is>
          <t xml:space="preserve">QT </t>
        </is>
      </c>
      <c r="U1020" t="n">
        <v>6</v>
      </c>
      <c r="V1020" t="n">
        <v>6</v>
      </c>
      <c r="W1020" t="inlineStr">
        <is>
          <t>1995-03-05</t>
        </is>
      </c>
      <c r="X1020" t="inlineStr">
        <is>
          <t>1995-03-05</t>
        </is>
      </c>
      <c r="Y1020" t="inlineStr">
        <is>
          <t>1987-11-06</t>
        </is>
      </c>
      <c r="Z1020" t="inlineStr">
        <is>
          <t>1987-11-06</t>
        </is>
      </c>
      <c r="AA1020" t="n">
        <v>77</v>
      </c>
      <c r="AB1020" t="n">
        <v>61</v>
      </c>
      <c r="AC1020" t="n">
        <v>62</v>
      </c>
      <c r="AD1020" t="n">
        <v>1</v>
      </c>
      <c r="AE1020" t="n">
        <v>1</v>
      </c>
      <c r="AF1020" t="n">
        <v>2</v>
      </c>
      <c r="AG1020" t="n">
        <v>2</v>
      </c>
      <c r="AH1020" t="n">
        <v>1</v>
      </c>
      <c r="AI1020" t="n">
        <v>1</v>
      </c>
      <c r="AJ1020" t="n">
        <v>1</v>
      </c>
      <c r="AK1020" t="n">
        <v>1</v>
      </c>
      <c r="AL1020" t="n">
        <v>0</v>
      </c>
      <c r="AM1020" t="n">
        <v>0</v>
      </c>
      <c r="AN1020" t="n">
        <v>0</v>
      </c>
      <c r="AO1020" t="n">
        <v>0</v>
      </c>
      <c r="AP1020" t="n">
        <v>0</v>
      </c>
      <c r="AQ1020" t="n">
        <v>0</v>
      </c>
      <c r="AR1020" t="inlineStr">
        <is>
          <t>No</t>
        </is>
      </c>
      <c r="AS1020" t="inlineStr">
        <is>
          <t>No</t>
        </is>
      </c>
      <c r="AU1020">
        <f>HYPERLINK("https://creighton-primo.hosted.exlibrisgroup.com/primo-explore/search?tab=default_tab&amp;search_scope=EVERYTHING&amp;vid=01CRU&amp;lang=en_US&amp;offset=0&amp;query=any,contains,991001280769702656","Catalog Record")</f>
        <v/>
      </c>
      <c r="AV1020">
        <f>HYPERLINK("http://www.worldcat.org/oclc/14286669","WorldCat Record")</f>
        <v/>
      </c>
    </row>
    <row r="1021">
      <c r="D1021" t="inlineStr">
        <is>
          <t>QT 104 H236 1986 S3v3</t>
        </is>
      </c>
      <c r="E1021" t="inlineStr">
        <is>
          <t>0                      QT 0104000H  236         1986                                        S3v3</t>
        </is>
      </c>
      <c r="F1021" t="inlineStr">
        <is>
          <t>Handbook of physiology : a critical, comprehensive presentation of physiological knowledge and concepts : the respiratory system : Volume III : mechanics of breathing / section editor, Alfred P. Fishman ; volume editors, Peter T. Macklem, Jere Mead ; executive editor, Stephen R. Geiger.</t>
        </is>
      </c>
      <c r="G1021" t="inlineStr">
        <is>
          <t>V. 3 PT. 2</t>
        </is>
      </c>
      <c r="H1021" t="inlineStr">
        <is>
          <t>Yes</t>
        </is>
      </c>
      <c r="I1021" t="inlineStr">
        <is>
          <t>1</t>
        </is>
      </c>
      <c r="J1021" t="inlineStr">
        <is>
          <t>No</t>
        </is>
      </c>
      <c r="K1021" t="inlineStr">
        <is>
          <t>No</t>
        </is>
      </c>
      <c r="L1021" t="inlineStr">
        <is>
          <t>0</t>
        </is>
      </c>
      <c r="N1021" t="inlineStr">
        <is>
          <t>Bethesda, Md. : American Physiological Society, c1986.</t>
        </is>
      </c>
      <c r="O1021" t="inlineStr">
        <is>
          <t>1986</t>
        </is>
      </c>
      <c r="Q1021" t="inlineStr">
        <is>
          <t>eng</t>
        </is>
      </c>
      <c r="R1021" t="inlineStr">
        <is>
          <t>mdu</t>
        </is>
      </c>
      <c r="S1021" t="inlineStr">
        <is>
          <t>Handbook of physiology ; section 3, v. 3</t>
        </is>
      </c>
      <c r="T1021" t="inlineStr">
        <is>
          <t xml:space="preserve">QT </t>
        </is>
      </c>
      <c r="U1021" t="n">
        <v>7</v>
      </c>
      <c r="V1021" t="n">
        <v>13</v>
      </c>
      <c r="W1021" t="inlineStr">
        <is>
          <t>1997-10-22</t>
        </is>
      </c>
      <c r="X1021" t="inlineStr">
        <is>
          <t>2000-11-20</t>
        </is>
      </c>
      <c r="Y1021" t="inlineStr">
        <is>
          <t>1987-11-06</t>
        </is>
      </c>
      <c r="Z1021" t="inlineStr">
        <is>
          <t>1987-11-06</t>
        </is>
      </c>
      <c r="AA1021" t="n">
        <v>56</v>
      </c>
      <c r="AB1021" t="n">
        <v>42</v>
      </c>
      <c r="AC1021" t="n">
        <v>43</v>
      </c>
      <c r="AD1021" t="n">
        <v>1</v>
      </c>
      <c r="AE1021" t="n">
        <v>1</v>
      </c>
      <c r="AF1021" t="n">
        <v>1</v>
      </c>
      <c r="AG1021" t="n">
        <v>1</v>
      </c>
      <c r="AH1021" t="n">
        <v>0</v>
      </c>
      <c r="AI1021" t="n">
        <v>0</v>
      </c>
      <c r="AJ1021" t="n">
        <v>1</v>
      </c>
      <c r="AK1021" t="n">
        <v>1</v>
      </c>
      <c r="AL1021" t="n">
        <v>0</v>
      </c>
      <c r="AM1021" t="n">
        <v>0</v>
      </c>
      <c r="AN1021" t="n">
        <v>0</v>
      </c>
      <c r="AO1021" t="n">
        <v>0</v>
      </c>
      <c r="AP1021" t="n">
        <v>0</v>
      </c>
      <c r="AQ1021" t="n">
        <v>0</v>
      </c>
      <c r="AR1021" t="inlineStr">
        <is>
          <t>No</t>
        </is>
      </c>
      <c r="AS1021" t="inlineStr">
        <is>
          <t>No</t>
        </is>
      </c>
      <c r="AU1021">
        <f>HYPERLINK("https://creighton-primo.hosted.exlibrisgroup.com/primo-explore/search?tab=default_tab&amp;search_scope=EVERYTHING&amp;vid=01CRU&amp;lang=en_US&amp;offset=0&amp;query=any,contains,991000764439702656","Catalog Record")</f>
        <v/>
      </c>
      <c r="AV1021">
        <f>HYPERLINK("http://www.worldcat.org/oclc/13612665","WorldCat Record")</f>
        <v/>
      </c>
    </row>
    <row r="1022">
      <c r="D1022" t="inlineStr">
        <is>
          <t>QT 104 H236 1986 S3v3</t>
        </is>
      </c>
      <c r="E1022" t="inlineStr">
        <is>
          <t>0                      QT 0104000H  236         1986                                        S3v3</t>
        </is>
      </c>
      <c r="F1022" t="inlineStr">
        <is>
          <t>Handbook of physiology : a critical, comprehensive presentation of physiological knowledge and concepts : the respiratory system : Volume III : mechanics of breathing / section editor, Alfred P. Fishman ; volume editors, Peter T. Macklem, Jere Mead ; executive editor, Stephen R. Geiger.</t>
        </is>
      </c>
      <c r="G1022" t="inlineStr">
        <is>
          <t>V. 3 PT. 1</t>
        </is>
      </c>
      <c r="H1022" t="inlineStr">
        <is>
          <t>Yes</t>
        </is>
      </c>
      <c r="I1022" t="inlineStr">
        <is>
          <t>1</t>
        </is>
      </c>
      <c r="J1022" t="inlineStr">
        <is>
          <t>No</t>
        </is>
      </c>
      <c r="K1022" t="inlineStr">
        <is>
          <t>No</t>
        </is>
      </c>
      <c r="L1022" t="inlineStr">
        <is>
          <t>0</t>
        </is>
      </c>
      <c r="N1022" t="inlineStr">
        <is>
          <t>Bethesda, Md. : American Physiological Society, c1986.</t>
        </is>
      </c>
      <c r="O1022" t="inlineStr">
        <is>
          <t>1986</t>
        </is>
      </c>
      <c r="Q1022" t="inlineStr">
        <is>
          <t>eng</t>
        </is>
      </c>
      <c r="R1022" t="inlineStr">
        <is>
          <t>mdu</t>
        </is>
      </c>
      <c r="S1022" t="inlineStr">
        <is>
          <t>Handbook of physiology ; section 3, v. 3</t>
        </is>
      </c>
      <c r="T1022" t="inlineStr">
        <is>
          <t xml:space="preserve">QT </t>
        </is>
      </c>
      <c r="U1022" t="n">
        <v>6</v>
      </c>
      <c r="V1022" t="n">
        <v>13</v>
      </c>
      <c r="W1022" t="inlineStr">
        <is>
          <t>2000-11-20</t>
        </is>
      </c>
      <c r="X1022" t="inlineStr">
        <is>
          <t>2000-11-20</t>
        </is>
      </c>
      <c r="Y1022" t="inlineStr">
        <is>
          <t>1987-11-06</t>
        </is>
      </c>
      <c r="Z1022" t="inlineStr">
        <is>
          <t>1987-11-06</t>
        </is>
      </c>
      <c r="AA1022" t="n">
        <v>56</v>
      </c>
      <c r="AB1022" t="n">
        <v>42</v>
      </c>
      <c r="AC1022" t="n">
        <v>43</v>
      </c>
      <c r="AD1022" t="n">
        <v>1</v>
      </c>
      <c r="AE1022" t="n">
        <v>1</v>
      </c>
      <c r="AF1022" t="n">
        <v>1</v>
      </c>
      <c r="AG1022" t="n">
        <v>1</v>
      </c>
      <c r="AH1022" t="n">
        <v>0</v>
      </c>
      <c r="AI1022" t="n">
        <v>0</v>
      </c>
      <c r="AJ1022" t="n">
        <v>1</v>
      </c>
      <c r="AK1022" t="n">
        <v>1</v>
      </c>
      <c r="AL1022" t="n">
        <v>0</v>
      </c>
      <c r="AM1022" t="n">
        <v>0</v>
      </c>
      <c r="AN1022" t="n">
        <v>0</v>
      </c>
      <c r="AO1022" t="n">
        <v>0</v>
      </c>
      <c r="AP1022" t="n">
        <v>0</v>
      </c>
      <c r="AQ1022" t="n">
        <v>0</v>
      </c>
      <c r="AR1022" t="inlineStr">
        <is>
          <t>No</t>
        </is>
      </c>
      <c r="AS1022" t="inlineStr">
        <is>
          <t>No</t>
        </is>
      </c>
      <c r="AU1022">
        <f>HYPERLINK("https://creighton-primo.hosted.exlibrisgroup.com/primo-explore/search?tab=default_tab&amp;search_scope=EVERYTHING&amp;vid=01CRU&amp;lang=en_US&amp;offset=0&amp;query=any,contains,991000764439702656","Catalog Record")</f>
        <v/>
      </c>
      <c r="AV1022">
        <f>HYPERLINK("http://www.worldcat.org/oclc/13612665","WorldCat Record")</f>
        <v/>
      </c>
    </row>
    <row r="1023">
      <c r="D1023" t="inlineStr">
        <is>
          <t>QT104 H236 1986 SECT. 3</t>
        </is>
      </c>
      <c r="E1023" t="inlineStr">
        <is>
          <t>0                      QT 0104000H  236         1986                                        SECT. 3</t>
        </is>
      </c>
      <c r="F1023" t="inlineStr">
        <is>
          <t>Handbook of physiology : a critical, comprehensive presentation of physiological knowledge and concepts : the respiratory system / section editor, Alfred P. Fishman ; executive editor, Stephen R. Geiger.</t>
        </is>
      </c>
      <c r="G1023" t="inlineStr">
        <is>
          <t>V. 2 PT. 2</t>
        </is>
      </c>
      <c r="H1023" t="inlineStr">
        <is>
          <t>Yes</t>
        </is>
      </c>
      <c r="I1023" t="inlineStr">
        <is>
          <t>2</t>
        </is>
      </c>
      <c r="J1023" t="inlineStr">
        <is>
          <t>Yes</t>
        </is>
      </c>
      <c r="K1023" t="inlineStr">
        <is>
          <t>No</t>
        </is>
      </c>
      <c r="L1023" t="inlineStr">
        <is>
          <t>0</t>
        </is>
      </c>
      <c r="N1023" t="inlineStr">
        <is>
          <t>Bethesda, Md. : American Physiological Society ; Baltimore, Md. : Distributed by Williams &amp; Wilkins, c1985-1986. &gt;</t>
        </is>
      </c>
      <c r="O1023" t="inlineStr">
        <is>
          <t>1985</t>
        </is>
      </c>
      <c r="Q1023" t="inlineStr">
        <is>
          <t>eng</t>
        </is>
      </c>
      <c r="R1023" t="inlineStr">
        <is>
          <t>mdu</t>
        </is>
      </c>
      <c r="S1023" t="inlineStr">
        <is>
          <t>Handbook of physiology ; section 3</t>
        </is>
      </c>
      <c r="T1023" t="inlineStr">
        <is>
          <t xml:space="preserve">QT </t>
        </is>
      </c>
      <c r="U1023" t="n">
        <v>1</v>
      </c>
      <c r="V1023" t="n">
        <v>6</v>
      </c>
      <c r="W1023" t="inlineStr">
        <is>
          <t>2003-02-12</t>
        </is>
      </c>
      <c r="X1023" t="inlineStr">
        <is>
          <t>2003-02-12</t>
        </is>
      </c>
      <c r="Y1023" t="inlineStr">
        <is>
          <t>1987-11-06</t>
        </is>
      </c>
      <c r="Z1023" t="inlineStr">
        <is>
          <t>1988-12-30</t>
        </is>
      </c>
      <c r="AA1023" t="n">
        <v>311</v>
      </c>
      <c r="AB1023" t="n">
        <v>244</v>
      </c>
      <c r="AC1023" t="n">
        <v>249</v>
      </c>
      <c r="AD1023" t="n">
        <v>3</v>
      </c>
      <c r="AE1023" t="n">
        <v>3</v>
      </c>
      <c r="AF1023" t="n">
        <v>9</v>
      </c>
      <c r="AG1023" t="n">
        <v>9</v>
      </c>
      <c r="AH1023" t="n">
        <v>1</v>
      </c>
      <c r="AI1023" t="n">
        <v>1</v>
      </c>
      <c r="AJ1023" t="n">
        <v>2</v>
      </c>
      <c r="AK1023" t="n">
        <v>2</v>
      </c>
      <c r="AL1023" t="n">
        <v>5</v>
      </c>
      <c r="AM1023" t="n">
        <v>5</v>
      </c>
      <c r="AN1023" t="n">
        <v>2</v>
      </c>
      <c r="AO1023" t="n">
        <v>2</v>
      </c>
      <c r="AP1023" t="n">
        <v>0</v>
      </c>
      <c r="AQ1023" t="n">
        <v>0</v>
      </c>
      <c r="AR1023" t="inlineStr">
        <is>
          <t>No</t>
        </is>
      </c>
      <c r="AS1023" t="inlineStr">
        <is>
          <t>Yes</t>
        </is>
      </c>
      <c r="AT1023">
        <f>HYPERLINK("http://catalog.hathitrust.org/Record/000372273","HathiTrust Record")</f>
        <v/>
      </c>
      <c r="AU1023">
        <f>HYPERLINK("https://creighton-primo.hosted.exlibrisgroup.com/primo-explore/search?tab=default_tab&amp;search_scope=EVERYTHING&amp;vid=01CRU&amp;lang=en_US&amp;offset=0&amp;query=any,contains,991000860519702656","Catalog Record")</f>
        <v/>
      </c>
      <c r="AV1023">
        <f>HYPERLINK("http://www.worldcat.org/oclc/11468311","WorldCat Record")</f>
        <v/>
      </c>
    </row>
    <row r="1024">
      <c r="D1024" t="inlineStr">
        <is>
          <t>QT104 H236 1986 SECT. 3</t>
        </is>
      </c>
      <c r="E1024" t="inlineStr">
        <is>
          <t>0                      QT 0104000H  236         1986                                        SECT. 3</t>
        </is>
      </c>
      <c r="F1024" t="inlineStr">
        <is>
          <t>Handbook of physiology : a critical, comprehensive presentation of physiological knowledge and concepts : the respiratory system / section editor, Alfred P. Fishman ; executive editor, Stephen R. Geiger.</t>
        </is>
      </c>
      <c r="G1024" t="inlineStr">
        <is>
          <t>V. 2 PT. 2</t>
        </is>
      </c>
      <c r="H1024" t="inlineStr">
        <is>
          <t>Yes</t>
        </is>
      </c>
      <c r="I1024" t="inlineStr">
        <is>
          <t>1</t>
        </is>
      </c>
      <c r="J1024" t="inlineStr">
        <is>
          <t>Yes</t>
        </is>
      </c>
      <c r="K1024" t="inlineStr">
        <is>
          <t>No</t>
        </is>
      </c>
      <c r="L1024" t="inlineStr">
        <is>
          <t>0</t>
        </is>
      </c>
      <c r="N1024" t="inlineStr">
        <is>
          <t>Bethesda, Md. : American Physiological Society ; Baltimore, Md. : Distributed by Williams &amp; Wilkins, c1985-1986. &gt;</t>
        </is>
      </c>
      <c r="O1024" t="inlineStr">
        <is>
          <t>1985</t>
        </is>
      </c>
      <c r="Q1024" t="inlineStr">
        <is>
          <t>eng</t>
        </is>
      </c>
      <c r="R1024" t="inlineStr">
        <is>
          <t>mdu</t>
        </is>
      </c>
      <c r="S1024" t="inlineStr">
        <is>
          <t>Handbook of physiology ; section 3</t>
        </is>
      </c>
      <c r="T1024" t="inlineStr">
        <is>
          <t xml:space="preserve">QT </t>
        </is>
      </c>
      <c r="U1024" t="n">
        <v>0</v>
      </c>
      <c r="V1024" t="n">
        <v>6</v>
      </c>
      <c r="X1024" t="inlineStr">
        <is>
          <t>2003-02-12</t>
        </is>
      </c>
      <c r="Y1024" t="inlineStr">
        <is>
          <t>1988-12-30</t>
        </is>
      </c>
      <c r="Z1024" t="inlineStr">
        <is>
          <t>1988-12-30</t>
        </is>
      </c>
      <c r="AA1024" t="n">
        <v>311</v>
      </c>
      <c r="AB1024" t="n">
        <v>244</v>
      </c>
      <c r="AC1024" t="n">
        <v>249</v>
      </c>
      <c r="AD1024" t="n">
        <v>3</v>
      </c>
      <c r="AE1024" t="n">
        <v>3</v>
      </c>
      <c r="AF1024" t="n">
        <v>9</v>
      </c>
      <c r="AG1024" t="n">
        <v>9</v>
      </c>
      <c r="AH1024" t="n">
        <v>1</v>
      </c>
      <c r="AI1024" t="n">
        <v>1</v>
      </c>
      <c r="AJ1024" t="n">
        <v>2</v>
      </c>
      <c r="AK1024" t="n">
        <v>2</v>
      </c>
      <c r="AL1024" t="n">
        <v>5</v>
      </c>
      <c r="AM1024" t="n">
        <v>5</v>
      </c>
      <c r="AN1024" t="n">
        <v>2</v>
      </c>
      <c r="AO1024" t="n">
        <v>2</v>
      </c>
      <c r="AP1024" t="n">
        <v>0</v>
      </c>
      <c r="AQ1024" t="n">
        <v>0</v>
      </c>
      <c r="AR1024" t="inlineStr">
        <is>
          <t>No</t>
        </is>
      </c>
      <c r="AS1024" t="inlineStr">
        <is>
          <t>Yes</t>
        </is>
      </c>
      <c r="AT1024">
        <f>HYPERLINK("http://catalog.hathitrust.org/Record/000372273","HathiTrust Record")</f>
        <v/>
      </c>
      <c r="AU1024">
        <f>HYPERLINK("https://creighton-primo.hosted.exlibrisgroup.com/primo-explore/search?tab=default_tab&amp;search_scope=EVERYTHING&amp;vid=01CRU&amp;lang=en_US&amp;offset=0&amp;query=any,contains,991000860519702656","Catalog Record")</f>
        <v/>
      </c>
      <c r="AV1024">
        <f>HYPERLINK("http://www.worldcat.org/oclc/11468311","WorldCat Record")</f>
        <v/>
      </c>
    </row>
    <row r="1025">
      <c r="D1025" t="inlineStr">
        <is>
          <t>QT 104 H236 1987 S1V5</t>
        </is>
      </c>
      <c r="E1025" t="inlineStr">
        <is>
          <t>0                      QT 0104000H  236         1987   S  1                  V  5</t>
        </is>
      </c>
      <c r="F1025" t="inlineStr">
        <is>
          <t>Handbook of physiology : a critical, comprehensive presentation of physiological knowledge and concepts : Section 1: The Nervous system : Volume V: Higher functions of the brain / section editor, Vernon B. Mountcastle ; volume editor, Fred Blum ; executive editor, Stephen R. Geiger.</t>
        </is>
      </c>
      <c r="G1025" t="inlineStr">
        <is>
          <t>V. 5 PT. 2</t>
        </is>
      </c>
      <c r="H1025" t="inlineStr">
        <is>
          <t>Yes</t>
        </is>
      </c>
      <c r="I1025" t="inlineStr">
        <is>
          <t>1</t>
        </is>
      </c>
      <c r="J1025" t="inlineStr">
        <is>
          <t>No</t>
        </is>
      </c>
      <c r="K1025" t="inlineStr">
        <is>
          <t>No</t>
        </is>
      </c>
      <c r="L1025" t="inlineStr">
        <is>
          <t>0</t>
        </is>
      </c>
      <c r="N1025" t="inlineStr">
        <is>
          <t>Bethesda, Md. : American Physiological Society ; Baltimore, Md. : distributed by Williams &amp; Wilkins Co., c1987</t>
        </is>
      </c>
      <c r="O1025" t="inlineStr">
        <is>
          <t>1987</t>
        </is>
      </c>
      <c r="Q1025" t="inlineStr">
        <is>
          <t>eng</t>
        </is>
      </c>
      <c r="R1025" t="inlineStr">
        <is>
          <t>mdu</t>
        </is>
      </c>
      <c r="S1025" t="inlineStr">
        <is>
          <t>Handbook of physiology ; sect.1, v. 5</t>
        </is>
      </c>
      <c r="T1025" t="inlineStr">
        <is>
          <t xml:space="preserve">QT </t>
        </is>
      </c>
      <c r="U1025" t="n">
        <v>2</v>
      </c>
      <c r="V1025" t="n">
        <v>3</v>
      </c>
      <c r="W1025" t="inlineStr">
        <is>
          <t>1995-03-05</t>
        </is>
      </c>
      <c r="X1025" t="inlineStr">
        <is>
          <t>1995-03-05</t>
        </is>
      </c>
      <c r="Y1025" t="inlineStr">
        <is>
          <t>1987-12-10</t>
        </is>
      </c>
      <c r="Z1025" t="inlineStr">
        <is>
          <t>1987-12-10</t>
        </is>
      </c>
      <c r="AA1025" t="n">
        <v>50</v>
      </c>
      <c r="AB1025" t="n">
        <v>46</v>
      </c>
      <c r="AC1025" t="n">
        <v>47</v>
      </c>
      <c r="AD1025" t="n">
        <v>1</v>
      </c>
      <c r="AE1025" t="n">
        <v>1</v>
      </c>
      <c r="AF1025" t="n">
        <v>1</v>
      </c>
      <c r="AG1025" t="n">
        <v>1</v>
      </c>
      <c r="AH1025" t="n">
        <v>0</v>
      </c>
      <c r="AI1025" t="n">
        <v>0</v>
      </c>
      <c r="AJ1025" t="n">
        <v>1</v>
      </c>
      <c r="AK1025" t="n">
        <v>1</v>
      </c>
      <c r="AL1025" t="n">
        <v>0</v>
      </c>
      <c r="AM1025" t="n">
        <v>0</v>
      </c>
      <c r="AN1025" t="n">
        <v>0</v>
      </c>
      <c r="AO1025" t="n">
        <v>0</v>
      </c>
      <c r="AP1025" t="n">
        <v>0</v>
      </c>
      <c r="AQ1025" t="n">
        <v>0</v>
      </c>
      <c r="AR1025" t="inlineStr">
        <is>
          <t>No</t>
        </is>
      </c>
      <c r="AS1025" t="inlineStr">
        <is>
          <t>No</t>
        </is>
      </c>
      <c r="AU1025">
        <f>HYPERLINK("https://creighton-primo.hosted.exlibrisgroup.com/primo-explore/search?tab=default_tab&amp;search_scope=EVERYTHING&amp;vid=01CRU&amp;lang=en_US&amp;offset=0&amp;query=any,contains,991001532419702656","Catalog Record")</f>
        <v/>
      </c>
      <c r="AV1025">
        <f>HYPERLINK("http://www.worldcat.org/oclc/16850191","WorldCat Record")</f>
        <v/>
      </c>
    </row>
    <row r="1026">
      <c r="D1026" t="inlineStr">
        <is>
          <t>QT 104 H236 1987 S1V5</t>
        </is>
      </c>
      <c r="E1026" t="inlineStr">
        <is>
          <t>0                      QT 0104000H  236         1987   S  1                  V  5</t>
        </is>
      </c>
      <c r="F1026" t="inlineStr">
        <is>
          <t>Handbook of physiology : a critical, comprehensive presentation of physiological knowledge and concepts : Section 1: The Nervous system : Volume V: Higher functions of the brain / section editor, Vernon B. Mountcastle ; volume editor, Fred Blum ; executive editor, Stephen R. Geiger.</t>
        </is>
      </c>
      <c r="G1026" t="inlineStr">
        <is>
          <t>V. 5 PT. 1</t>
        </is>
      </c>
      <c r="H1026" t="inlineStr">
        <is>
          <t>Yes</t>
        </is>
      </c>
      <c r="I1026" t="inlineStr">
        <is>
          <t>1</t>
        </is>
      </c>
      <c r="J1026" t="inlineStr">
        <is>
          <t>No</t>
        </is>
      </c>
      <c r="K1026" t="inlineStr">
        <is>
          <t>No</t>
        </is>
      </c>
      <c r="L1026" t="inlineStr">
        <is>
          <t>0</t>
        </is>
      </c>
      <c r="N1026" t="inlineStr">
        <is>
          <t>Bethesda, Md. : American Physiological Society ; Baltimore, Md. : distributed by Williams &amp; Wilkins Co., c1987</t>
        </is>
      </c>
      <c r="O1026" t="inlineStr">
        <is>
          <t>1987</t>
        </is>
      </c>
      <c r="Q1026" t="inlineStr">
        <is>
          <t>eng</t>
        </is>
      </c>
      <c r="R1026" t="inlineStr">
        <is>
          <t>mdu</t>
        </is>
      </c>
      <c r="S1026" t="inlineStr">
        <is>
          <t>Handbook of physiology ; sect.1, v. 5</t>
        </is>
      </c>
      <c r="T1026" t="inlineStr">
        <is>
          <t xml:space="preserve">QT </t>
        </is>
      </c>
      <c r="U1026" t="n">
        <v>1</v>
      </c>
      <c r="V1026" t="n">
        <v>3</v>
      </c>
      <c r="X1026" t="inlineStr">
        <is>
          <t>1995-03-05</t>
        </is>
      </c>
      <c r="Y1026" t="inlineStr">
        <is>
          <t>1987-12-10</t>
        </is>
      </c>
      <c r="Z1026" t="inlineStr">
        <is>
          <t>1987-12-10</t>
        </is>
      </c>
      <c r="AA1026" t="n">
        <v>50</v>
      </c>
      <c r="AB1026" t="n">
        <v>46</v>
      </c>
      <c r="AC1026" t="n">
        <v>47</v>
      </c>
      <c r="AD1026" t="n">
        <v>1</v>
      </c>
      <c r="AE1026" t="n">
        <v>1</v>
      </c>
      <c r="AF1026" t="n">
        <v>1</v>
      </c>
      <c r="AG1026" t="n">
        <v>1</v>
      </c>
      <c r="AH1026" t="n">
        <v>0</v>
      </c>
      <c r="AI1026" t="n">
        <v>0</v>
      </c>
      <c r="AJ1026" t="n">
        <v>1</v>
      </c>
      <c r="AK1026" t="n">
        <v>1</v>
      </c>
      <c r="AL1026" t="n">
        <v>0</v>
      </c>
      <c r="AM1026" t="n">
        <v>0</v>
      </c>
      <c r="AN1026" t="n">
        <v>0</v>
      </c>
      <c r="AO1026" t="n">
        <v>0</v>
      </c>
      <c r="AP1026" t="n">
        <v>0</v>
      </c>
      <c r="AQ1026" t="n">
        <v>0</v>
      </c>
      <c r="AR1026" t="inlineStr">
        <is>
          <t>No</t>
        </is>
      </c>
      <c r="AS1026" t="inlineStr">
        <is>
          <t>No</t>
        </is>
      </c>
      <c r="AU1026">
        <f>HYPERLINK("https://creighton-primo.hosted.exlibrisgroup.com/primo-explore/search?tab=default_tab&amp;search_scope=EVERYTHING&amp;vid=01CRU&amp;lang=en_US&amp;offset=0&amp;query=any,contains,991001532419702656","Catalog Record")</f>
        <v/>
      </c>
      <c r="AV1026">
        <f>HYPERLINK("http://www.worldcat.org/oclc/16850191","WorldCat Record")</f>
        <v/>
      </c>
    </row>
    <row r="1027">
      <c r="D1027" t="inlineStr">
        <is>
          <t>QT 104 H236 1987 S3V4</t>
        </is>
      </c>
      <c r="E1027" t="inlineStr">
        <is>
          <t>0                      QT 0104000H  236         1987   S  3                  V  4</t>
        </is>
      </c>
      <c r="F1027" t="inlineStr">
        <is>
          <t>Handbook of physiology : a critical, comprehensive presentation of physiological knowledge and concepts : Section 3: The Respiratory system : Volume IV : Gas exchange / section editor, Alfred P. Fishman ; volume editors, Leon E. Farhi, S. Marsh Tenney ; executive editor, Stephen R. Geiger.</t>
        </is>
      </c>
      <c r="G1027" t="inlineStr">
        <is>
          <t>V. 4</t>
        </is>
      </c>
      <c r="H1027" t="inlineStr">
        <is>
          <t>No</t>
        </is>
      </c>
      <c r="I1027" t="inlineStr">
        <is>
          <t>1</t>
        </is>
      </c>
      <c r="J1027" t="inlineStr">
        <is>
          <t>No</t>
        </is>
      </c>
      <c r="K1027" t="inlineStr">
        <is>
          <t>No</t>
        </is>
      </c>
      <c r="L1027" t="inlineStr">
        <is>
          <t>0</t>
        </is>
      </c>
      <c r="N1027" t="inlineStr">
        <is>
          <t>Bethesda, Md. : American Physiological Society, c1987.</t>
        </is>
      </c>
      <c r="O1027" t="inlineStr">
        <is>
          <t>1987</t>
        </is>
      </c>
      <c r="Q1027" t="inlineStr">
        <is>
          <t>eng</t>
        </is>
      </c>
      <c r="R1027" t="inlineStr">
        <is>
          <t>mdu</t>
        </is>
      </c>
      <c r="S1027" t="inlineStr">
        <is>
          <t>Handbook of physiology ; section 3, v. 4</t>
        </is>
      </c>
      <c r="T1027" t="inlineStr">
        <is>
          <t xml:space="preserve">QT </t>
        </is>
      </c>
      <c r="U1027" t="n">
        <v>3</v>
      </c>
      <c r="V1027" t="n">
        <v>3</v>
      </c>
      <c r="W1027" t="inlineStr">
        <is>
          <t>1990-07-16</t>
        </is>
      </c>
      <c r="X1027" t="inlineStr">
        <is>
          <t>1990-07-16</t>
        </is>
      </c>
      <c r="Y1027" t="inlineStr">
        <is>
          <t>1989-02-11</t>
        </is>
      </c>
      <c r="Z1027" t="inlineStr">
        <is>
          <t>1989-02-11</t>
        </is>
      </c>
      <c r="AA1027" t="n">
        <v>56</v>
      </c>
      <c r="AB1027" t="n">
        <v>46</v>
      </c>
      <c r="AC1027" t="n">
        <v>47</v>
      </c>
      <c r="AD1027" t="n">
        <v>1</v>
      </c>
      <c r="AE1027" t="n">
        <v>1</v>
      </c>
      <c r="AF1027" t="n">
        <v>1</v>
      </c>
      <c r="AG1027" t="n">
        <v>1</v>
      </c>
      <c r="AH1027" t="n">
        <v>0</v>
      </c>
      <c r="AI1027" t="n">
        <v>0</v>
      </c>
      <c r="AJ1027" t="n">
        <v>1</v>
      </c>
      <c r="AK1027" t="n">
        <v>1</v>
      </c>
      <c r="AL1027" t="n">
        <v>0</v>
      </c>
      <c r="AM1027" t="n">
        <v>0</v>
      </c>
      <c r="AN1027" t="n">
        <v>0</v>
      </c>
      <c r="AO1027" t="n">
        <v>0</v>
      </c>
      <c r="AP1027" t="n">
        <v>0</v>
      </c>
      <c r="AQ1027" t="n">
        <v>0</v>
      </c>
      <c r="AR1027" t="inlineStr">
        <is>
          <t>No</t>
        </is>
      </c>
      <c r="AS1027" t="inlineStr">
        <is>
          <t>No</t>
        </is>
      </c>
      <c r="AU1027">
        <f>HYPERLINK("https://creighton-primo.hosted.exlibrisgroup.com/primo-explore/search?tab=default_tab&amp;search_scope=EVERYTHING&amp;vid=01CRU&amp;lang=en_US&amp;offset=0&amp;query=any,contains,991001426649702656","Catalog Record")</f>
        <v/>
      </c>
      <c r="AV1027">
        <f>HYPERLINK("http://www.worldcat.org/oclc/15788727","WorldCat Record")</f>
        <v/>
      </c>
    </row>
    <row r="1028">
      <c r="D1028" t="inlineStr">
        <is>
          <t>QT 104 H236 1989 S6v3</t>
        </is>
      </c>
      <c r="E1028" t="inlineStr">
        <is>
          <t>0                      QT 0104000H  236         1989                                        S6v3</t>
        </is>
      </c>
      <c r="F1028" t="inlineStr">
        <is>
          <t>Handbook of physiology : a critical, comprehensive presentation of physiological knowledge and concepts : the gastrointestinal system : salivary, gastric, pancreatic, and hepatobiliary secretion / volume editor, John G. Forte.</t>
        </is>
      </c>
      <c r="G1028" t="inlineStr">
        <is>
          <t>V. 3</t>
        </is>
      </c>
      <c r="H1028" t="inlineStr">
        <is>
          <t>No</t>
        </is>
      </c>
      <c r="I1028" t="inlineStr">
        <is>
          <t>1</t>
        </is>
      </c>
      <c r="J1028" t="inlineStr">
        <is>
          <t>No</t>
        </is>
      </c>
      <c r="K1028" t="inlineStr">
        <is>
          <t>No</t>
        </is>
      </c>
      <c r="L1028" t="inlineStr">
        <is>
          <t>0</t>
        </is>
      </c>
      <c r="N1028" t="inlineStr">
        <is>
          <t>Bethesda, Md. : American Physiological Society, c1989.</t>
        </is>
      </c>
      <c r="O1028" t="inlineStr">
        <is>
          <t>1989</t>
        </is>
      </c>
      <c r="Q1028" t="inlineStr">
        <is>
          <t>eng</t>
        </is>
      </c>
      <c r="R1028" t="inlineStr">
        <is>
          <t>mdu</t>
        </is>
      </c>
      <c r="S1028" t="inlineStr">
        <is>
          <t>Handbook of physiology [Rev. ed.] ; sect. 6, v. 3.</t>
        </is>
      </c>
      <c r="T1028" t="inlineStr">
        <is>
          <t xml:space="preserve">QT </t>
        </is>
      </c>
      <c r="U1028" t="n">
        <v>14</v>
      </c>
      <c r="V1028" t="n">
        <v>14</v>
      </c>
      <c r="W1028" t="inlineStr">
        <is>
          <t>2009-02-19</t>
        </is>
      </c>
      <c r="X1028" t="inlineStr">
        <is>
          <t>2009-02-19</t>
        </is>
      </c>
      <c r="Y1028" t="inlineStr">
        <is>
          <t>1990-06-15</t>
        </is>
      </c>
      <c r="Z1028" t="inlineStr">
        <is>
          <t>1990-06-15</t>
        </is>
      </c>
      <c r="AA1028" t="n">
        <v>31</v>
      </c>
      <c r="AB1028" t="n">
        <v>24</v>
      </c>
      <c r="AC1028" t="n">
        <v>27</v>
      </c>
      <c r="AD1028" t="n">
        <v>1</v>
      </c>
      <c r="AE1028" t="n">
        <v>1</v>
      </c>
      <c r="AF1028" t="n">
        <v>1</v>
      </c>
      <c r="AG1028" t="n">
        <v>1</v>
      </c>
      <c r="AH1028" t="n">
        <v>0</v>
      </c>
      <c r="AI1028" t="n">
        <v>0</v>
      </c>
      <c r="AJ1028" t="n">
        <v>1</v>
      </c>
      <c r="AK1028" t="n">
        <v>1</v>
      </c>
      <c r="AL1028" t="n">
        <v>0</v>
      </c>
      <c r="AM1028" t="n">
        <v>0</v>
      </c>
      <c r="AN1028" t="n">
        <v>0</v>
      </c>
      <c r="AO1028" t="n">
        <v>0</v>
      </c>
      <c r="AP1028" t="n">
        <v>0</v>
      </c>
      <c r="AQ1028" t="n">
        <v>0</v>
      </c>
      <c r="AR1028" t="inlineStr">
        <is>
          <t>No</t>
        </is>
      </c>
      <c r="AS1028" t="inlineStr">
        <is>
          <t>No</t>
        </is>
      </c>
      <c r="AU1028">
        <f>HYPERLINK("https://creighton-primo.hosted.exlibrisgroup.com/primo-explore/search?tab=default_tab&amp;search_scope=EVERYTHING&amp;vid=01CRU&amp;lang=en_US&amp;offset=0&amp;query=any,contains,991001448869702656","Catalog Record")</f>
        <v/>
      </c>
      <c r="AV1028">
        <f>HYPERLINK("http://www.worldcat.org/oclc/20619403","WorldCat Record")</f>
        <v/>
      </c>
    </row>
    <row r="1029">
      <c r="D1029" t="inlineStr">
        <is>
          <t>QT 104 H236 1989 S6V2</t>
        </is>
      </c>
      <c r="E1029" t="inlineStr">
        <is>
          <t>0                      QT 0104000H  236         1989   S  6                  V  2</t>
        </is>
      </c>
      <c r="F1029" t="inlineStr">
        <is>
          <t>Handbook of physiology : a critical, comprehensive presentation of physiological knowledge and concepts : The Gastrointestinal system ; Volume II: Neural and endocrine biology / section editor, Stanley G. Schultz ; volume editor, Gabriel M. Makhlouf ; executive editor, Brenda B. Rauner.</t>
        </is>
      </c>
      <c r="H1029" t="inlineStr">
        <is>
          <t>No</t>
        </is>
      </c>
      <c r="I1029" t="inlineStr">
        <is>
          <t>1</t>
        </is>
      </c>
      <c r="J1029" t="inlineStr">
        <is>
          <t>No</t>
        </is>
      </c>
      <c r="K1029" t="inlineStr">
        <is>
          <t>No</t>
        </is>
      </c>
      <c r="L1029" t="inlineStr">
        <is>
          <t>0</t>
        </is>
      </c>
      <c r="N1029" t="inlineStr">
        <is>
          <t>Bethesda, Md. : American Physiological Society, c1989.</t>
        </is>
      </c>
      <c r="O1029" t="inlineStr">
        <is>
          <t>1989</t>
        </is>
      </c>
      <c r="P1029" t="inlineStr">
        <is>
          <t>Rev. 2nd ed.</t>
        </is>
      </c>
      <c r="Q1029" t="inlineStr">
        <is>
          <t>eng</t>
        </is>
      </c>
      <c r="R1029" t="inlineStr">
        <is>
          <t>mdu</t>
        </is>
      </c>
      <c r="S1029" t="inlineStr">
        <is>
          <t>Handbook of physiology ; section 6,volume 2</t>
        </is>
      </c>
      <c r="T1029" t="inlineStr">
        <is>
          <t xml:space="preserve">QT </t>
        </is>
      </c>
      <c r="U1029" t="n">
        <v>19</v>
      </c>
      <c r="V1029" t="n">
        <v>19</v>
      </c>
      <c r="W1029" t="inlineStr">
        <is>
          <t>2009-02-19</t>
        </is>
      </c>
      <c r="X1029" t="inlineStr">
        <is>
          <t>2009-02-19</t>
        </is>
      </c>
      <c r="Y1029" t="inlineStr">
        <is>
          <t>1989-09-22</t>
        </is>
      </c>
      <c r="Z1029" t="inlineStr">
        <is>
          <t>1989-09-22</t>
        </is>
      </c>
      <c r="AA1029" t="n">
        <v>39</v>
      </c>
      <c r="AB1029" t="n">
        <v>28</v>
      </c>
      <c r="AC1029" t="n">
        <v>30</v>
      </c>
      <c r="AD1029" t="n">
        <v>1</v>
      </c>
      <c r="AE1029" t="n">
        <v>1</v>
      </c>
      <c r="AF1029" t="n">
        <v>1</v>
      </c>
      <c r="AG1029" t="n">
        <v>1</v>
      </c>
      <c r="AH1029" t="n">
        <v>0</v>
      </c>
      <c r="AI1029" t="n">
        <v>0</v>
      </c>
      <c r="AJ1029" t="n">
        <v>1</v>
      </c>
      <c r="AK1029" t="n">
        <v>1</v>
      </c>
      <c r="AL1029" t="n">
        <v>0</v>
      </c>
      <c r="AM1029" t="n">
        <v>0</v>
      </c>
      <c r="AN1029" t="n">
        <v>0</v>
      </c>
      <c r="AO1029" t="n">
        <v>0</v>
      </c>
      <c r="AP1029" t="n">
        <v>0</v>
      </c>
      <c r="AQ1029" t="n">
        <v>0</v>
      </c>
      <c r="AR1029" t="inlineStr">
        <is>
          <t>No</t>
        </is>
      </c>
      <c r="AS1029" t="inlineStr">
        <is>
          <t>No</t>
        </is>
      </c>
      <c r="AU1029">
        <f>HYPERLINK("https://creighton-primo.hosted.exlibrisgroup.com/primo-explore/search?tab=default_tab&amp;search_scope=EVERYTHING&amp;vid=01CRU&amp;lang=en_US&amp;offset=0&amp;query=any,contains,991001322899702656","Catalog Record")</f>
        <v/>
      </c>
      <c r="AV1029">
        <f>HYPERLINK("http://www.worldcat.org/oclc/20507328","WorldCat Record")</f>
        <v/>
      </c>
    </row>
    <row r="1030">
      <c r="D1030" t="inlineStr">
        <is>
          <t>QT 104 H236 1991 S6V4</t>
        </is>
      </c>
      <c r="E1030" t="inlineStr">
        <is>
          <t>0                      QT 0104000H  236         1991   S  6                  V  4</t>
        </is>
      </c>
      <c r="F1030" t="inlineStr">
        <is>
          <t>Handbook of physiology : a critical, comprehensive presentation of physiological knowledge and concepts : Intestinal absorption and secretion / section editor, Stanley G. Schultz ; volume editors, Michael Field, Raymond A. Frizzell ; executive editor, Brenda B. Rauner.</t>
        </is>
      </c>
      <c r="G1030" t="inlineStr">
        <is>
          <t>V. 4</t>
        </is>
      </c>
      <c r="H1030" t="inlineStr">
        <is>
          <t>No</t>
        </is>
      </c>
      <c r="I1030" t="inlineStr">
        <is>
          <t>1</t>
        </is>
      </c>
      <c r="J1030" t="inlineStr">
        <is>
          <t>No</t>
        </is>
      </c>
      <c r="K1030" t="inlineStr">
        <is>
          <t>No</t>
        </is>
      </c>
      <c r="L1030" t="inlineStr">
        <is>
          <t>0</t>
        </is>
      </c>
      <c r="N1030" t="inlineStr">
        <is>
          <t>Bethesda, Md. : American Physiological Society, c1991.</t>
        </is>
      </c>
      <c r="O1030" t="inlineStr">
        <is>
          <t>1991</t>
        </is>
      </c>
      <c r="P1030" t="inlineStr">
        <is>
          <t>Rev. 2nd ed.</t>
        </is>
      </c>
      <c r="Q1030" t="inlineStr">
        <is>
          <t>eng</t>
        </is>
      </c>
      <c r="R1030" t="inlineStr">
        <is>
          <t>mdu</t>
        </is>
      </c>
      <c r="S1030" t="inlineStr">
        <is>
          <t>Handbook of physiology ; section 6, volume IV</t>
        </is>
      </c>
      <c r="T1030" t="inlineStr">
        <is>
          <t xml:space="preserve">QT </t>
        </is>
      </c>
      <c r="U1030" t="n">
        <v>10</v>
      </c>
      <c r="V1030" t="n">
        <v>10</v>
      </c>
      <c r="W1030" t="inlineStr">
        <is>
          <t>2009-02-19</t>
        </is>
      </c>
      <c r="X1030" t="inlineStr">
        <is>
          <t>2009-02-19</t>
        </is>
      </c>
      <c r="Y1030" t="inlineStr">
        <is>
          <t>1991-04-23</t>
        </is>
      </c>
      <c r="Z1030" t="inlineStr">
        <is>
          <t>1991-04-23</t>
        </is>
      </c>
      <c r="AA1030" t="n">
        <v>41</v>
      </c>
      <c r="AB1030" t="n">
        <v>32</v>
      </c>
      <c r="AC1030" t="n">
        <v>32</v>
      </c>
      <c r="AD1030" t="n">
        <v>1</v>
      </c>
      <c r="AE1030" t="n">
        <v>1</v>
      </c>
      <c r="AF1030" t="n">
        <v>0</v>
      </c>
      <c r="AG1030" t="n">
        <v>0</v>
      </c>
      <c r="AH1030" t="n">
        <v>0</v>
      </c>
      <c r="AI1030" t="n">
        <v>0</v>
      </c>
      <c r="AJ1030" t="n">
        <v>0</v>
      </c>
      <c r="AK1030" t="n">
        <v>0</v>
      </c>
      <c r="AL1030" t="n">
        <v>0</v>
      </c>
      <c r="AM1030" t="n">
        <v>0</v>
      </c>
      <c r="AN1030" t="n">
        <v>0</v>
      </c>
      <c r="AO1030" t="n">
        <v>0</v>
      </c>
      <c r="AP1030" t="n">
        <v>0</v>
      </c>
      <c r="AQ1030" t="n">
        <v>0</v>
      </c>
      <c r="AR1030" t="inlineStr">
        <is>
          <t>No</t>
        </is>
      </c>
      <c r="AS1030" t="inlineStr">
        <is>
          <t>No</t>
        </is>
      </c>
      <c r="AU1030">
        <f>HYPERLINK("https://creighton-primo.hosted.exlibrisgroup.com/primo-explore/search?tab=default_tab&amp;search_scope=EVERYTHING&amp;vid=01CRU&amp;lang=en_US&amp;offset=0&amp;query=any,contains,991000932849702656","Catalog Record")</f>
        <v/>
      </c>
      <c r="AV1030">
        <f>HYPERLINK("http://www.worldcat.org/oclc/23246688","WorldCat Record")</f>
        <v/>
      </c>
    </row>
    <row r="1031">
      <c r="D1031" t="inlineStr">
        <is>
          <t>QT104 H2361 2001 V. 4</t>
        </is>
      </c>
      <c r="E1031" t="inlineStr">
        <is>
          <t>0                      QT 0104000H  2361        2001                                        V. 4</t>
        </is>
      </c>
      <c r="F1031" t="inlineStr">
        <is>
          <t>Coping with the environment : neural and endocrine mechanisms / volume editor, Bruce S. McEwen ; section editor, H. Maurice Goodman.</t>
        </is>
      </c>
      <c r="G1031" t="inlineStr">
        <is>
          <t>V. 4</t>
        </is>
      </c>
      <c r="H1031" t="inlineStr">
        <is>
          <t>No</t>
        </is>
      </c>
      <c r="I1031" t="inlineStr">
        <is>
          <t>1</t>
        </is>
      </c>
      <c r="J1031" t="inlineStr">
        <is>
          <t>No</t>
        </is>
      </c>
      <c r="K1031" t="inlineStr">
        <is>
          <t>No</t>
        </is>
      </c>
      <c r="L1031" t="inlineStr">
        <is>
          <t>0</t>
        </is>
      </c>
      <c r="N1031" t="inlineStr">
        <is>
          <t>New York : Published for the American Physiological Society by Oxford University Press, 2001.</t>
        </is>
      </c>
      <c r="O1031" t="inlineStr">
        <is>
          <t>2001</t>
        </is>
      </c>
      <c r="Q1031" t="inlineStr">
        <is>
          <t>eng</t>
        </is>
      </c>
      <c r="R1031" t="inlineStr">
        <is>
          <t>nyu</t>
        </is>
      </c>
      <c r="S1031" t="inlineStr">
        <is>
          <t>Handbook of physiology ; section 7, v.4.</t>
        </is>
      </c>
      <c r="T1031" t="inlineStr">
        <is>
          <t xml:space="preserve">QT </t>
        </is>
      </c>
      <c r="U1031" t="n">
        <v>0</v>
      </c>
      <c r="V1031" t="n">
        <v>0</v>
      </c>
      <c r="W1031" t="inlineStr">
        <is>
          <t>2003-07-07</t>
        </is>
      </c>
      <c r="X1031" t="inlineStr">
        <is>
          <t>2003-07-07</t>
        </is>
      </c>
      <c r="Y1031" t="inlineStr">
        <is>
          <t>2003-06-27</t>
        </is>
      </c>
      <c r="Z1031" t="inlineStr">
        <is>
          <t>2003-06-27</t>
        </is>
      </c>
      <c r="AA1031" t="n">
        <v>43</v>
      </c>
      <c r="AB1031" t="n">
        <v>40</v>
      </c>
      <c r="AC1031" t="n">
        <v>40</v>
      </c>
      <c r="AD1031" t="n">
        <v>1</v>
      </c>
      <c r="AE1031" t="n">
        <v>1</v>
      </c>
      <c r="AF1031" t="n">
        <v>0</v>
      </c>
      <c r="AG1031" t="n">
        <v>0</v>
      </c>
      <c r="AH1031" t="n">
        <v>0</v>
      </c>
      <c r="AI1031" t="n">
        <v>0</v>
      </c>
      <c r="AJ1031" t="n">
        <v>0</v>
      </c>
      <c r="AK1031" t="n">
        <v>0</v>
      </c>
      <c r="AL1031" t="n">
        <v>0</v>
      </c>
      <c r="AM1031" t="n">
        <v>0</v>
      </c>
      <c r="AN1031" t="n">
        <v>0</v>
      </c>
      <c r="AO1031" t="n">
        <v>0</v>
      </c>
      <c r="AP1031" t="n">
        <v>0</v>
      </c>
      <c r="AQ1031" t="n">
        <v>0</v>
      </c>
      <c r="AR1031" t="inlineStr">
        <is>
          <t>No</t>
        </is>
      </c>
      <c r="AS1031" t="inlineStr">
        <is>
          <t>No</t>
        </is>
      </c>
      <c r="AU1031">
        <f>HYPERLINK("https://creighton-primo.hosted.exlibrisgroup.com/primo-explore/search?tab=default_tab&amp;search_scope=EVERYTHING&amp;vid=01CRU&amp;lang=en_US&amp;offset=0&amp;query=any,contains,991000352189702656","Catalog Record")</f>
        <v/>
      </c>
      <c r="AV1031">
        <f>HYPERLINK("http://www.worldcat.org/oclc/45952118","WorldCat Record")</f>
        <v/>
      </c>
    </row>
    <row r="1032">
      <c r="D1032" t="inlineStr">
        <is>
          <t>QT 104 L283p 1971</t>
        </is>
      </c>
      <c r="E1032" t="inlineStr">
        <is>
          <t>0                      QT 0104000L  283p        1971</t>
        </is>
      </c>
      <c r="F1032" t="inlineStr">
        <is>
          <t>Physiology of man / [by] L. L. Langley.</t>
        </is>
      </c>
      <c r="H1032" t="inlineStr">
        <is>
          <t>No</t>
        </is>
      </c>
      <c r="I1032" t="inlineStr">
        <is>
          <t>1</t>
        </is>
      </c>
      <c r="J1032" t="inlineStr">
        <is>
          <t>No</t>
        </is>
      </c>
      <c r="K1032" t="inlineStr">
        <is>
          <t>No</t>
        </is>
      </c>
      <c r="L1032" t="inlineStr">
        <is>
          <t>0</t>
        </is>
      </c>
      <c r="M1032" t="inlineStr">
        <is>
          <t>Langley, L. L. (Leroy Lester), 1916-</t>
        </is>
      </c>
      <c r="N1032" t="inlineStr">
        <is>
          <t>New York : Van Nostrand Reinhold Co., [1971]</t>
        </is>
      </c>
      <c r="O1032" t="inlineStr">
        <is>
          <t>1971</t>
        </is>
      </c>
      <c r="P1032" t="inlineStr">
        <is>
          <t>4th ed.</t>
        </is>
      </c>
      <c r="Q1032" t="inlineStr">
        <is>
          <t>eng</t>
        </is>
      </c>
      <c r="R1032" t="inlineStr">
        <is>
          <t>nyu</t>
        </is>
      </c>
      <c r="T1032" t="inlineStr">
        <is>
          <t xml:space="preserve">QT </t>
        </is>
      </c>
      <c r="U1032" t="n">
        <v>9</v>
      </c>
      <c r="V1032" t="n">
        <v>9</v>
      </c>
      <c r="W1032" t="inlineStr">
        <is>
          <t>2004-06-14</t>
        </is>
      </c>
      <c r="X1032" t="inlineStr">
        <is>
          <t>2004-06-14</t>
        </is>
      </c>
      <c r="Y1032" t="inlineStr">
        <is>
          <t>1988-02-29</t>
        </is>
      </c>
      <c r="Z1032" t="inlineStr">
        <is>
          <t>1988-02-29</t>
        </is>
      </c>
      <c r="AA1032" t="n">
        <v>212</v>
      </c>
      <c r="AB1032" t="n">
        <v>171</v>
      </c>
      <c r="AC1032" t="n">
        <v>432</v>
      </c>
      <c r="AD1032" t="n">
        <v>3</v>
      </c>
      <c r="AE1032" t="n">
        <v>6</v>
      </c>
      <c r="AF1032" t="n">
        <v>6</v>
      </c>
      <c r="AG1032" t="n">
        <v>15</v>
      </c>
      <c r="AH1032" t="n">
        <v>2</v>
      </c>
      <c r="AI1032" t="n">
        <v>6</v>
      </c>
      <c r="AJ1032" t="n">
        <v>2</v>
      </c>
      <c r="AK1032" t="n">
        <v>2</v>
      </c>
      <c r="AL1032" t="n">
        <v>0</v>
      </c>
      <c r="AM1032" t="n">
        <v>4</v>
      </c>
      <c r="AN1032" t="n">
        <v>2</v>
      </c>
      <c r="AO1032" t="n">
        <v>5</v>
      </c>
      <c r="AP1032" t="n">
        <v>0</v>
      </c>
      <c r="AQ1032" t="n">
        <v>0</v>
      </c>
      <c r="AR1032" t="inlineStr">
        <is>
          <t>No</t>
        </is>
      </c>
      <c r="AS1032" t="inlineStr">
        <is>
          <t>No</t>
        </is>
      </c>
      <c r="AU1032">
        <f>HYPERLINK("https://creighton-primo.hosted.exlibrisgroup.com/primo-explore/search?tab=default_tab&amp;search_scope=EVERYTHING&amp;vid=01CRU&amp;lang=en_US&amp;offset=0&amp;query=any,contains,991000860229702656","Catalog Record")</f>
        <v/>
      </c>
      <c r="AV1032">
        <f>HYPERLINK("http://www.worldcat.org/oclc/154237","WorldCat Record")</f>
        <v/>
      </c>
    </row>
    <row r="1033">
      <c r="D1033" t="inlineStr">
        <is>
          <t>QT 104 L289i 1984</t>
        </is>
      </c>
      <c r="E1033" t="inlineStr">
        <is>
          <t>0                      QT 0104000L  289i        1984</t>
        </is>
      </c>
      <c r="F1033" t="inlineStr">
        <is>
          <t>Integrated science for health students / T. Randall Lankford.</t>
        </is>
      </c>
      <c r="H1033" t="inlineStr">
        <is>
          <t>No</t>
        </is>
      </c>
      <c r="I1033" t="inlineStr">
        <is>
          <t>1</t>
        </is>
      </c>
      <c r="J1033" t="inlineStr">
        <is>
          <t>No</t>
        </is>
      </c>
      <c r="K1033" t="inlineStr">
        <is>
          <t>No</t>
        </is>
      </c>
      <c r="L1033" t="inlineStr">
        <is>
          <t>0</t>
        </is>
      </c>
      <c r="M1033" t="inlineStr">
        <is>
          <t>Lankford, T. Randall, 1942-</t>
        </is>
      </c>
      <c r="N1033" t="inlineStr">
        <is>
          <t>Reston, Va. : Reston Pub. Co., c1984.</t>
        </is>
      </c>
      <c r="O1033" t="inlineStr">
        <is>
          <t>1984</t>
        </is>
      </c>
      <c r="P1033" t="inlineStr">
        <is>
          <t>3rd ed.</t>
        </is>
      </c>
      <c r="Q1033" t="inlineStr">
        <is>
          <t>eng</t>
        </is>
      </c>
      <c r="R1033" t="inlineStr">
        <is>
          <t>vau</t>
        </is>
      </c>
      <c r="T1033" t="inlineStr">
        <is>
          <t xml:space="preserve">QT </t>
        </is>
      </c>
      <c r="U1033" t="n">
        <v>9</v>
      </c>
      <c r="V1033" t="n">
        <v>9</v>
      </c>
      <c r="W1033" t="inlineStr">
        <is>
          <t>1992-12-01</t>
        </is>
      </c>
      <c r="X1033" t="inlineStr">
        <is>
          <t>1992-12-01</t>
        </is>
      </c>
      <c r="Y1033" t="inlineStr">
        <is>
          <t>1988-01-20</t>
        </is>
      </c>
      <c r="Z1033" t="inlineStr">
        <is>
          <t>1988-01-20</t>
        </is>
      </c>
      <c r="AA1033" t="n">
        <v>104</v>
      </c>
      <c r="AB1033" t="n">
        <v>89</v>
      </c>
      <c r="AC1033" t="n">
        <v>238</v>
      </c>
      <c r="AD1033" t="n">
        <v>1</v>
      </c>
      <c r="AE1033" t="n">
        <v>2</v>
      </c>
      <c r="AF1033" t="n">
        <v>1</v>
      </c>
      <c r="AG1033" t="n">
        <v>9</v>
      </c>
      <c r="AH1033" t="n">
        <v>1</v>
      </c>
      <c r="AI1033" t="n">
        <v>2</v>
      </c>
      <c r="AJ1033" t="n">
        <v>0</v>
      </c>
      <c r="AK1033" t="n">
        <v>3</v>
      </c>
      <c r="AL1033" t="n">
        <v>1</v>
      </c>
      <c r="AM1033" t="n">
        <v>6</v>
      </c>
      <c r="AN1033" t="n">
        <v>0</v>
      </c>
      <c r="AO1033" t="n">
        <v>1</v>
      </c>
      <c r="AP1033" t="n">
        <v>0</v>
      </c>
      <c r="AQ1033" t="n">
        <v>0</v>
      </c>
      <c r="AR1033" t="inlineStr">
        <is>
          <t>No</t>
        </is>
      </c>
      <c r="AS1033" t="inlineStr">
        <is>
          <t>No</t>
        </is>
      </c>
      <c r="AU1033">
        <f>HYPERLINK("https://creighton-primo.hosted.exlibrisgroup.com/primo-explore/search?tab=default_tab&amp;search_scope=EVERYTHING&amp;vid=01CRU&amp;lang=en_US&amp;offset=0&amp;query=any,contains,991000860139702656","Catalog Record")</f>
        <v/>
      </c>
      <c r="AV1033">
        <f>HYPERLINK("http://www.worldcat.org/oclc/9896323","WorldCat Record")</f>
        <v/>
      </c>
    </row>
    <row r="1034">
      <c r="D1034" t="inlineStr">
        <is>
          <t>QT 104 L673e 1946</t>
        </is>
      </c>
      <c r="E1034" t="inlineStr">
        <is>
          <t>0                      QT 0104000L  673e        1946</t>
        </is>
      </c>
      <c r="F1034" t="inlineStr">
        <is>
          <t>Exercises in human physiology : (preparatory to clinical work) / by Sir Thomas Lewis.</t>
        </is>
      </c>
      <c r="H1034" t="inlineStr">
        <is>
          <t>No</t>
        </is>
      </c>
      <c r="I1034" t="inlineStr">
        <is>
          <t>1</t>
        </is>
      </c>
      <c r="J1034" t="inlineStr">
        <is>
          <t>No</t>
        </is>
      </c>
      <c r="K1034" t="inlineStr">
        <is>
          <t>No</t>
        </is>
      </c>
      <c r="L1034" t="inlineStr">
        <is>
          <t>0</t>
        </is>
      </c>
      <c r="M1034" t="inlineStr">
        <is>
          <t>Lewis, Thomas, Sir, 1881-1945.</t>
        </is>
      </c>
      <c r="N1034" t="inlineStr">
        <is>
          <t>London : Macmillan, 1946, c1945.</t>
        </is>
      </c>
      <c r="O1034" t="inlineStr">
        <is>
          <t>1945</t>
        </is>
      </c>
      <c r="Q1034" t="inlineStr">
        <is>
          <t>eng</t>
        </is>
      </c>
      <c r="R1034" t="inlineStr">
        <is>
          <t>enk</t>
        </is>
      </c>
      <c r="T1034" t="inlineStr">
        <is>
          <t xml:space="preserve">QT </t>
        </is>
      </c>
      <c r="U1034" t="n">
        <v>5</v>
      </c>
      <c r="V1034" t="n">
        <v>5</v>
      </c>
      <c r="W1034" t="inlineStr">
        <is>
          <t>2008-09-02</t>
        </is>
      </c>
      <c r="X1034" t="inlineStr">
        <is>
          <t>2008-09-02</t>
        </is>
      </c>
      <c r="Y1034" t="inlineStr">
        <is>
          <t>1988-01-20</t>
        </is>
      </c>
      <c r="Z1034" t="inlineStr">
        <is>
          <t>1988-01-20</t>
        </is>
      </c>
      <c r="AA1034" t="n">
        <v>84</v>
      </c>
      <c r="AB1034" t="n">
        <v>52</v>
      </c>
      <c r="AC1034" t="n">
        <v>62</v>
      </c>
      <c r="AD1034" t="n">
        <v>1</v>
      </c>
      <c r="AE1034" t="n">
        <v>1</v>
      </c>
      <c r="AF1034" t="n">
        <v>0</v>
      </c>
      <c r="AG1034" t="n">
        <v>0</v>
      </c>
      <c r="AH1034" t="n">
        <v>0</v>
      </c>
      <c r="AI1034" t="n">
        <v>0</v>
      </c>
      <c r="AJ1034" t="n">
        <v>0</v>
      </c>
      <c r="AK1034" t="n">
        <v>0</v>
      </c>
      <c r="AL1034" t="n">
        <v>0</v>
      </c>
      <c r="AM1034" t="n">
        <v>0</v>
      </c>
      <c r="AN1034" t="n">
        <v>0</v>
      </c>
      <c r="AO1034" t="n">
        <v>0</v>
      </c>
      <c r="AP1034" t="n">
        <v>0</v>
      </c>
      <c r="AQ1034" t="n">
        <v>0</v>
      </c>
      <c r="AR1034" t="inlineStr">
        <is>
          <t>No</t>
        </is>
      </c>
      <c r="AS1034" t="inlineStr">
        <is>
          <t>No</t>
        </is>
      </c>
      <c r="AU1034">
        <f>HYPERLINK("https://creighton-primo.hosted.exlibrisgroup.com/primo-explore/search?tab=default_tab&amp;search_scope=EVERYTHING&amp;vid=01CRU&amp;lang=en_US&amp;offset=0&amp;query=any,contains,991000860189702656","Catalog Record")</f>
        <v/>
      </c>
      <c r="AV1034">
        <f>HYPERLINK("http://www.worldcat.org/oclc/3654443","WorldCat Record")</f>
        <v/>
      </c>
    </row>
    <row r="1035">
      <c r="D1035" t="inlineStr">
        <is>
          <t>QT 104 M398h 1983</t>
        </is>
      </c>
      <c r="E1035" t="inlineStr">
        <is>
          <t>0                      QT 0104000M  398h        1983</t>
        </is>
      </c>
      <c r="F1035" t="inlineStr">
        <is>
          <t>Human physiology / Elliott B. Mason.</t>
        </is>
      </c>
      <c r="H1035" t="inlineStr">
        <is>
          <t>No</t>
        </is>
      </c>
      <c r="I1035" t="inlineStr">
        <is>
          <t>1</t>
        </is>
      </c>
      <c r="J1035" t="inlineStr">
        <is>
          <t>No</t>
        </is>
      </c>
      <c r="K1035" t="inlineStr">
        <is>
          <t>No</t>
        </is>
      </c>
      <c r="L1035" t="inlineStr">
        <is>
          <t>0</t>
        </is>
      </c>
      <c r="M1035" t="inlineStr">
        <is>
          <t>Mason, Elliott B., 1943-</t>
        </is>
      </c>
      <c r="N1035" t="inlineStr">
        <is>
          <t>Menlo Park, Calif. : Benjamin/Cummings Pub. Co., c1983.</t>
        </is>
      </c>
      <c r="O1035" t="inlineStr">
        <is>
          <t>1983</t>
        </is>
      </c>
      <c r="Q1035" t="inlineStr">
        <is>
          <t>eng</t>
        </is>
      </c>
      <c r="R1035" t="inlineStr">
        <is>
          <t xml:space="preserve">xx </t>
        </is>
      </c>
      <c r="S1035" t="inlineStr">
        <is>
          <t>Benjamin/Cummings series in the life sciences</t>
        </is>
      </c>
      <c r="T1035" t="inlineStr">
        <is>
          <t xml:space="preserve">QT </t>
        </is>
      </c>
      <c r="U1035" t="n">
        <v>43</v>
      </c>
      <c r="V1035" t="n">
        <v>43</v>
      </c>
      <c r="W1035" t="inlineStr">
        <is>
          <t>1993-04-07</t>
        </is>
      </c>
      <c r="X1035" t="inlineStr">
        <is>
          <t>1993-04-07</t>
        </is>
      </c>
      <c r="Y1035" t="inlineStr">
        <is>
          <t>1988-01-18</t>
        </is>
      </c>
      <c r="Z1035" t="inlineStr">
        <is>
          <t>1988-01-18</t>
        </is>
      </c>
      <c r="AA1035" t="n">
        <v>21</v>
      </c>
      <c r="AB1035" t="n">
        <v>11</v>
      </c>
      <c r="AC1035" t="n">
        <v>75</v>
      </c>
      <c r="AD1035" t="n">
        <v>1</v>
      </c>
      <c r="AE1035" t="n">
        <v>1</v>
      </c>
      <c r="AF1035" t="n">
        <v>0</v>
      </c>
      <c r="AG1035" t="n">
        <v>1</v>
      </c>
      <c r="AH1035" t="n">
        <v>0</v>
      </c>
      <c r="AI1035" t="n">
        <v>0</v>
      </c>
      <c r="AJ1035" t="n">
        <v>0</v>
      </c>
      <c r="AK1035" t="n">
        <v>1</v>
      </c>
      <c r="AL1035" t="n">
        <v>0</v>
      </c>
      <c r="AM1035" t="n">
        <v>1</v>
      </c>
      <c r="AN1035" t="n">
        <v>0</v>
      </c>
      <c r="AO1035" t="n">
        <v>0</v>
      </c>
      <c r="AP1035" t="n">
        <v>0</v>
      </c>
      <c r="AQ1035" t="n">
        <v>0</v>
      </c>
      <c r="AR1035" t="inlineStr">
        <is>
          <t>No</t>
        </is>
      </c>
      <c r="AS1035" t="inlineStr">
        <is>
          <t>No</t>
        </is>
      </c>
      <c r="AU1035">
        <f>HYPERLINK("https://creighton-primo.hosted.exlibrisgroup.com/primo-explore/search?tab=default_tab&amp;search_scope=EVERYTHING&amp;vid=01CRU&amp;lang=en_US&amp;offset=0&amp;query=any,contains,991000860559702656","Catalog Record")</f>
        <v/>
      </c>
      <c r="AV1035">
        <f>HYPERLINK("http://www.worldcat.org/oclc/10724421","WorldCat Record")</f>
        <v/>
      </c>
    </row>
    <row r="1036">
      <c r="D1036" t="inlineStr">
        <is>
          <t>QT104 P5776 2004</t>
        </is>
      </c>
      <c r="E1036" t="inlineStr">
        <is>
          <t>0                      QT 0104000P  5776        2004</t>
        </is>
      </c>
      <c r="F1036" t="inlineStr">
        <is>
          <t>Physiology for anaesthesiologists / edited by J.P. Howard Fee, James G. Bovill.</t>
        </is>
      </c>
      <c r="H1036" t="inlineStr">
        <is>
          <t>No</t>
        </is>
      </c>
      <c r="I1036" t="inlineStr">
        <is>
          <t>1</t>
        </is>
      </c>
      <c r="J1036" t="inlineStr">
        <is>
          <t>No</t>
        </is>
      </c>
      <c r="K1036" t="inlineStr">
        <is>
          <t>No</t>
        </is>
      </c>
      <c r="L1036" t="inlineStr">
        <is>
          <t>0</t>
        </is>
      </c>
      <c r="N1036" t="inlineStr">
        <is>
          <t>London ; New York : Taylor &amp; Francis, c2004.</t>
        </is>
      </c>
      <c r="O1036" t="inlineStr">
        <is>
          <t>2004</t>
        </is>
      </c>
      <c r="Q1036" t="inlineStr">
        <is>
          <t>eng</t>
        </is>
      </c>
      <c r="R1036" t="inlineStr">
        <is>
          <t>enk</t>
        </is>
      </c>
      <c r="T1036" t="inlineStr">
        <is>
          <t xml:space="preserve">QT </t>
        </is>
      </c>
      <c r="U1036" t="n">
        <v>1</v>
      </c>
      <c r="V1036" t="n">
        <v>1</v>
      </c>
      <c r="W1036" t="inlineStr">
        <is>
          <t>2005-10-27</t>
        </is>
      </c>
      <c r="X1036" t="inlineStr">
        <is>
          <t>2005-10-27</t>
        </is>
      </c>
      <c r="Y1036" t="inlineStr">
        <is>
          <t>2005-10-25</t>
        </is>
      </c>
      <c r="Z1036" t="inlineStr">
        <is>
          <t>2005-10-25</t>
        </is>
      </c>
      <c r="AA1036" t="n">
        <v>43</v>
      </c>
      <c r="AB1036" t="n">
        <v>22</v>
      </c>
      <c r="AC1036" t="n">
        <v>60</v>
      </c>
      <c r="AD1036" t="n">
        <v>1</v>
      </c>
      <c r="AE1036" t="n">
        <v>1</v>
      </c>
      <c r="AF1036" t="n">
        <v>1</v>
      </c>
      <c r="AG1036" t="n">
        <v>2</v>
      </c>
      <c r="AH1036" t="n">
        <v>1</v>
      </c>
      <c r="AI1036" t="n">
        <v>2</v>
      </c>
      <c r="AJ1036" t="n">
        <v>0</v>
      </c>
      <c r="AK1036" t="n">
        <v>0</v>
      </c>
      <c r="AL1036" t="n">
        <v>0</v>
      </c>
      <c r="AM1036" t="n">
        <v>1</v>
      </c>
      <c r="AN1036" t="n">
        <v>0</v>
      </c>
      <c r="AO1036" t="n">
        <v>0</v>
      </c>
      <c r="AP1036" t="n">
        <v>0</v>
      </c>
      <c r="AQ1036" t="n">
        <v>0</v>
      </c>
      <c r="AR1036" t="inlineStr">
        <is>
          <t>No</t>
        </is>
      </c>
      <c r="AS1036" t="inlineStr">
        <is>
          <t>No</t>
        </is>
      </c>
      <c r="AU1036">
        <f>HYPERLINK("https://creighton-primo.hosted.exlibrisgroup.com/primo-explore/search?tab=default_tab&amp;search_scope=EVERYTHING&amp;vid=01CRU&amp;lang=en_US&amp;offset=0&amp;query=any,contains,991000445849702656","Catalog Record")</f>
        <v/>
      </c>
      <c r="AV1036">
        <f>HYPERLINK("http://www.worldcat.org/oclc/57565067","WorldCat Record")</f>
        <v/>
      </c>
    </row>
    <row r="1037">
      <c r="D1037" t="inlineStr">
        <is>
          <t>QT 104 P578 1949F</t>
        </is>
      </c>
      <c r="E1037" t="inlineStr">
        <is>
          <t>0                      QT 0104000P  578         1949F</t>
        </is>
      </c>
      <c r="F1037" t="inlineStr">
        <is>
          <t>Physiology of heat regulation and the science of clothing / prepared at the request of the Division of Medical Sciences, National Research Council.</t>
        </is>
      </c>
      <c r="H1037" t="inlineStr">
        <is>
          <t>No</t>
        </is>
      </c>
      <c r="I1037" t="inlineStr">
        <is>
          <t>1</t>
        </is>
      </c>
      <c r="J1037" t="inlineStr">
        <is>
          <t>No</t>
        </is>
      </c>
      <c r="K1037" t="inlineStr">
        <is>
          <t>No</t>
        </is>
      </c>
      <c r="L1037" t="inlineStr">
        <is>
          <t>0</t>
        </is>
      </c>
      <c r="N1037" t="inlineStr">
        <is>
          <t>Philadelphia : Saunders, c1949.</t>
        </is>
      </c>
      <c r="O1037" t="inlineStr">
        <is>
          <t>1949</t>
        </is>
      </c>
      <c r="Q1037" t="inlineStr">
        <is>
          <t>eng</t>
        </is>
      </c>
      <c r="R1037" t="inlineStr">
        <is>
          <t>pau</t>
        </is>
      </c>
      <c r="T1037" t="inlineStr">
        <is>
          <t xml:space="preserve">QT </t>
        </is>
      </c>
      <c r="U1037" t="n">
        <v>1</v>
      </c>
      <c r="V1037" t="n">
        <v>1</v>
      </c>
      <c r="W1037" t="inlineStr">
        <is>
          <t>1992-04-09</t>
        </is>
      </c>
      <c r="X1037" t="inlineStr">
        <is>
          <t>1992-04-09</t>
        </is>
      </c>
      <c r="Y1037" t="inlineStr">
        <is>
          <t>1988-01-20</t>
        </is>
      </c>
      <c r="Z1037" t="inlineStr">
        <is>
          <t>1988-01-20</t>
        </is>
      </c>
      <c r="AA1037" t="n">
        <v>183</v>
      </c>
      <c r="AB1037" t="n">
        <v>148</v>
      </c>
      <c r="AC1037" t="n">
        <v>228</v>
      </c>
      <c r="AD1037" t="n">
        <v>2</v>
      </c>
      <c r="AE1037" t="n">
        <v>2</v>
      </c>
      <c r="AF1037" t="n">
        <v>4</v>
      </c>
      <c r="AG1037" t="n">
        <v>4</v>
      </c>
      <c r="AH1037" t="n">
        <v>1</v>
      </c>
      <c r="AI1037" t="n">
        <v>1</v>
      </c>
      <c r="AJ1037" t="n">
        <v>1</v>
      </c>
      <c r="AK1037" t="n">
        <v>1</v>
      </c>
      <c r="AL1037" t="n">
        <v>2</v>
      </c>
      <c r="AM1037" t="n">
        <v>2</v>
      </c>
      <c r="AN1037" t="n">
        <v>1</v>
      </c>
      <c r="AO1037" t="n">
        <v>1</v>
      </c>
      <c r="AP1037" t="n">
        <v>0</v>
      </c>
      <c r="AQ1037" t="n">
        <v>0</v>
      </c>
      <c r="AR1037" t="inlineStr">
        <is>
          <t>No</t>
        </is>
      </c>
      <c r="AS1037" t="inlineStr">
        <is>
          <t>Yes</t>
        </is>
      </c>
      <c r="AT1037">
        <f>HYPERLINK("http://catalog.hathitrust.org/Record/001553420","HathiTrust Record")</f>
        <v/>
      </c>
      <c r="AU1037">
        <f>HYPERLINK("https://creighton-primo.hosted.exlibrisgroup.com/primo-explore/search?tab=default_tab&amp;search_scope=EVERYTHING&amp;vid=01CRU&amp;lang=en_US&amp;offset=0&amp;query=any,contains,991000860719702656","Catalog Record")</f>
        <v/>
      </c>
      <c r="AV1037">
        <f>HYPERLINK("http://www.worldcat.org/oclc/3233011","WorldCat Record")</f>
        <v/>
      </c>
    </row>
    <row r="1038">
      <c r="D1038" t="inlineStr">
        <is>
          <t>QT 104 P957 1990</t>
        </is>
      </c>
      <c r="E1038" t="inlineStr">
        <is>
          <t>0                      QT 0104000P  957         1990</t>
        </is>
      </c>
      <c r="F1038" t="inlineStr">
        <is>
          <t>Principles of physiology / edited by Robert M. Berne, Matthew N. Levy.</t>
        </is>
      </c>
      <c r="H1038" t="inlineStr">
        <is>
          <t>No</t>
        </is>
      </c>
      <c r="I1038" t="inlineStr">
        <is>
          <t>1</t>
        </is>
      </c>
      <c r="J1038" t="inlineStr">
        <is>
          <t>No</t>
        </is>
      </c>
      <c r="K1038" t="inlineStr">
        <is>
          <t>No</t>
        </is>
      </c>
      <c r="L1038" t="inlineStr">
        <is>
          <t>0</t>
        </is>
      </c>
      <c r="N1038" t="inlineStr">
        <is>
          <t>St. Louis : Mosby, c1990.</t>
        </is>
      </c>
      <c r="O1038" t="inlineStr">
        <is>
          <t>1990</t>
        </is>
      </c>
      <c r="Q1038" t="inlineStr">
        <is>
          <t>eng</t>
        </is>
      </c>
      <c r="R1038" t="inlineStr">
        <is>
          <t>xxu</t>
        </is>
      </c>
      <c r="T1038" t="inlineStr">
        <is>
          <t xml:space="preserve">QT </t>
        </is>
      </c>
      <c r="U1038" t="n">
        <v>86</v>
      </c>
      <c r="V1038" t="n">
        <v>86</v>
      </c>
      <c r="W1038" t="inlineStr">
        <is>
          <t>1999-10-18</t>
        </is>
      </c>
      <c r="X1038" t="inlineStr">
        <is>
          <t>1999-10-18</t>
        </is>
      </c>
      <c r="Y1038" t="inlineStr">
        <is>
          <t>1990-08-08</t>
        </is>
      </c>
      <c r="Z1038" t="inlineStr">
        <is>
          <t>1990-08-08</t>
        </is>
      </c>
      <c r="AA1038" t="n">
        <v>216</v>
      </c>
      <c r="AB1038" t="n">
        <v>142</v>
      </c>
      <c r="AC1038" t="n">
        <v>369</v>
      </c>
      <c r="AD1038" t="n">
        <v>2</v>
      </c>
      <c r="AE1038" t="n">
        <v>3</v>
      </c>
      <c r="AF1038" t="n">
        <v>5</v>
      </c>
      <c r="AG1038" t="n">
        <v>10</v>
      </c>
      <c r="AH1038" t="n">
        <v>1</v>
      </c>
      <c r="AI1038" t="n">
        <v>2</v>
      </c>
      <c r="AJ1038" t="n">
        <v>1</v>
      </c>
      <c r="AK1038" t="n">
        <v>3</v>
      </c>
      <c r="AL1038" t="n">
        <v>4</v>
      </c>
      <c r="AM1038" t="n">
        <v>6</v>
      </c>
      <c r="AN1038" t="n">
        <v>1</v>
      </c>
      <c r="AO1038" t="n">
        <v>1</v>
      </c>
      <c r="AP1038" t="n">
        <v>0</v>
      </c>
      <c r="AQ1038" t="n">
        <v>0</v>
      </c>
      <c r="AR1038" t="inlineStr">
        <is>
          <t>No</t>
        </is>
      </c>
      <c r="AS1038" t="inlineStr">
        <is>
          <t>No</t>
        </is>
      </c>
      <c r="AU1038">
        <f>HYPERLINK("https://creighton-primo.hosted.exlibrisgroup.com/primo-explore/search?tab=default_tab&amp;search_scope=EVERYTHING&amp;vid=01CRU&amp;lang=en_US&amp;offset=0&amp;query=any,contains,991001452129702656","Catalog Record")</f>
        <v/>
      </c>
      <c r="AV1038">
        <f>HYPERLINK("http://www.worldcat.org/oclc/20392062","WorldCat Record")</f>
        <v/>
      </c>
    </row>
    <row r="1039">
      <c r="D1039" t="inlineStr">
        <is>
          <t>QT 104 S4525ap 1995</t>
        </is>
      </c>
      <c r="E1039" t="inlineStr">
        <is>
          <t>0                      QT 0104000S  4525ap      1995</t>
        </is>
      </c>
      <c r="F1039" t="inlineStr">
        <is>
          <t>Art pak to accompany Anatomy &amp; physiology / Rod R. Seeley, Trent D. Stephens, Philip Tate.</t>
        </is>
      </c>
      <c r="H1039" t="inlineStr">
        <is>
          <t>No</t>
        </is>
      </c>
      <c r="I1039" t="inlineStr">
        <is>
          <t>1</t>
        </is>
      </c>
      <c r="J1039" t="inlineStr">
        <is>
          <t>No</t>
        </is>
      </c>
      <c r="K1039" t="inlineStr">
        <is>
          <t>No</t>
        </is>
      </c>
      <c r="L1039" t="inlineStr">
        <is>
          <t>0</t>
        </is>
      </c>
      <c r="M1039" t="inlineStr">
        <is>
          <t>Seeley, Rod R.</t>
        </is>
      </c>
      <c r="N1039" t="inlineStr">
        <is>
          <t>St. Louis : Mosby, c1995.</t>
        </is>
      </c>
      <c r="O1039" t="inlineStr">
        <is>
          <t>1995</t>
        </is>
      </c>
      <c r="P1039" t="inlineStr">
        <is>
          <t>3rd ed.</t>
        </is>
      </c>
      <c r="Q1039" t="inlineStr">
        <is>
          <t>eng</t>
        </is>
      </c>
      <c r="R1039" t="inlineStr">
        <is>
          <t>mou</t>
        </is>
      </c>
      <c r="T1039" t="inlineStr">
        <is>
          <t xml:space="preserve">QT </t>
        </is>
      </c>
      <c r="U1039" t="n">
        <v>13</v>
      </c>
      <c r="V1039" t="n">
        <v>13</v>
      </c>
      <c r="W1039" t="inlineStr">
        <is>
          <t>2000-03-21</t>
        </is>
      </c>
      <c r="X1039" t="inlineStr">
        <is>
          <t>2000-03-21</t>
        </is>
      </c>
      <c r="Y1039" t="inlineStr">
        <is>
          <t>1996-01-24</t>
        </is>
      </c>
      <c r="Z1039" t="inlineStr">
        <is>
          <t>1996-01-24</t>
        </is>
      </c>
      <c r="AA1039" t="n">
        <v>36</v>
      </c>
      <c r="AB1039" t="n">
        <v>28</v>
      </c>
      <c r="AC1039" t="n">
        <v>28</v>
      </c>
      <c r="AD1039" t="n">
        <v>1</v>
      </c>
      <c r="AE1039" t="n">
        <v>1</v>
      </c>
      <c r="AF1039" t="n">
        <v>3</v>
      </c>
      <c r="AG1039" t="n">
        <v>3</v>
      </c>
      <c r="AH1039" t="n">
        <v>0</v>
      </c>
      <c r="AI1039" t="n">
        <v>0</v>
      </c>
      <c r="AJ1039" t="n">
        <v>1</v>
      </c>
      <c r="AK1039" t="n">
        <v>1</v>
      </c>
      <c r="AL1039" t="n">
        <v>2</v>
      </c>
      <c r="AM1039" t="n">
        <v>2</v>
      </c>
      <c r="AN1039" t="n">
        <v>0</v>
      </c>
      <c r="AO1039" t="n">
        <v>0</v>
      </c>
      <c r="AP1039" t="n">
        <v>0</v>
      </c>
      <c r="AQ1039" t="n">
        <v>0</v>
      </c>
      <c r="AR1039" t="inlineStr">
        <is>
          <t>No</t>
        </is>
      </c>
      <c r="AS1039" t="inlineStr">
        <is>
          <t>No</t>
        </is>
      </c>
      <c r="AU1039">
        <f>HYPERLINK("https://creighton-primo.hosted.exlibrisgroup.com/primo-explore/search?tab=default_tab&amp;search_scope=EVERYTHING&amp;vid=01CRU&amp;lang=en_US&amp;offset=0&amp;query=any,contains,991001503039702656","Catalog Record")</f>
        <v/>
      </c>
      <c r="AV1039">
        <f>HYPERLINK("http://www.worldcat.org/oclc/33317278","WorldCat Record")</f>
        <v/>
      </c>
    </row>
    <row r="1040">
      <c r="D1040" t="inlineStr">
        <is>
          <t>QT 104 S452a 1995</t>
        </is>
      </c>
      <c r="E1040" t="inlineStr">
        <is>
          <t>0                      QT 0104000S  452a        1995</t>
        </is>
      </c>
      <c r="F1040" t="inlineStr">
        <is>
          <t>Anatomy &amp; physiology / Rod R. Seeley, Trent D. Stephens, Philip Tate.</t>
        </is>
      </c>
      <c r="H1040" t="inlineStr">
        <is>
          <t>No</t>
        </is>
      </c>
      <c r="I1040" t="inlineStr">
        <is>
          <t>1</t>
        </is>
      </c>
      <c r="J1040" t="inlineStr">
        <is>
          <t>No</t>
        </is>
      </c>
      <c r="K1040" t="inlineStr">
        <is>
          <t>Yes</t>
        </is>
      </c>
      <c r="L1040" t="inlineStr">
        <is>
          <t>0</t>
        </is>
      </c>
      <c r="M1040" t="inlineStr">
        <is>
          <t>Seeley, Rod R.</t>
        </is>
      </c>
      <c r="N1040" t="inlineStr">
        <is>
          <t>St. Louis : Mosby, c1995.</t>
        </is>
      </c>
      <c r="O1040" t="inlineStr">
        <is>
          <t>1995</t>
        </is>
      </c>
      <c r="P1040" t="inlineStr">
        <is>
          <t>3rd ed.</t>
        </is>
      </c>
      <c r="Q1040" t="inlineStr">
        <is>
          <t>eng</t>
        </is>
      </c>
      <c r="R1040" t="inlineStr">
        <is>
          <t>mou</t>
        </is>
      </c>
      <c r="T1040" t="inlineStr">
        <is>
          <t xml:space="preserve">QT </t>
        </is>
      </c>
      <c r="U1040" t="n">
        <v>35</v>
      </c>
      <c r="V1040" t="n">
        <v>35</v>
      </c>
      <c r="W1040" t="inlineStr">
        <is>
          <t>2000-03-21</t>
        </is>
      </c>
      <c r="X1040" t="inlineStr">
        <is>
          <t>2000-03-21</t>
        </is>
      </c>
      <c r="Y1040" t="inlineStr">
        <is>
          <t>1996-01-24</t>
        </is>
      </c>
      <c r="Z1040" t="inlineStr">
        <is>
          <t>1996-01-24</t>
        </is>
      </c>
      <c r="AA1040" t="n">
        <v>189</v>
      </c>
      <c r="AB1040" t="n">
        <v>119</v>
      </c>
      <c r="AC1040" t="n">
        <v>516</v>
      </c>
      <c r="AD1040" t="n">
        <v>1</v>
      </c>
      <c r="AE1040" t="n">
        <v>4</v>
      </c>
      <c r="AF1040" t="n">
        <v>2</v>
      </c>
      <c r="AG1040" t="n">
        <v>15</v>
      </c>
      <c r="AH1040" t="n">
        <v>0</v>
      </c>
      <c r="AI1040" t="n">
        <v>5</v>
      </c>
      <c r="AJ1040" t="n">
        <v>0</v>
      </c>
      <c r="AK1040" t="n">
        <v>1</v>
      </c>
      <c r="AL1040" t="n">
        <v>2</v>
      </c>
      <c r="AM1040" t="n">
        <v>8</v>
      </c>
      <c r="AN1040" t="n">
        <v>0</v>
      </c>
      <c r="AO1040" t="n">
        <v>3</v>
      </c>
      <c r="AP1040" t="n">
        <v>0</v>
      </c>
      <c r="AQ1040" t="n">
        <v>0</v>
      </c>
      <c r="AR1040" t="inlineStr">
        <is>
          <t>No</t>
        </is>
      </c>
      <c r="AS1040" t="inlineStr">
        <is>
          <t>No</t>
        </is>
      </c>
      <c r="AU1040">
        <f>HYPERLINK("https://creighton-primo.hosted.exlibrisgroup.com/primo-explore/search?tab=default_tab&amp;search_scope=EVERYTHING&amp;vid=01CRU&amp;lang=en_US&amp;offset=0&amp;query=any,contains,991001503069702656","Catalog Record")</f>
        <v/>
      </c>
      <c r="AV1040">
        <f>HYPERLINK("http://www.worldcat.org/oclc/32274141","WorldCat Record")</f>
        <v/>
      </c>
    </row>
    <row r="1041">
      <c r="D1041" t="inlineStr">
        <is>
          <t>QT 104 S452a 1998</t>
        </is>
      </c>
      <c r="E1041" t="inlineStr">
        <is>
          <t>0                      QT 0104000S  452a        1998</t>
        </is>
      </c>
      <c r="F1041" t="inlineStr">
        <is>
          <t>Anatomy &amp; physiology / Rod R. Seeley, Trent D. Stephens, Philip Tate.</t>
        </is>
      </c>
      <c r="H1041" t="inlineStr">
        <is>
          <t>No</t>
        </is>
      </c>
      <c r="I1041" t="inlineStr">
        <is>
          <t>1</t>
        </is>
      </c>
      <c r="J1041" t="inlineStr">
        <is>
          <t>No</t>
        </is>
      </c>
      <c r="K1041" t="inlineStr">
        <is>
          <t>Yes</t>
        </is>
      </c>
      <c r="L1041" t="inlineStr">
        <is>
          <t>0</t>
        </is>
      </c>
      <c r="M1041" t="inlineStr">
        <is>
          <t>Seeley, Rod R.</t>
        </is>
      </c>
      <c r="N1041" t="inlineStr">
        <is>
          <t>Boston, Mass. : WCB/McGraw-Hill, c1998.</t>
        </is>
      </c>
      <c r="O1041" t="inlineStr">
        <is>
          <t>1998</t>
        </is>
      </c>
      <c r="P1041" t="inlineStr">
        <is>
          <t>4th ed.</t>
        </is>
      </c>
      <c r="Q1041" t="inlineStr">
        <is>
          <t>eng</t>
        </is>
      </c>
      <c r="R1041" t="inlineStr">
        <is>
          <t>mau</t>
        </is>
      </c>
      <c r="T1041" t="inlineStr">
        <is>
          <t xml:space="preserve">QT </t>
        </is>
      </c>
      <c r="U1041" t="n">
        <v>24</v>
      </c>
      <c r="V1041" t="n">
        <v>24</v>
      </c>
      <c r="W1041" t="inlineStr">
        <is>
          <t>2007-04-16</t>
        </is>
      </c>
      <c r="X1041" t="inlineStr">
        <is>
          <t>2007-04-16</t>
        </is>
      </c>
      <c r="Y1041" t="inlineStr">
        <is>
          <t>1998-03-02</t>
        </is>
      </c>
      <c r="Z1041" t="inlineStr">
        <is>
          <t>1998-03-02</t>
        </is>
      </c>
      <c r="AA1041" t="n">
        <v>119</v>
      </c>
      <c r="AB1041" t="n">
        <v>69</v>
      </c>
      <c r="AC1041" t="n">
        <v>516</v>
      </c>
      <c r="AD1041" t="n">
        <v>1</v>
      </c>
      <c r="AE1041" t="n">
        <v>4</v>
      </c>
      <c r="AF1041" t="n">
        <v>2</v>
      </c>
      <c r="AG1041" t="n">
        <v>15</v>
      </c>
      <c r="AH1041" t="n">
        <v>1</v>
      </c>
      <c r="AI1041" t="n">
        <v>5</v>
      </c>
      <c r="AJ1041" t="n">
        <v>0</v>
      </c>
      <c r="AK1041" t="n">
        <v>1</v>
      </c>
      <c r="AL1041" t="n">
        <v>1</v>
      </c>
      <c r="AM1041" t="n">
        <v>8</v>
      </c>
      <c r="AN1041" t="n">
        <v>0</v>
      </c>
      <c r="AO1041" t="n">
        <v>3</v>
      </c>
      <c r="AP1041" t="n">
        <v>0</v>
      </c>
      <c r="AQ1041" t="n">
        <v>0</v>
      </c>
      <c r="AR1041" t="inlineStr">
        <is>
          <t>No</t>
        </is>
      </c>
      <c r="AS1041" t="inlineStr">
        <is>
          <t>No</t>
        </is>
      </c>
      <c r="AU1041">
        <f>HYPERLINK("https://creighton-primo.hosted.exlibrisgroup.com/primo-explore/search?tab=default_tab&amp;search_scope=EVERYTHING&amp;vid=01CRU&amp;lang=en_US&amp;offset=0&amp;query=any,contains,991001563609702656","Catalog Record")</f>
        <v/>
      </c>
      <c r="AV1041">
        <f>HYPERLINK("http://www.worldcat.org/oclc/36648277","WorldCat Record")</f>
        <v/>
      </c>
    </row>
    <row r="1042">
      <c r="D1042" t="inlineStr">
        <is>
          <t>QT 104 S452ap 1998</t>
        </is>
      </c>
      <c r="E1042" t="inlineStr">
        <is>
          <t>0                      QT 0104000S  452ap       1998</t>
        </is>
      </c>
      <c r="F1042" t="inlineStr">
        <is>
          <t>Anatomy &amp; physiology : student study art notebook / Rod R. Seeley, Trent D. Stephens, Philip Tate.</t>
        </is>
      </c>
      <c r="H1042" t="inlineStr">
        <is>
          <t>No</t>
        </is>
      </c>
      <c r="I1042" t="inlineStr">
        <is>
          <t>1</t>
        </is>
      </c>
      <c r="J1042" t="inlineStr">
        <is>
          <t>No</t>
        </is>
      </c>
      <c r="K1042" t="inlineStr">
        <is>
          <t>No</t>
        </is>
      </c>
      <c r="L1042" t="inlineStr">
        <is>
          <t>0</t>
        </is>
      </c>
      <c r="M1042" t="inlineStr">
        <is>
          <t>Seeley, Rod R.</t>
        </is>
      </c>
      <c r="N1042" t="inlineStr">
        <is>
          <t>Dubuque, Iowa : McGraw-Hill/WCB, c1998.</t>
        </is>
      </c>
      <c r="O1042" t="inlineStr">
        <is>
          <t>1998</t>
        </is>
      </c>
      <c r="P1042" t="inlineStr">
        <is>
          <t>4th ed.</t>
        </is>
      </c>
      <c r="Q1042" t="inlineStr">
        <is>
          <t>eng</t>
        </is>
      </c>
      <c r="R1042" t="inlineStr">
        <is>
          <t>iau</t>
        </is>
      </c>
      <c r="T1042" t="inlineStr">
        <is>
          <t xml:space="preserve">QT </t>
        </is>
      </c>
      <c r="U1042" t="n">
        <v>6</v>
      </c>
      <c r="V1042" t="n">
        <v>6</v>
      </c>
      <c r="W1042" t="inlineStr">
        <is>
          <t>2007-04-24</t>
        </is>
      </c>
      <c r="X1042" t="inlineStr">
        <is>
          <t>2007-04-24</t>
        </is>
      </c>
      <c r="Y1042" t="inlineStr">
        <is>
          <t>1998-03-02</t>
        </is>
      </c>
      <c r="Z1042" t="inlineStr">
        <is>
          <t>1998-03-02</t>
        </is>
      </c>
      <c r="AA1042" t="n">
        <v>49</v>
      </c>
      <c r="AB1042" t="n">
        <v>38</v>
      </c>
      <c r="AC1042" t="n">
        <v>44</v>
      </c>
      <c r="AD1042" t="n">
        <v>1</v>
      </c>
      <c r="AE1042" t="n">
        <v>1</v>
      </c>
      <c r="AF1042" t="n">
        <v>1</v>
      </c>
      <c r="AG1042" t="n">
        <v>1</v>
      </c>
      <c r="AH1042" t="n">
        <v>1</v>
      </c>
      <c r="AI1042" t="n">
        <v>1</v>
      </c>
      <c r="AJ1042" t="n">
        <v>0</v>
      </c>
      <c r="AK1042" t="n">
        <v>0</v>
      </c>
      <c r="AL1042" t="n">
        <v>0</v>
      </c>
      <c r="AM1042" t="n">
        <v>0</v>
      </c>
      <c r="AN1042" t="n">
        <v>0</v>
      </c>
      <c r="AO1042" t="n">
        <v>0</v>
      </c>
      <c r="AP1042" t="n">
        <v>0</v>
      </c>
      <c r="AQ1042" t="n">
        <v>0</v>
      </c>
      <c r="AR1042" t="inlineStr">
        <is>
          <t>No</t>
        </is>
      </c>
      <c r="AS1042" t="inlineStr">
        <is>
          <t>No</t>
        </is>
      </c>
      <c r="AU1042">
        <f>HYPERLINK("https://creighton-primo.hosted.exlibrisgroup.com/primo-explore/search?tab=default_tab&amp;search_scope=EVERYTHING&amp;vid=01CRU&amp;lang=en_US&amp;offset=0&amp;query=any,contains,991001139929702656","Catalog Record")</f>
        <v/>
      </c>
      <c r="AV1042">
        <f>HYPERLINK("http://www.worldcat.org/oclc/38937369","WorldCat Record")</f>
        <v/>
      </c>
    </row>
    <row r="1043">
      <c r="D1043" t="inlineStr">
        <is>
          <t>QT 104 S645b 1973</t>
        </is>
      </c>
      <c r="E1043" t="inlineStr">
        <is>
          <t>0                      QT 0104000S  645b        1973</t>
        </is>
      </c>
      <c r="F1043" t="inlineStr">
        <is>
          <t>The biologic ages of man from conception through old age / Edited by David W. Smith [and] Edwin L. Bierman.</t>
        </is>
      </c>
      <c r="H1043" t="inlineStr">
        <is>
          <t>No</t>
        </is>
      </c>
      <c r="I1043" t="inlineStr">
        <is>
          <t>1</t>
        </is>
      </c>
      <c r="J1043" t="inlineStr">
        <is>
          <t>No</t>
        </is>
      </c>
      <c r="K1043" t="inlineStr">
        <is>
          <t>No</t>
        </is>
      </c>
      <c r="L1043" t="inlineStr">
        <is>
          <t>0</t>
        </is>
      </c>
      <c r="M1043" t="inlineStr">
        <is>
          <t>Smith, David W., 1926-1981.</t>
        </is>
      </c>
      <c r="N1043" t="inlineStr">
        <is>
          <t>Philadelphia : Saunders, 1973.</t>
        </is>
      </c>
      <c r="O1043" t="inlineStr">
        <is>
          <t>1973</t>
        </is>
      </c>
      <c r="Q1043" t="inlineStr">
        <is>
          <t>eng</t>
        </is>
      </c>
      <c r="R1043" t="inlineStr">
        <is>
          <t>pau</t>
        </is>
      </c>
      <c r="T1043" t="inlineStr">
        <is>
          <t xml:space="preserve">QT </t>
        </is>
      </c>
      <c r="U1043" t="n">
        <v>2</v>
      </c>
      <c r="V1043" t="n">
        <v>2</v>
      </c>
      <c r="W1043" t="inlineStr">
        <is>
          <t>1989-07-08</t>
        </is>
      </c>
      <c r="X1043" t="inlineStr">
        <is>
          <t>1989-07-08</t>
        </is>
      </c>
      <c r="Y1043" t="inlineStr">
        <is>
          <t>1988-03-02</t>
        </is>
      </c>
      <c r="Z1043" t="inlineStr">
        <is>
          <t>1988-03-02</t>
        </is>
      </c>
      <c r="AA1043" t="n">
        <v>363</v>
      </c>
      <c r="AB1043" t="n">
        <v>299</v>
      </c>
      <c r="AC1043" t="n">
        <v>430</v>
      </c>
      <c r="AD1043" t="n">
        <v>3</v>
      </c>
      <c r="AE1043" t="n">
        <v>3</v>
      </c>
      <c r="AF1043" t="n">
        <v>12</v>
      </c>
      <c r="AG1043" t="n">
        <v>17</v>
      </c>
      <c r="AH1043" t="n">
        <v>6</v>
      </c>
      <c r="AI1043" t="n">
        <v>7</v>
      </c>
      <c r="AJ1043" t="n">
        <v>1</v>
      </c>
      <c r="AK1043" t="n">
        <v>3</v>
      </c>
      <c r="AL1043" t="n">
        <v>5</v>
      </c>
      <c r="AM1043" t="n">
        <v>8</v>
      </c>
      <c r="AN1043" t="n">
        <v>2</v>
      </c>
      <c r="AO1043" t="n">
        <v>2</v>
      </c>
      <c r="AP1043" t="n">
        <v>0</v>
      </c>
      <c r="AQ1043" t="n">
        <v>0</v>
      </c>
      <c r="AR1043" t="inlineStr">
        <is>
          <t>No</t>
        </is>
      </c>
      <c r="AS1043" t="inlineStr">
        <is>
          <t>Yes</t>
        </is>
      </c>
      <c r="AT1043">
        <f>HYPERLINK("http://catalog.hathitrust.org/Record/000010780","HathiTrust Record")</f>
        <v/>
      </c>
      <c r="AU1043">
        <f>HYPERLINK("https://creighton-primo.hosted.exlibrisgroup.com/primo-explore/search?tab=default_tab&amp;search_scope=EVERYTHING&amp;vid=01CRU&amp;lang=en_US&amp;offset=0&amp;query=any,contains,991000860679702656","Catalog Record")</f>
        <v/>
      </c>
      <c r="AV1043">
        <f>HYPERLINK("http://www.worldcat.org/oclc/741187","WorldCat Record")</f>
        <v/>
      </c>
    </row>
    <row r="1044">
      <c r="D1044" t="inlineStr">
        <is>
          <t>QT 104 T3553 1989</t>
        </is>
      </c>
      <c r="E1044" t="inlineStr">
        <is>
          <t>0                      QT 0104000T  3553        1989</t>
        </is>
      </c>
      <c r="F1044" t="inlineStr">
        <is>
          <t>Textbook of physiology / [edited by] Harry D. Patton ... [et al.].</t>
        </is>
      </c>
      <c r="G1044" t="inlineStr">
        <is>
          <t>V. 1</t>
        </is>
      </c>
      <c r="H1044" t="inlineStr">
        <is>
          <t>Yes</t>
        </is>
      </c>
      <c r="I1044" t="inlineStr">
        <is>
          <t>1</t>
        </is>
      </c>
      <c r="J1044" t="inlineStr">
        <is>
          <t>No</t>
        </is>
      </c>
      <c r="K1044" t="inlineStr">
        <is>
          <t>No</t>
        </is>
      </c>
      <c r="L1044" t="inlineStr">
        <is>
          <t>0</t>
        </is>
      </c>
      <c r="N1044" t="inlineStr">
        <is>
          <t>Philadelphia : Saunders, c1989.</t>
        </is>
      </c>
      <c r="O1044" t="inlineStr">
        <is>
          <t>1989</t>
        </is>
      </c>
      <c r="P1044" t="inlineStr">
        <is>
          <t>21st ed.</t>
        </is>
      </c>
      <c r="Q1044" t="inlineStr">
        <is>
          <t>eng</t>
        </is>
      </c>
      <c r="R1044" t="inlineStr">
        <is>
          <t>xxu</t>
        </is>
      </c>
      <c r="T1044" t="inlineStr">
        <is>
          <t xml:space="preserve">QT </t>
        </is>
      </c>
      <c r="U1044" t="n">
        <v>49</v>
      </c>
      <c r="V1044" t="n">
        <v>83</v>
      </c>
      <c r="W1044" t="inlineStr">
        <is>
          <t>2000-03-31</t>
        </is>
      </c>
      <c r="X1044" t="inlineStr">
        <is>
          <t>2000-04-26</t>
        </is>
      </c>
      <c r="Y1044" t="inlineStr">
        <is>
          <t>1989-07-28</t>
        </is>
      </c>
      <c r="Z1044" t="inlineStr">
        <is>
          <t>1989-07-28</t>
        </is>
      </c>
      <c r="AA1044" t="n">
        <v>308</v>
      </c>
      <c r="AB1044" t="n">
        <v>222</v>
      </c>
      <c r="AC1044" t="n">
        <v>224</v>
      </c>
      <c r="AD1044" t="n">
        <v>3</v>
      </c>
      <c r="AE1044" t="n">
        <v>3</v>
      </c>
      <c r="AF1044" t="n">
        <v>8</v>
      </c>
      <c r="AG1044" t="n">
        <v>8</v>
      </c>
      <c r="AH1044" t="n">
        <v>1</v>
      </c>
      <c r="AI1044" t="n">
        <v>1</v>
      </c>
      <c r="AJ1044" t="n">
        <v>2</v>
      </c>
      <c r="AK1044" t="n">
        <v>2</v>
      </c>
      <c r="AL1044" t="n">
        <v>6</v>
      </c>
      <c r="AM1044" t="n">
        <v>6</v>
      </c>
      <c r="AN1044" t="n">
        <v>2</v>
      </c>
      <c r="AO1044" t="n">
        <v>2</v>
      </c>
      <c r="AP1044" t="n">
        <v>0</v>
      </c>
      <c r="AQ1044" t="n">
        <v>0</v>
      </c>
      <c r="AR1044" t="inlineStr">
        <is>
          <t>No</t>
        </is>
      </c>
      <c r="AS1044" t="inlineStr">
        <is>
          <t>Yes</t>
        </is>
      </c>
      <c r="AT1044">
        <f>HYPERLINK("http://catalog.hathitrust.org/Record/001295076","HathiTrust Record")</f>
        <v/>
      </c>
      <c r="AU1044">
        <f>HYPERLINK("https://creighton-primo.hosted.exlibrisgroup.com/primo-explore/search?tab=default_tab&amp;search_scope=EVERYTHING&amp;vid=01CRU&amp;lang=en_US&amp;offset=0&amp;query=any,contains,991001312389702656","Catalog Record")</f>
        <v/>
      </c>
      <c r="AV1044">
        <f>HYPERLINK("http://www.worldcat.org/oclc/15520585","WorldCat Record")</f>
        <v/>
      </c>
    </row>
    <row r="1045">
      <c r="D1045" t="inlineStr">
        <is>
          <t>QT 104 T3553 1989</t>
        </is>
      </c>
      <c r="E1045" t="inlineStr">
        <is>
          <t>0                      QT 0104000T  3553        1989</t>
        </is>
      </c>
      <c r="F1045" t="inlineStr">
        <is>
          <t>Textbook of physiology / [edited by] Harry D. Patton ... [et al.].</t>
        </is>
      </c>
      <c r="G1045" t="inlineStr">
        <is>
          <t>V. 2</t>
        </is>
      </c>
      <c r="H1045" t="inlineStr">
        <is>
          <t>Yes</t>
        </is>
      </c>
      <c r="I1045" t="inlineStr">
        <is>
          <t>1</t>
        </is>
      </c>
      <c r="J1045" t="inlineStr">
        <is>
          <t>No</t>
        </is>
      </c>
      <c r="K1045" t="inlineStr">
        <is>
          <t>No</t>
        </is>
      </c>
      <c r="L1045" t="inlineStr">
        <is>
          <t>0</t>
        </is>
      </c>
      <c r="N1045" t="inlineStr">
        <is>
          <t>Philadelphia : Saunders, c1989.</t>
        </is>
      </c>
      <c r="O1045" t="inlineStr">
        <is>
          <t>1989</t>
        </is>
      </c>
      <c r="P1045" t="inlineStr">
        <is>
          <t>21st ed.</t>
        </is>
      </c>
      <c r="Q1045" t="inlineStr">
        <is>
          <t>eng</t>
        </is>
      </c>
      <c r="R1045" t="inlineStr">
        <is>
          <t>xxu</t>
        </is>
      </c>
      <c r="T1045" t="inlineStr">
        <is>
          <t xml:space="preserve">QT </t>
        </is>
      </c>
      <c r="U1045" t="n">
        <v>34</v>
      </c>
      <c r="V1045" t="n">
        <v>83</v>
      </c>
      <c r="W1045" t="inlineStr">
        <is>
          <t>2000-04-26</t>
        </is>
      </c>
      <c r="X1045" t="inlineStr">
        <is>
          <t>2000-04-26</t>
        </is>
      </c>
      <c r="Y1045" t="inlineStr">
        <is>
          <t>1989-07-28</t>
        </is>
      </c>
      <c r="Z1045" t="inlineStr">
        <is>
          <t>1989-07-28</t>
        </is>
      </c>
      <c r="AA1045" t="n">
        <v>308</v>
      </c>
      <c r="AB1045" t="n">
        <v>222</v>
      </c>
      <c r="AC1045" t="n">
        <v>224</v>
      </c>
      <c r="AD1045" t="n">
        <v>3</v>
      </c>
      <c r="AE1045" t="n">
        <v>3</v>
      </c>
      <c r="AF1045" t="n">
        <v>8</v>
      </c>
      <c r="AG1045" t="n">
        <v>8</v>
      </c>
      <c r="AH1045" t="n">
        <v>1</v>
      </c>
      <c r="AI1045" t="n">
        <v>1</v>
      </c>
      <c r="AJ1045" t="n">
        <v>2</v>
      </c>
      <c r="AK1045" t="n">
        <v>2</v>
      </c>
      <c r="AL1045" t="n">
        <v>6</v>
      </c>
      <c r="AM1045" t="n">
        <v>6</v>
      </c>
      <c r="AN1045" t="n">
        <v>2</v>
      </c>
      <c r="AO1045" t="n">
        <v>2</v>
      </c>
      <c r="AP1045" t="n">
        <v>0</v>
      </c>
      <c r="AQ1045" t="n">
        <v>0</v>
      </c>
      <c r="AR1045" t="inlineStr">
        <is>
          <t>No</t>
        </is>
      </c>
      <c r="AS1045" t="inlineStr">
        <is>
          <t>Yes</t>
        </is>
      </c>
      <c r="AT1045">
        <f>HYPERLINK("http://catalog.hathitrust.org/Record/001295076","HathiTrust Record")</f>
        <v/>
      </c>
      <c r="AU1045">
        <f>HYPERLINK("https://creighton-primo.hosted.exlibrisgroup.com/primo-explore/search?tab=default_tab&amp;search_scope=EVERYTHING&amp;vid=01CRU&amp;lang=en_US&amp;offset=0&amp;query=any,contains,991001312389702656","Catalog Record")</f>
        <v/>
      </c>
      <c r="AV1045">
        <f>HYPERLINK("http://www.worldcat.org/oclc/15520585","WorldCat Record")</f>
        <v/>
      </c>
    </row>
    <row r="1046">
      <c r="D1046" t="inlineStr">
        <is>
          <t>QT 104 T419g 1985</t>
        </is>
      </c>
      <c r="E1046" t="inlineStr">
        <is>
          <t>0                      QT 0104000T  419g        1985</t>
        </is>
      </c>
      <c r="F1046" t="inlineStr">
        <is>
          <t>Autonomic functions in human physiology / G. Thews, P. Vaupel ; translated by Marguerite A. Biederman-Thorson.</t>
        </is>
      </c>
      <c r="H1046" t="inlineStr">
        <is>
          <t>No</t>
        </is>
      </c>
      <c r="I1046" t="inlineStr">
        <is>
          <t>1</t>
        </is>
      </c>
      <c r="J1046" t="inlineStr">
        <is>
          <t>No</t>
        </is>
      </c>
      <c r="K1046" t="inlineStr">
        <is>
          <t>No</t>
        </is>
      </c>
      <c r="L1046" t="inlineStr">
        <is>
          <t>0</t>
        </is>
      </c>
      <c r="M1046" t="inlineStr">
        <is>
          <t>Thews, Gerhard, 1926-2003.</t>
        </is>
      </c>
      <c r="N1046" t="inlineStr">
        <is>
          <t>Berlin ; New York : Springer-Verlag, c1985.</t>
        </is>
      </c>
      <c r="O1046" t="inlineStr">
        <is>
          <t>1985</t>
        </is>
      </c>
      <c r="Q1046" t="inlineStr">
        <is>
          <t>eng</t>
        </is>
      </c>
      <c r="R1046" t="inlineStr">
        <is>
          <t xml:space="preserve">gw </t>
        </is>
      </c>
      <c r="S1046" t="inlineStr">
        <is>
          <t>Springer study edition</t>
        </is>
      </c>
      <c r="T1046" t="inlineStr">
        <is>
          <t xml:space="preserve">QT </t>
        </is>
      </c>
      <c r="U1046" t="n">
        <v>21</v>
      </c>
      <c r="V1046" t="n">
        <v>21</v>
      </c>
      <c r="W1046" t="inlineStr">
        <is>
          <t>1989-11-30</t>
        </is>
      </c>
      <c r="X1046" t="inlineStr">
        <is>
          <t>1989-11-30</t>
        </is>
      </c>
      <c r="Y1046" t="inlineStr">
        <is>
          <t>1987-11-17</t>
        </is>
      </c>
      <c r="Z1046" t="inlineStr">
        <is>
          <t>1987-11-17</t>
        </is>
      </c>
      <c r="AA1046" t="n">
        <v>94</v>
      </c>
      <c r="AB1046" t="n">
        <v>79</v>
      </c>
      <c r="AC1046" t="n">
        <v>104</v>
      </c>
      <c r="AD1046" t="n">
        <v>2</v>
      </c>
      <c r="AE1046" t="n">
        <v>3</v>
      </c>
      <c r="AF1046" t="n">
        <v>2</v>
      </c>
      <c r="AG1046" t="n">
        <v>3</v>
      </c>
      <c r="AH1046" t="n">
        <v>0</v>
      </c>
      <c r="AI1046" t="n">
        <v>0</v>
      </c>
      <c r="AJ1046" t="n">
        <v>0</v>
      </c>
      <c r="AK1046" t="n">
        <v>0</v>
      </c>
      <c r="AL1046" t="n">
        <v>1</v>
      </c>
      <c r="AM1046" t="n">
        <v>1</v>
      </c>
      <c r="AN1046" t="n">
        <v>1</v>
      </c>
      <c r="AO1046" t="n">
        <v>2</v>
      </c>
      <c r="AP1046" t="n">
        <v>0</v>
      </c>
      <c r="AQ1046" t="n">
        <v>0</v>
      </c>
      <c r="AR1046" t="inlineStr">
        <is>
          <t>No</t>
        </is>
      </c>
      <c r="AS1046" t="inlineStr">
        <is>
          <t>No</t>
        </is>
      </c>
      <c r="AU1046">
        <f>HYPERLINK("https://creighton-primo.hosted.exlibrisgroup.com/primo-explore/search?tab=default_tab&amp;search_scope=EVERYTHING&amp;vid=01CRU&amp;lang=en_US&amp;offset=0&amp;query=any,contains,991001530109702656","Catalog Record")</f>
        <v/>
      </c>
      <c r="AV1046">
        <f>HYPERLINK("http://www.worldcat.org/oclc/10823454","WorldCat Record")</f>
        <v/>
      </c>
    </row>
    <row r="1047">
      <c r="D1047" t="inlineStr">
        <is>
          <t>QT104 T427h 2002</t>
        </is>
      </c>
      <c r="E1047" t="inlineStr">
        <is>
          <t>0                      QT 0104000T  427h        2002</t>
        </is>
      </c>
      <c r="F1047" t="inlineStr">
        <is>
          <t>The human body in health &amp; disease / Gary A. Thibodeau, Kevin T. Patton.</t>
        </is>
      </c>
      <c r="H1047" t="inlineStr">
        <is>
          <t>No</t>
        </is>
      </c>
      <c r="I1047" t="inlineStr">
        <is>
          <t>1</t>
        </is>
      </c>
      <c r="J1047" t="inlineStr">
        <is>
          <t>No</t>
        </is>
      </c>
      <c r="K1047" t="inlineStr">
        <is>
          <t>Yes</t>
        </is>
      </c>
      <c r="L1047" t="inlineStr">
        <is>
          <t>0</t>
        </is>
      </c>
      <c r="M1047" t="inlineStr">
        <is>
          <t>Thibodeau, Gary A., 1938-</t>
        </is>
      </c>
      <c r="N1047" t="inlineStr">
        <is>
          <t>St. Louis, Mo. : Mosby, c2002.</t>
        </is>
      </c>
      <c r="O1047" t="inlineStr">
        <is>
          <t>2002</t>
        </is>
      </c>
      <c r="P1047" t="inlineStr">
        <is>
          <t>3rd ed.</t>
        </is>
      </c>
      <c r="Q1047" t="inlineStr">
        <is>
          <t>eng</t>
        </is>
      </c>
      <c r="R1047" t="inlineStr">
        <is>
          <t>mou</t>
        </is>
      </c>
      <c r="T1047" t="inlineStr">
        <is>
          <t xml:space="preserve">QT </t>
        </is>
      </c>
      <c r="U1047" t="n">
        <v>4</v>
      </c>
      <c r="V1047" t="n">
        <v>4</v>
      </c>
      <c r="W1047" t="inlineStr">
        <is>
          <t>2007-04-25</t>
        </is>
      </c>
      <c r="X1047" t="inlineStr">
        <is>
          <t>2007-04-25</t>
        </is>
      </c>
      <c r="Y1047" t="inlineStr">
        <is>
          <t>2001-12-20</t>
        </is>
      </c>
      <c r="Z1047" t="inlineStr">
        <is>
          <t>2001-12-20</t>
        </is>
      </c>
      <c r="AA1047" t="n">
        <v>345</v>
      </c>
      <c r="AB1047" t="n">
        <v>279</v>
      </c>
      <c r="AC1047" t="n">
        <v>942</v>
      </c>
      <c r="AD1047" t="n">
        <v>3</v>
      </c>
      <c r="AE1047" t="n">
        <v>7</v>
      </c>
      <c r="AF1047" t="n">
        <v>9</v>
      </c>
      <c r="AG1047" t="n">
        <v>20</v>
      </c>
      <c r="AH1047" t="n">
        <v>4</v>
      </c>
      <c r="AI1047" t="n">
        <v>7</v>
      </c>
      <c r="AJ1047" t="n">
        <v>1</v>
      </c>
      <c r="AK1047" t="n">
        <v>4</v>
      </c>
      <c r="AL1047" t="n">
        <v>5</v>
      </c>
      <c r="AM1047" t="n">
        <v>9</v>
      </c>
      <c r="AN1047" t="n">
        <v>1</v>
      </c>
      <c r="AO1047" t="n">
        <v>4</v>
      </c>
      <c r="AP1047" t="n">
        <v>0</v>
      </c>
      <c r="AQ1047" t="n">
        <v>0</v>
      </c>
      <c r="AR1047" t="inlineStr">
        <is>
          <t>No</t>
        </is>
      </c>
      <c r="AS1047" t="inlineStr">
        <is>
          <t>Yes</t>
        </is>
      </c>
      <c r="AT1047">
        <f>HYPERLINK("http://catalog.hathitrust.org/Record/003578333","HathiTrust Record")</f>
        <v/>
      </c>
      <c r="AU1047">
        <f>HYPERLINK("https://creighton-primo.hosted.exlibrisgroup.com/primo-explore/search?tab=default_tab&amp;search_scope=EVERYTHING&amp;vid=01CRU&amp;lang=en_US&amp;offset=0&amp;query=any,contains,991000298879702656","Catalog Record")</f>
        <v/>
      </c>
      <c r="AV1047">
        <f>HYPERLINK("http://www.worldcat.org/oclc/45172933","WorldCat Record")</f>
        <v/>
      </c>
    </row>
    <row r="1048">
      <c r="D1048" t="inlineStr">
        <is>
          <t>QT104 T427h 2005</t>
        </is>
      </c>
      <c r="E1048" t="inlineStr">
        <is>
          <t>0                      QT 0104000T  427h        2005</t>
        </is>
      </c>
      <c r="F1048" t="inlineStr">
        <is>
          <t>The human body in health &amp; disease / Gary A. Thibodeau, Kevin T. Patton.</t>
        </is>
      </c>
      <c r="H1048" t="inlineStr">
        <is>
          <t>No</t>
        </is>
      </c>
      <c r="I1048" t="inlineStr">
        <is>
          <t>1</t>
        </is>
      </c>
      <c r="J1048" t="inlineStr">
        <is>
          <t>No</t>
        </is>
      </c>
      <c r="K1048" t="inlineStr">
        <is>
          <t>Yes</t>
        </is>
      </c>
      <c r="L1048" t="inlineStr">
        <is>
          <t>0</t>
        </is>
      </c>
      <c r="M1048" t="inlineStr">
        <is>
          <t>Thibodeau, Gary A., 1938-</t>
        </is>
      </c>
      <c r="N1048" t="inlineStr">
        <is>
          <t>St. Louis, Mo. : Elsevier Mosby, c2005.</t>
        </is>
      </c>
      <c r="O1048" t="inlineStr">
        <is>
          <t>2005</t>
        </is>
      </c>
      <c r="P1048" t="inlineStr">
        <is>
          <t>4th ed.</t>
        </is>
      </c>
      <c r="Q1048" t="inlineStr">
        <is>
          <t>eng</t>
        </is>
      </c>
      <c r="R1048" t="inlineStr">
        <is>
          <t>mou</t>
        </is>
      </c>
      <c r="T1048" t="inlineStr">
        <is>
          <t xml:space="preserve">QT </t>
        </is>
      </c>
      <c r="U1048" t="n">
        <v>2</v>
      </c>
      <c r="V1048" t="n">
        <v>2</v>
      </c>
      <c r="W1048" t="inlineStr">
        <is>
          <t>2007-04-24</t>
        </is>
      </c>
      <c r="X1048" t="inlineStr">
        <is>
          <t>2007-04-24</t>
        </is>
      </c>
      <c r="Y1048" t="inlineStr">
        <is>
          <t>2006-02-09</t>
        </is>
      </c>
      <c r="Z1048" t="inlineStr">
        <is>
          <t>2006-02-09</t>
        </is>
      </c>
      <c r="AA1048" t="n">
        <v>281</v>
      </c>
      <c r="AB1048" t="n">
        <v>211</v>
      </c>
      <c r="AC1048" t="n">
        <v>942</v>
      </c>
      <c r="AD1048" t="n">
        <v>2</v>
      </c>
      <c r="AE1048" t="n">
        <v>7</v>
      </c>
      <c r="AF1048" t="n">
        <v>2</v>
      </c>
      <c r="AG1048" t="n">
        <v>20</v>
      </c>
      <c r="AH1048" t="n">
        <v>0</v>
      </c>
      <c r="AI1048" t="n">
        <v>7</v>
      </c>
      <c r="AJ1048" t="n">
        <v>1</v>
      </c>
      <c r="AK1048" t="n">
        <v>4</v>
      </c>
      <c r="AL1048" t="n">
        <v>1</v>
      </c>
      <c r="AM1048" t="n">
        <v>9</v>
      </c>
      <c r="AN1048" t="n">
        <v>1</v>
      </c>
      <c r="AO1048" t="n">
        <v>4</v>
      </c>
      <c r="AP1048" t="n">
        <v>0</v>
      </c>
      <c r="AQ1048" t="n">
        <v>0</v>
      </c>
      <c r="AR1048" t="inlineStr">
        <is>
          <t>No</t>
        </is>
      </c>
      <c r="AS1048" t="inlineStr">
        <is>
          <t>Yes</t>
        </is>
      </c>
      <c r="AT1048">
        <f>HYPERLINK("http://catalog.hathitrust.org/Record/005087996","HathiTrust Record")</f>
        <v/>
      </c>
      <c r="AU1048">
        <f>HYPERLINK("https://creighton-primo.hosted.exlibrisgroup.com/primo-explore/search?tab=default_tab&amp;search_scope=EVERYTHING&amp;vid=01CRU&amp;lang=en_US&amp;offset=0&amp;query=any,contains,991000463959702656","Catalog Record")</f>
        <v/>
      </c>
      <c r="AV1048">
        <f>HYPERLINK("http://www.worldcat.org/oclc/60792522","WorldCat Record")</f>
        <v/>
      </c>
    </row>
    <row r="1049">
      <c r="D1049" t="inlineStr">
        <is>
          <t>QT 104 V228h 1994</t>
        </is>
      </c>
      <c r="E1049" t="inlineStr">
        <is>
          <t>0                      QT 0104000V  228h        1994</t>
        </is>
      </c>
      <c r="F1049" t="inlineStr">
        <is>
          <t>Human physiology : the mechanisms of body function / Arthur J. Vander, James H. Sherman, Dorothy S. Luciano.</t>
        </is>
      </c>
      <c r="H1049" t="inlineStr">
        <is>
          <t>No</t>
        </is>
      </c>
      <c r="I1049" t="inlineStr">
        <is>
          <t>1</t>
        </is>
      </c>
      <c r="J1049" t="inlineStr">
        <is>
          <t>No</t>
        </is>
      </c>
      <c r="K1049" t="inlineStr">
        <is>
          <t>No</t>
        </is>
      </c>
      <c r="L1049" t="inlineStr">
        <is>
          <t>0</t>
        </is>
      </c>
      <c r="M1049" t="inlineStr">
        <is>
          <t>Vander, Arthur J., 1933-</t>
        </is>
      </c>
      <c r="N1049" t="inlineStr">
        <is>
          <t>New York : McGraw-Hill, c1994.</t>
        </is>
      </c>
      <c r="O1049" t="inlineStr">
        <is>
          <t>1994</t>
        </is>
      </c>
      <c r="P1049" t="inlineStr">
        <is>
          <t>6th ed.</t>
        </is>
      </c>
      <c r="Q1049" t="inlineStr">
        <is>
          <t>eng</t>
        </is>
      </c>
      <c r="R1049" t="inlineStr">
        <is>
          <t>nyu</t>
        </is>
      </c>
      <c r="T1049" t="inlineStr">
        <is>
          <t xml:space="preserve">QT </t>
        </is>
      </c>
      <c r="U1049" t="n">
        <v>249</v>
      </c>
      <c r="V1049" t="n">
        <v>249</v>
      </c>
      <c r="W1049" t="inlineStr">
        <is>
          <t>2004-04-19</t>
        </is>
      </c>
      <c r="X1049" t="inlineStr">
        <is>
          <t>2004-04-19</t>
        </is>
      </c>
      <c r="Y1049" t="inlineStr">
        <is>
          <t>1995-01-05</t>
        </is>
      </c>
      <c r="Z1049" t="inlineStr">
        <is>
          <t>1995-01-05</t>
        </is>
      </c>
      <c r="AA1049" t="n">
        <v>311</v>
      </c>
      <c r="AB1049" t="n">
        <v>188</v>
      </c>
      <c r="AC1049" t="n">
        <v>833</v>
      </c>
      <c r="AD1049" t="n">
        <v>1</v>
      </c>
      <c r="AE1049" t="n">
        <v>5</v>
      </c>
      <c r="AF1049" t="n">
        <v>6</v>
      </c>
      <c r="AG1049" t="n">
        <v>25</v>
      </c>
      <c r="AH1049" t="n">
        <v>1</v>
      </c>
      <c r="AI1049" t="n">
        <v>8</v>
      </c>
      <c r="AJ1049" t="n">
        <v>1</v>
      </c>
      <c r="AK1049" t="n">
        <v>5</v>
      </c>
      <c r="AL1049" t="n">
        <v>5</v>
      </c>
      <c r="AM1049" t="n">
        <v>16</v>
      </c>
      <c r="AN1049" t="n">
        <v>0</v>
      </c>
      <c r="AO1049" t="n">
        <v>3</v>
      </c>
      <c r="AP1049" t="n">
        <v>0</v>
      </c>
      <c r="AQ1049" t="n">
        <v>0</v>
      </c>
      <c r="AR1049" t="inlineStr">
        <is>
          <t>No</t>
        </is>
      </c>
      <c r="AS1049" t="inlineStr">
        <is>
          <t>Yes</t>
        </is>
      </c>
      <c r="AT1049">
        <f>HYPERLINK("http://catalog.hathitrust.org/Record/002726557","HathiTrust Record")</f>
        <v/>
      </c>
      <c r="AU1049">
        <f>HYPERLINK("https://creighton-primo.hosted.exlibrisgroup.com/primo-explore/search?tab=default_tab&amp;search_scope=EVERYTHING&amp;vid=01CRU&amp;lang=en_US&amp;offset=0&amp;query=any,contains,991000684179702656","Catalog Record")</f>
        <v/>
      </c>
      <c r="AV1049">
        <f>HYPERLINK("http://www.worldcat.org/oclc/28063971","WorldCat Record")</f>
        <v/>
      </c>
    </row>
    <row r="1050">
      <c r="D1050" t="inlineStr">
        <is>
          <t>QT104 W641v 2004</t>
        </is>
      </c>
      <c r="E1050" t="inlineStr">
        <is>
          <t>0                      QT 0104000W  641v        2004</t>
        </is>
      </c>
      <c r="F1050" t="inlineStr">
        <is>
          <t>Vander, Sherman, &amp; Luciano's human physiology : the mechanisms of body function.</t>
        </is>
      </c>
      <c r="H1050" t="inlineStr">
        <is>
          <t>No</t>
        </is>
      </c>
      <c r="I1050" t="inlineStr">
        <is>
          <t>1</t>
        </is>
      </c>
      <c r="J1050" t="inlineStr">
        <is>
          <t>No</t>
        </is>
      </c>
      <c r="K1050" t="inlineStr">
        <is>
          <t>Yes</t>
        </is>
      </c>
      <c r="L1050" t="inlineStr">
        <is>
          <t>0</t>
        </is>
      </c>
      <c r="M1050" t="inlineStr">
        <is>
          <t>Widmaier, Eric P.</t>
        </is>
      </c>
      <c r="N1050" t="inlineStr">
        <is>
          <t>Boston : McGraw-Hill Higher Education, c2004.</t>
        </is>
      </c>
      <c r="O1050" t="inlineStr">
        <is>
          <t>2004</t>
        </is>
      </c>
      <c r="P1050" t="inlineStr">
        <is>
          <t>9th ed. / Eric P. Widmaier, Hershel Raff, Kevin T. Strang ; contributions by Mary Erskine.</t>
        </is>
      </c>
      <c r="Q1050" t="inlineStr">
        <is>
          <t>eng</t>
        </is>
      </c>
      <c r="R1050" t="inlineStr">
        <is>
          <t>mau</t>
        </is>
      </c>
      <c r="T1050" t="inlineStr">
        <is>
          <t xml:space="preserve">QT </t>
        </is>
      </c>
      <c r="U1050" t="n">
        <v>179</v>
      </c>
      <c r="V1050" t="n">
        <v>179</v>
      </c>
      <c r="W1050" t="inlineStr">
        <is>
          <t>2008-05-14</t>
        </is>
      </c>
      <c r="X1050" t="inlineStr">
        <is>
          <t>2008-05-14</t>
        </is>
      </c>
      <c r="Y1050" t="inlineStr">
        <is>
          <t>2003-08-22</t>
        </is>
      </c>
      <c r="Z1050" t="inlineStr">
        <is>
          <t>2003-08-22</t>
        </is>
      </c>
      <c r="AA1050" t="n">
        <v>224</v>
      </c>
      <c r="AB1050" t="n">
        <v>117</v>
      </c>
      <c r="AC1050" t="n">
        <v>390</v>
      </c>
      <c r="AD1050" t="n">
        <v>1</v>
      </c>
      <c r="AE1050" t="n">
        <v>4</v>
      </c>
      <c r="AF1050" t="n">
        <v>4</v>
      </c>
      <c r="AG1050" t="n">
        <v>14</v>
      </c>
      <c r="AH1050" t="n">
        <v>2</v>
      </c>
      <c r="AI1050" t="n">
        <v>5</v>
      </c>
      <c r="AJ1050" t="n">
        <v>1</v>
      </c>
      <c r="AK1050" t="n">
        <v>3</v>
      </c>
      <c r="AL1050" t="n">
        <v>2</v>
      </c>
      <c r="AM1050" t="n">
        <v>7</v>
      </c>
      <c r="AN1050" t="n">
        <v>0</v>
      </c>
      <c r="AO1050" t="n">
        <v>2</v>
      </c>
      <c r="AP1050" t="n">
        <v>0</v>
      </c>
      <c r="AQ1050" t="n">
        <v>0</v>
      </c>
      <c r="AR1050" t="inlineStr">
        <is>
          <t>No</t>
        </is>
      </c>
      <c r="AS1050" t="inlineStr">
        <is>
          <t>Yes</t>
        </is>
      </c>
      <c r="AT1050">
        <f>HYPERLINK("http://catalog.hathitrust.org/Record/003860263","HathiTrust Record")</f>
        <v/>
      </c>
      <c r="AU1050">
        <f>HYPERLINK("https://creighton-primo.hosted.exlibrisgroup.com/primo-explore/search?tab=default_tab&amp;search_scope=EVERYTHING&amp;vid=01CRU&amp;lang=en_US&amp;offset=0&amp;query=any,contains,991001723949702656","Catalog Record")</f>
        <v/>
      </c>
      <c r="AV1050">
        <f>HYPERLINK("http://www.worldcat.org/oclc/50447675","WorldCat Record")</f>
        <v/>
      </c>
    </row>
    <row r="1051">
      <c r="D1051" t="inlineStr">
        <is>
          <t>QT 120 H377p 1988</t>
        </is>
      </c>
      <c r="E1051" t="inlineStr">
        <is>
          <t>0                      QT 0120000H  377p        1988</t>
        </is>
      </c>
      <c r="F1051" t="inlineStr">
        <is>
          <t>pH homeostasis : mechanisms and control / Dieter Häussinger.</t>
        </is>
      </c>
      <c r="H1051" t="inlineStr">
        <is>
          <t>No</t>
        </is>
      </c>
      <c r="I1051" t="inlineStr">
        <is>
          <t>1</t>
        </is>
      </c>
      <c r="J1051" t="inlineStr">
        <is>
          <t>No</t>
        </is>
      </c>
      <c r="K1051" t="inlineStr">
        <is>
          <t>No</t>
        </is>
      </c>
      <c r="L1051" t="inlineStr">
        <is>
          <t>0</t>
        </is>
      </c>
      <c r="M1051" t="inlineStr">
        <is>
          <t>Häussinger, D. (Dieter), 1951-</t>
        </is>
      </c>
      <c r="N1051" t="inlineStr">
        <is>
          <t>London : Academic, c1988.</t>
        </is>
      </c>
      <c r="O1051" t="inlineStr">
        <is>
          <t>1988</t>
        </is>
      </c>
      <c r="Q1051" t="inlineStr">
        <is>
          <t>eng</t>
        </is>
      </c>
      <c r="R1051" t="inlineStr">
        <is>
          <t>enk</t>
        </is>
      </c>
      <c r="T1051" t="inlineStr">
        <is>
          <t xml:space="preserve">QT </t>
        </is>
      </c>
      <c r="U1051" t="n">
        <v>14</v>
      </c>
      <c r="V1051" t="n">
        <v>14</v>
      </c>
      <c r="W1051" t="inlineStr">
        <is>
          <t>1995-04-26</t>
        </is>
      </c>
      <c r="X1051" t="inlineStr">
        <is>
          <t>1995-04-26</t>
        </is>
      </c>
      <c r="Y1051" t="inlineStr">
        <is>
          <t>1988-05-17</t>
        </is>
      </c>
      <c r="Z1051" t="inlineStr">
        <is>
          <t>1988-05-17</t>
        </is>
      </c>
      <c r="AA1051" t="n">
        <v>170</v>
      </c>
      <c r="AB1051" t="n">
        <v>113</v>
      </c>
      <c r="AC1051" t="n">
        <v>115</v>
      </c>
      <c r="AD1051" t="n">
        <v>1</v>
      </c>
      <c r="AE1051" t="n">
        <v>1</v>
      </c>
      <c r="AF1051" t="n">
        <v>2</v>
      </c>
      <c r="AG1051" t="n">
        <v>2</v>
      </c>
      <c r="AH1051" t="n">
        <v>0</v>
      </c>
      <c r="AI1051" t="n">
        <v>0</v>
      </c>
      <c r="AJ1051" t="n">
        <v>1</v>
      </c>
      <c r="AK1051" t="n">
        <v>1</v>
      </c>
      <c r="AL1051" t="n">
        <v>1</v>
      </c>
      <c r="AM1051" t="n">
        <v>1</v>
      </c>
      <c r="AN1051" t="n">
        <v>0</v>
      </c>
      <c r="AO1051" t="n">
        <v>0</v>
      </c>
      <c r="AP1051" t="n">
        <v>0</v>
      </c>
      <c r="AQ1051" t="n">
        <v>0</v>
      </c>
      <c r="AR1051" t="inlineStr">
        <is>
          <t>No</t>
        </is>
      </c>
      <c r="AS1051" t="inlineStr">
        <is>
          <t>Yes</t>
        </is>
      </c>
      <c r="AT1051">
        <f>HYPERLINK("http://catalog.hathitrust.org/Record/000917761","HathiTrust Record")</f>
        <v/>
      </c>
      <c r="AU1051">
        <f>HYPERLINK("https://creighton-primo.hosted.exlibrisgroup.com/primo-explore/search?tab=default_tab&amp;search_scope=EVERYTHING&amp;vid=01CRU&amp;lang=en_US&amp;offset=0&amp;query=any,contains,991001191789702656","Catalog Record")</f>
        <v/>
      </c>
      <c r="AV1051">
        <f>HYPERLINK("http://www.worldcat.org/oclc/21041118","WorldCat Record")</f>
        <v/>
      </c>
    </row>
    <row r="1052">
      <c r="D1052" t="inlineStr">
        <is>
          <t>QT 120 H7655 1984</t>
        </is>
      </c>
      <c r="E1052" t="inlineStr">
        <is>
          <t>0                      QT 0120000H  7655        1984</t>
        </is>
      </c>
      <c r="F1052" t="inlineStr">
        <is>
          <t>Homeostatic function and aging / editors, Bernard B. Davis, W. Gibson Wood.</t>
        </is>
      </c>
      <c r="H1052" t="inlineStr">
        <is>
          <t>No</t>
        </is>
      </c>
      <c r="I1052" t="inlineStr">
        <is>
          <t>1</t>
        </is>
      </c>
      <c r="J1052" t="inlineStr">
        <is>
          <t>No</t>
        </is>
      </c>
      <c r="K1052" t="inlineStr">
        <is>
          <t>No</t>
        </is>
      </c>
      <c r="L1052" t="inlineStr">
        <is>
          <t>0</t>
        </is>
      </c>
      <c r="N1052" t="inlineStr">
        <is>
          <t>New York : Raven Press, c1985.</t>
        </is>
      </c>
      <c r="O1052" t="inlineStr">
        <is>
          <t>1985</t>
        </is>
      </c>
      <c r="Q1052" t="inlineStr">
        <is>
          <t>eng</t>
        </is>
      </c>
      <c r="R1052" t="inlineStr">
        <is>
          <t>xxu</t>
        </is>
      </c>
      <c r="S1052" t="inlineStr">
        <is>
          <t>Aging ; v. 30</t>
        </is>
      </c>
      <c r="T1052" t="inlineStr">
        <is>
          <t xml:space="preserve">QT </t>
        </is>
      </c>
      <c r="U1052" t="n">
        <v>8</v>
      </c>
      <c r="V1052" t="n">
        <v>8</v>
      </c>
      <c r="W1052" t="inlineStr">
        <is>
          <t>1994-10-02</t>
        </is>
      </c>
      <c r="X1052" t="inlineStr">
        <is>
          <t>1994-10-02</t>
        </is>
      </c>
      <c r="Y1052" t="inlineStr">
        <is>
          <t>1988-01-20</t>
        </is>
      </c>
      <c r="Z1052" t="inlineStr">
        <is>
          <t>1988-01-20</t>
        </is>
      </c>
      <c r="AA1052" t="n">
        <v>204</v>
      </c>
      <c r="AB1052" t="n">
        <v>162</v>
      </c>
      <c r="AC1052" t="n">
        <v>164</v>
      </c>
      <c r="AD1052" t="n">
        <v>1</v>
      </c>
      <c r="AE1052" t="n">
        <v>1</v>
      </c>
      <c r="AF1052" t="n">
        <v>3</v>
      </c>
      <c r="AG1052" t="n">
        <v>3</v>
      </c>
      <c r="AH1052" t="n">
        <v>0</v>
      </c>
      <c r="AI1052" t="n">
        <v>0</v>
      </c>
      <c r="AJ1052" t="n">
        <v>2</v>
      </c>
      <c r="AK1052" t="n">
        <v>2</v>
      </c>
      <c r="AL1052" t="n">
        <v>2</v>
      </c>
      <c r="AM1052" t="n">
        <v>2</v>
      </c>
      <c r="AN1052" t="n">
        <v>0</v>
      </c>
      <c r="AO1052" t="n">
        <v>0</v>
      </c>
      <c r="AP1052" t="n">
        <v>0</v>
      </c>
      <c r="AQ1052" t="n">
        <v>0</v>
      </c>
      <c r="AR1052" t="inlineStr">
        <is>
          <t>No</t>
        </is>
      </c>
      <c r="AS1052" t="inlineStr">
        <is>
          <t>Yes</t>
        </is>
      </c>
      <c r="AT1052">
        <f>HYPERLINK("http://catalog.hathitrust.org/Record/000351793","HathiTrust Record")</f>
        <v/>
      </c>
      <c r="AU1052">
        <f>HYPERLINK("https://creighton-primo.hosted.exlibrisgroup.com/primo-explore/search?tab=default_tab&amp;search_scope=EVERYTHING&amp;vid=01CRU&amp;lang=en_US&amp;offset=0&amp;query=any,contains,991000860759702656","Catalog Record")</f>
        <v/>
      </c>
      <c r="AV1052">
        <f>HYPERLINK("http://www.worldcat.org/oclc/12419580","WorldCat Record")</f>
        <v/>
      </c>
    </row>
    <row r="1053">
      <c r="D1053" t="inlineStr">
        <is>
          <t>QT 150 A239p 1947</t>
        </is>
      </c>
      <c r="E1053" t="inlineStr">
        <is>
          <t>0                      QT 0150000A  239p        1947</t>
        </is>
      </c>
      <c r="F1053" t="inlineStr">
        <is>
          <t>Physiology of man in the desert / by E.F. Adolph and associates.</t>
        </is>
      </c>
      <c r="H1053" t="inlineStr">
        <is>
          <t>No</t>
        </is>
      </c>
      <c r="I1053" t="inlineStr">
        <is>
          <t>1</t>
        </is>
      </c>
      <c r="J1053" t="inlineStr">
        <is>
          <t>No</t>
        </is>
      </c>
      <c r="K1053" t="inlineStr">
        <is>
          <t>No</t>
        </is>
      </c>
      <c r="L1053" t="inlineStr">
        <is>
          <t>0</t>
        </is>
      </c>
      <c r="M1053" t="inlineStr">
        <is>
          <t>Adolph, Edward F. (Edward Frederick), 1895-1986.</t>
        </is>
      </c>
      <c r="N1053" t="inlineStr">
        <is>
          <t>New York : Interscience Pub., c1947.</t>
        </is>
      </c>
      <c r="O1053" t="inlineStr">
        <is>
          <t>1947</t>
        </is>
      </c>
      <c r="Q1053" t="inlineStr">
        <is>
          <t>eng</t>
        </is>
      </c>
      <c r="R1053" t="inlineStr">
        <is>
          <t>nyu</t>
        </is>
      </c>
      <c r="T1053" t="inlineStr">
        <is>
          <t xml:space="preserve">QT </t>
        </is>
      </c>
      <c r="U1053" t="n">
        <v>5</v>
      </c>
      <c r="V1053" t="n">
        <v>5</v>
      </c>
      <c r="W1053" t="inlineStr">
        <is>
          <t>1992-04-06</t>
        </is>
      </c>
      <c r="X1053" t="inlineStr">
        <is>
          <t>1992-04-06</t>
        </is>
      </c>
      <c r="Y1053" t="inlineStr">
        <is>
          <t>1988-01-20</t>
        </is>
      </c>
      <c r="Z1053" t="inlineStr">
        <is>
          <t>1988-01-20</t>
        </is>
      </c>
      <c r="AA1053" t="n">
        <v>250</v>
      </c>
      <c r="AB1053" t="n">
        <v>180</v>
      </c>
      <c r="AC1053" t="n">
        <v>296</v>
      </c>
      <c r="AD1053" t="n">
        <v>2</v>
      </c>
      <c r="AE1053" t="n">
        <v>2</v>
      </c>
      <c r="AF1053" t="n">
        <v>7</v>
      </c>
      <c r="AG1053" t="n">
        <v>8</v>
      </c>
      <c r="AH1053" t="n">
        <v>2</v>
      </c>
      <c r="AI1053" t="n">
        <v>2</v>
      </c>
      <c r="AJ1053" t="n">
        <v>2</v>
      </c>
      <c r="AK1053" t="n">
        <v>3</v>
      </c>
      <c r="AL1053" t="n">
        <v>4</v>
      </c>
      <c r="AM1053" t="n">
        <v>5</v>
      </c>
      <c r="AN1053" t="n">
        <v>1</v>
      </c>
      <c r="AO1053" t="n">
        <v>1</v>
      </c>
      <c r="AP1053" t="n">
        <v>0</v>
      </c>
      <c r="AQ1053" t="n">
        <v>0</v>
      </c>
      <c r="AR1053" t="inlineStr">
        <is>
          <t>No</t>
        </is>
      </c>
      <c r="AS1053" t="inlineStr">
        <is>
          <t>No</t>
        </is>
      </c>
      <c r="AT1053">
        <f>HYPERLINK("http://catalog.hathitrust.org/Record/001553409","HathiTrust Record")</f>
        <v/>
      </c>
      <c r="AU1053">
        <f>HYPERLINK("https://creighton-primo.hosted.exlibrisgroup.com/primo-explore/search?tab=default_tab&amp;search_scope=EVERYTHING&amp;vid=01CRU&amp;lang=en_US&amp;offset=0&amp;query=any,contains,991000860849702656","Catalog Record")</f>
        <v/>
      </c>
      <c r="AV1053">
        <f>HYPERLINK("http://www.worldcat.org/oclc/14553759","WorldCat Record")</f>
        <v/>
      </c>
    </row>
    <row r="1054">
      <c r="D1054" t="inlineStr">
        <is>
          <t>QT 160 L793h 1986</t>
        </is>
      </c>
      <c r="E1054" t="inlineStr">
        <is>
          <t>0                      QT 0160000L  793h        1986</t>
        </is>
      </c>
      <c r="F1054" t="inlineStr">
        <is>
          <t>Hypothermia and cold stress / Evan H. Lloyd.</t>
        </is>
      </c>
      <c r="H1054" t="inlineStr">
        <is>
          <t>No</t>
        </is>
      </c>
      <c r="I1054" t="inlineStr">
        <is>
          <t>1</t>
        </is>
      </c>
      <c r="J1054" t="inlineStr">
        <is>
          <t>No</t>
        </is>
      </c>
      <c r="K1054" t="inlineStr">
        <is>
          <t>No</t>
        </is>
      </c>
      <c r="L1054" t="inlineStr">
        <is>
          <t>0</t>
        </is>
      </c>
      <c r="M1054" t="inlineStr">
        <is>
          <t>Lloyd, Evan H., 1937-</t>
        </is>
      </c>
      <c r="N1054" t="inlineStr">
        <is>
          <t>Rockville, Md. : Aspen Systems Corp., c1986.</t>
        </is>
      </c>
      <c r="O1054" t="inlineStr">
        <is>
          <t>1986</t>
        </is>
      </c>
      <c r="Q1054" t="inlineStr">
        <is>
          <t>eng</t>
        </is>
      </c>
      <c r="R1054" t="inlineStr">
        <is>
          <t>mdu</t>
        </is>
      </c>
      <c r="T1054" t="inlineStr">
        <is>
          <t xml:space="preserve">QT </t>
        </is>
      </c>
      <c r="U1054" t="n">
        <v>7</v>
      </c>
      <c r="V1054" t="n">
        <v>7</v>
      </c>
      <c r="W1054" t="inlineStr">
        <is>
          <t>1994-03-12</t>
        </is>
      </c>
      <c r="X1054" t="inlineStr">
        <is>
          <t>1994-03-12</t>
        </is>
      </c>
      <c r="Y1054" t="inlineStr">
        <is>
          <t>1988-01-20</t>
        </is>
      </c>
      <c r="Z1054" t="inlineStr">
        <is>
          <t>1988-01-20</t>
        </is>
      </c>
      <c r="AA1054" t="n">
        <v>96</v>
      </c>
      <c r="AB1054" t="n">
        <v>87</v>
      </c>
      <c r="AC1054" t="n">
        <v>102</v>
      </c>
      <c r="AD1054" t="n">
        <v>1</v>
      </c>
      <c r="AE1054" t="n">
        <v>1</v>
      </c>
      <c r="AF1054" t="n">
        <v>1</v>
      </c>
      <c r="AG1054" t="n">
        <v>1</v>
      </c>
      <c r="AH1054" t="n">
        <v>0</v>
      </c>
      <c r="AI1054" t="n">
        <v>0</v>
      </c>
      <c r="AJ1054" t="n">
        <v>0</v>
      </c>
      <c r="AK1054" t="n">
        <v>0</v>
      </c>
      <c r="AL1054" t="n">
        <v>1</v>
      </c>
      <c r="AM1054" t="n">
        <v>1</v>
      </c>
      <c r="AN1054" t="n">
        <v>0</v>
      </c>
      <c r="AO1054" t="n">
        <v>0</v>
      </c>
      <c r="AP1054" t="n">
        <v>0</v>
      </c>
      <c r="AQ1054" t="n">
        <v>0</v>
      </c>
      <c r="AR1054" t="inlineStr">
        <is>
          <t>No</t>
        </is>
      </c>
      <c r="AS1054" t="inlineStr">
        <is>
          <t>Yes</t>
        </is>
      </c>
      <c r="AT1054">
        <f>HYPERLINK("http://catalog.hathitrust.org/Record/000627872","HathiTrust Record")</f>
        <v/>
      </c>
      <c r="AU1054">
        <f>HYPERLINK("https://creighton-primo.hosted.exlibrisgroup.com/primo-explore/search?tab=default_tab&amp;search_scope=EVERYTHING&amp;vid=01CRU&amp;lang=en_US&amp;offset=0&amp;query=any,contains,991000860909702656","Catalog Record")</f>
        <v/>
      </c>
      <c r="AV1054">
        <f>HYPERLINK("http://www.worldcat.org/oclc/12974052","WorldCat Record")</f>
        <v/>
      </c>
    </row>
    <row r="1055">
      <c r="D1055" t="inlineStr">
        <is>
          <t>QT 160 S795k 1960</t>
        </is>
      </c>
      <c r="E1055" t="inlineStr">
        <is>
          <t>0                      QT 0160000S  795k        1960</t>
        </is>
      </c>
      <c r="F1055" t="inlineStr">
        <is>
          <t>The problem of acute hypothermia / Translated from the Russian by R.E. Hammond. Edited by E. Neil.</t>
        </is>
      </c>
      <c r="H1055" t="inlineStr">
        <is>
          <t>No</t>
        </is>
      </c>
      <c r="I1055" t="inlineStr">
        <is>
          <t>1</t>
        </is>
      </c>
      <c r="J1055" t="inlineStr">
        <is>
          <t>No</t>
        </is>
      </c>
      <c r="K1055" t="inlineStr">
        <is>
          <t>No</t>
        </is>
      </c>
      <c r="L1055" t="inlineStr">
        <is>
          <t>0</t>
        </is>
      </c>
      <c r="M1055" t="inlineStr">
        <is>
          <t>Starkov, P. M., editor.</t>
        </is>
      </c>
      <c r="N1055" t="inlineStr">
        <is>
          <t>London : New York : Pergamon Press, 1960.</t>
        </is>
      </c>
      <c r="O1055" t="inlineStr">
        <is>
          <t>1960</t>
        </is>
      </c>
      <c r="Q1055" t="inlineStr">
        <is>
          <t>eng</t>
        </is>
      </c>
      <c r="R1055" t="inlineStr">
        <is>
          <t>enk</t>
        </is>
      </c>
      <c r="T1055" t="inlineStr">
        <is>
          <t xml:space="preserve">QT </t>
        </is>
      </c>
      <c r="U1055" t="n">
        <v>3</v>
      </c>
      <c r="V1055" t="n">
        <v>3</v>
      </c>
      <c r="W1055" t="inlineStr">
        <is>
          <t>1994-03-12</t>
        </is>
      </c>
      <c r="X1055" t="inlineStr">
        <is>
          <t>1994-03-12</t>
        </is>
      </c>
      <c r="Y1055" t="inlineStr">
        <is>
          <t>1988-03-03</t>
        </is>
      </c>
      <c r="Z1055" t="inlineStr">
        <is>
          <t>1988-03-03</t>
        </is>
      </c>
      <c r="AA1055" t="n">
        <v>92</v>
      </c>
      <c r="AB1055" t="n">
        <v>60</v>
      </c>
      <c r="AC1055" t="n">
        <v>69</v>
      </c>
      <c r="AD1055" t="n">
        <v>1</v>
      </c>
      <c r="AE1055" t="n">
        <v>1</v>
      </c>
      <c r="AF1055" t="n">
        <v>1</v>
      </c>
      <c r="AG1055" t="n">
        <v>2</v>
      </c>
      <c r="AH1055" t="n">
        <v>0</v>
      </c>
      <c r="AI1055" t="n">
        <v>0</v>
      </c>
      <c r="AJ1055" t="n">
        <v>1</v>
      </c>
      <c r="AK1055" t="n">
        <v>2</v>
      </c>
      <c r="AL1055" t="n">
        <v>0</v>
      </c>
      <c r="AM1055" t="n">
        <v>1</v>
      </c>
      <c r="AN1055" t="n">
        <v>0</v>
      </c>
      <c r="AO1055" t="n">
        <v>0</v>
      </c>
      <c r="AP1055" t="n">
        <v>0</v>
      </c>
      <c r="AQ1055" t="n">
        <v>0</v>
      </c>
      <c r="AR1055" t="inlineStr">
        <is>
          <t>No</t>
        </is>
      </c>
      <c r="AS1055" t="inlineStr">
        <is>
          <t>Yes</t>
        </is>
      </c>
      <c r="AT1055">
        <f>HYPERLINK("http://catalog.hathitrust.org/Record/001553424","HathiTrust Record")</f>
        <v/>
      </c>
      <c r="AU1055">
        <f>HYPERLINK("https://creighton-primo.hosted.exlibrisgroup.com/primo-explore/search?tab=default_tab&amp;search_scope=EVERYTHING&amp;vid=01CRU&amp;lang=en_US&amp;offset=0&amp;query=any,contains,991000860949702656","Catalog Record")</f>
        <v/>
      </c>
      <c r="AV1055">
        <f>HYPERLINK("http://www.worldcat.org/oclc/336527","WorldCat Record")</f>
        <v/>
      </c>
    </row>
    <row r="1056">
      <c r="D1056" t="inlineStr">
        <is>
          <t>QT 162.S8 S914 1999</t>
        </is>
      </c>
      <c r="E1056" t="inlineStr">
        <is>
          <t>0                      QT 0162000S  8                  S  914         1999</t>
        </is>
      </c>
      <c r="F1056" t="inlineStr">
        <is>
          <t>Stress adaptation, prophylaxis, and treatment / edited by Dipak K. Das.</t>
        </is>
      </c>
      <c r="H1056" t="inlineStr">
        <is>
          <t>No</t>
        </is>
      </c>
      <c r="I1056" t="inlineStr">
        <is>
          <t>1</t>
        </is>
      </c>
      <c r="J1056" t="inlineStr">
        <is>
          <t>No</t>
        </is>
      </c>
      <c r="K1056" t="inlineStr">
        <is>
          <t>No</t>
        </is>
      </c>
      <c r="L1056" t="inlineStr">
        <is>
          <t>0</t>
        </is>
      </c>
      <c r="N1056" t="inlineStr">
        <is>
          <t>Dordrecht ; Boston : Kluwer Academic Publishers, c1999.</t>
        </is>
      </c>
      <c r="O1056" t="inlineStr">
        <is>
          <t>1999</t>
        </is>
      </c>
      <c r="Q1056" t="inlineStr">
        <is>
          <t>eng</t>
        </is>
      </c>
      <c r="R1056" t="inlineStr">
        <is>
          <t xml:space="preserve">ne </t>
        </is>
      </c>
      <c r="S1056" t="inlineStr">
        <is>
          <t>Developments in molecular and cellular biochemistry ; 32</t>
        </is>
      </c>
      <c r="T1056" t="inlineStr">
        <is>
          <t xml:space="preserve">QT </t>
        </is>
      </c>
      <c r="U1056" t="n">
        <v>3</v>
      </c>
      <c r="V1056" t="n">
        <v>3</v>
      </c>
      <c r="W1056" t="inlineStr">
        <is>
          <t>1999-11-23</t>
        </is>
      </c>
      <c r="X1056" t="inlineStr">
        <is>
          <t>1999-11-23</t>
        </is>
      </c>
      <c r="Y1056" t="inlineStr">
        <is>
          <t>1999-09-30</t>
        </is>
      </c>
      <c r="Z1056" t="inlineStr">
        <is>
          <t>1999-09-30</t>
        </is>
      </c>
      <c r="AA1056" t="n">
        <v>22</v>
      </c>
      <c r="AB1056" t="n">
        <v>15</v>
      </c>
      <c r="AC1056" t="n">
        <v>16</v>
      </c>
      <c r="AD1056" t="n">
        <v>1</v>
      </c>
      <c r="AE1056" t="n">
        <v>1</v>
      </c>
      <c r="AF1056" t="n">
        <v>0</v>
      </c>
      <c r="AG1056" t="n">
        <v>0</v>
      </c>
      <c r="AH1056" t="n">
        <v>0</v>
      </c>
      <c r="AI1056" t="n">
        <v>0</v>
      </c>
      <c r="AJ1056" t="n">
        <v>0</v>
      </c>
      <c r="AK1056" t="n">
        <v>0</v>
      </c>
      <c r="AL1056" t="n">
        <v>0</v>
      </c>
      <c r="AM1056" t="n">
        <v>0</v>
      </c>
      <c r="AN1056" t="n">
        <v>0</v>
      </c>
      <c r="AO1056" t="n">
        <v>0</v>
      </c>
      <c r="AP1056" t="n">
        <v>0</v>
      </c>
      <c r="AQ1056" t="n">
        <v>0</v>
      </c>
      <c r="AR1056" t="inlineStr">
        <is>
          <t>No</t>
        </is>
      </c>
      <c r="AS1056" t="inlineStr">
        <is>
          <t>No</t>
        </is>
      </c>
      <c r="AU1056">
        <f>HYPERLINK("https://creighton-primo.hosted.exlibrisgroup.com/primo-explore/search?tab=default_tab&amp;search_scope=EVERYTHING&amp;vid=01CRU&amp;lang=en_US&amp;offset=0&amp;query=any,contains,991001574139702656","Catalog Record")</f>
        <v/>
      </c>
      <c r="AV1056">
        <f>HYPERLINK("http://www.worldcat.org/oclc/40543492","WorldCat Record")</f>
        <v/>
      </c>
    </row>
    <row r="1057">
      <c r="D1057" t="inlineStr">
        <is>
          <t>QT 165 I62t 1991</t>
        </is>
      </c>
      <c r="E1057" t="inlineStr">
        <is>
          <t>0                      QT 0165000I  62t         1991</t>
        </is>
      </c>
      <c r="F1057" t="inlineStr">
        <is>
          <t>Thermoregulation : the pathophysiological basis of clinical disorders / 8th International Symposium on the Pharmacology of Thermoregulation, Kananaskis, Alta., August 26-30, 1991 ; editors, P. Lomax, E. Schönbaum.</t>
        </is>
      </c>
      <c r="H1057" t="inlineStr">
        <is>
          <t>No</t>
        </is>
      </c>
      <c r="I1057" t="inlineStr">
        <is>
          <t>1</t>
        </is>
      </c>
      <c r="J1057" t="inlineStr">
        <is>
          <t>No</t>
        </is>
      </c>
      <c r="K1057" t="inlineStr">
        <is>
          <t>No</t>
        </is>
      </c>
      <c r="L1057" t="inlineStr">
        <is>
          <t>0</t>
        </is>
      </c>
      <c r="M1057" t="inlineStr">
        <is>
          <t>International Symposium on the Pharmacology of Thermoregulation (8th : 1991 : Kananaskis, Alta.)</t>
        </is>
      </c>
      <c r="N1057" t="inlineStr">
        <is>
          <t>Basel ; New York : Karger, c1992.</t>
        </is>
      </c>
      <c r="O1057" t="inlineStr">
        <is>
          <t>1992</t>
        </is>
      </c>
      <c r="Q1057" t="inlineStr">
        <is>
          <t>eng</t>
        </is>
      </c>
      <c r="R1057" t="inlineStr">
        <is>
          <t>xxu</t>
        </is>
      </c>
      <c r="T1057" t="inlineStr">
        <is>
          <t xml:space="preserve">QT </t>
        </is>
      </c>
      <c r="U1057" t="n">
        <v>6</v>
      </c>
      <c r="V1057" t="n">
        <v>6</v>
      </c>
      <c r="W1057" t="inlineStr">
        <is>
          <t>1993-02-09</t>
        </is>
      </c>
      <c r="X1057" t="inlineStr">
        <is>
          <t>1993-02-09</t>
        </is>
      </c>
      <c r="Y1057" t="inlineStr">
        <is>
          <t>1992-05-08</t>
        </is>
      </c>
      <c r="Z1057" t="inlineStr">
        <is>
          <t>1992-05-08</t>
        </is>
      </c>
      <c r="AA1057" t="n">
        <v>53</v>
      </c>
      <c r="AB1057" t="n">
        <v>34</v>
      </c>
      <c r="AC1057" t="n">
        <v>36</v>
      </c>
      <c r="AD1057" t="n">
        <v>1</v>
      </c>
      <c r="AE1057" t="n">
        <v>1</v>
      </c>
      <c r="AF1057" t="n">
        <v>0</v>
      </c>
      <c r="AG1057" t="n">
        <v>0</v>
      </c>
      <c r="AH1057" t="n">
        <v>0</v>
      </c>
      <c r="AI1057" t="n">
        <v>0</v>
      </c>
      <c r="AJ1057" t="n">
        <v>0</v>
      </c>
      <c r="AK1057" t="n">
        <v>0</v>
      </c>
      <c r="AL1057" t="n">
        <v>0</v>
      </c>
      <c r="AM1057" t="n">
        <v>0</v>
      </c>
      <c r="AN1057" t="n">
        <v>0</v>
      </c>
      <c r="AO1057" t="n">
        <v>0</v>
      </c>
      <c r="AP1057" t="n">
        <v>0</v>
      </c>
      <c r="AQ1057" t="n">
        <v>0</v>
      </c>
      <c r="AR1057" t="inlineStr">
        <is>
          <t>No</t>
        </is>
      </c>
      <c r="AS1057" t="inlineStr">
        <is>
          <t>Yes</t>
        </is>
      </c>
      <c r="AT1057">
        <f>HYPERLINK("http://catalog.hathitrust.org/Record/002546895","HathiTrust Record")</f>
        <v/>
      </c>
      <c r="AU1057">
        <f>HYPERLINK("https://creighton-primo.hosted.exlibrisgroup.com/primo-explore/search?tab=default_tab&amp;search_scope=EVERYTHING&amp;vid=01CRU&amp;lang=en_US&amp;offset=0&amp;query=any,contains,991001304769702656","Catalog Record")</f>
        <v/>
      </c>
      <c r="AV1057">
        <f>HYPERLINK("http://www.worldcat.org/oclc/24630521","WorldCat Record")</f>
        <v/>
      </c>
    </row>
    <row r="1058">
      <c r="D1058" t="inlineStr">
        <is>
          <t>QT 167 B6148 1994</t>
        </is>
      </c>
      <c r="E1058" t="inlineStr">
        <is>
          <t>0                      QT 0167000B  6148        1994</t>
        </is>
      </c>
      <c r="F1058" t="inlineStr">
        <is>
          <t>Biologic rhythms in clinical and laboratory medicine / Y. Touitou, E. Haus (eds.).</t>
        </is>
      </c>
      <c r="H1058" t="inlineStr">
        <is>
          <t>No</t>
        </is>
      </c>
      <c r="I1058" t="inlineStr">
        <is>
          <t>1</t>
        </is>
      </c>
      <c r="J1058" t="inlineStr">
        <is>
          <t>No</t>
        </is>
      </c>
      <c r="K1058" t="inlineStr">
        <is>
          <t>No</t>
        </is>
      </c>
      <c r="L1058" t="inlineStr">
        <is>
          <t>0</t>
        </is>
      </c>
      <c r="N1058" t="inlineStr">
        <is>
          <t>Berlin ; New York ; Paris : Springer-Verlag, second printing 1994, c1992.</t>
        </is>
      </c>
      <c r="O1058" t="inlineStr">
        <is>
          <t>1994</t>
        </is>
      </c>
      <c r="P1058" t="inlineStr">
        <is>
          <t>Second printing 1994.</t>
        </is>
      </c>
      <c r="Q1058" t="inlineStr">
        <is>
          <t>eng</t>
        </is>
      </c>
      <c r="R1058" t="inlineStr">
        <is>
          <t xml:space="preserve">gw </t>
        </is>
      </c>
      <c r="T1058" t="inlineStr">
        <is>
          <t xml:space="preserve">QT </t>
        </is>
      </c>
      <c r="U1058" t="n">
        <v>12</v>
      </c>
      <c r="V1058" t="n">
        <v>12</v>
      </c>
      <c r="W1058" t="inlineStr">
        <is>
          <t>1999-09-10</t>
        </is>
      </c>
      <c r="X1058" t="inlineStr">
        <is>
          <t>1999-09-10</t>
        </is>
      </c>
      <c r="Y1058" t="inlineStr">
        <is>
          <t>1994-11-29</t>
        </is>
      </c>
      <c r="Z1058" t="inlineStr">
        <is>
          <t>1994-11-29</t>
        </is>
      </c>
      <c r="AA1058" t="n">
        <v>32</v>
      </c>
      <c r="AB1058" t="n">
        <v>10</v>
      </c>
      <c r="AC1058" t="n">
        <v>96</v>
      </c>
      <c r="AD1058" t="n">
        <v>1</v>
      </c>
      <c r="AE1058" t="n">
        <v>1</v>
      </c>
      <c r="AF1058" t="n">
        <v>0</v>
      </c>
      <c r="AG1058" t="n">
        <v>2</v>
      </c>
      <c r="AH1058" t="n">
        <v>0</v>
      </c>
      <c r="AI1058" t="n">
        <v>2</v>
      </c>
      <c r="AJ1058" t="n">
        <v>0</v>
      </c>
      <c r="AK1058" t="n">
        <v>0</v>
      </c>
      <c r="AL1058" t="n">
        <v>0</v>
      </c>
      <c r="AM1058" t="n">
        <v>2</v>
      </c>
      <c r="AN1058" t="n">
        <v>0</v>
      </c>
      <c r="AO1058" t="n">
        <v>0</v>
      </c>
      <c r="AP1058" t="n">
        <v>0</v>
      </c>
      <c r="AQ1058" t="n">
        <v>0</v>
      </c>
      <c r="AR1058" t="inlineStr">
        <is>
          <t>No</t>
        </is>
      </c>
      <c r="AS1058" t="inlineStr">
        <is>
          <t>Yes</t>
        </is>
      </c>
      <c r="AT1058">
        <f>HYPERLINK("http://catalog.hathitrust.org/Record/002894265","HathiTrust Record")</f>
        <v/>
      </c>
      <c r="AU1058">
        <f>HYPERLINK("https://creighton-primo.hosted.exlibrisgroup.com/primo-explore/search?tab=default_tab&amp;search_scope=EVERYTHING&amp;vid=01CRU&amp;lang=en_US&amp;offset=0&amp;query=any,contains,991001335189702656","Catalog Record")</f>
        <v/>
      </c>
      <c r="AV1058">
        <f>HYPERLINK("http://www.worldcat.org/oclc/31313362","WorldCat Record")</f>
        <v/>
      </c>
    </row>
    <row r="1059">
      <c r="D1059" t="inlineStr">
        <is>
          <t>QT 180 A67h 1986</t>
        </is>
      </c>
      <c r="E1059" t="inlineStr">
        <is>
          <t>0                      QT 0180000A  67h         1986</t>
        </is>
      </c>
      <c r="F1059" t="inlineStr">
        <is>
          <t>High level wellness : an alternative to doctors, drugs, and disease / Donald B. Ardell.</t>
        </is>
      </c>
      <c r="H1059" t="inlineStr">
        <is>
          <t>No</t>
        </is>
      </c>
      <c r="I1059" t="inlineStr">
        <is>
          <t>1</t>
        </is>
      </c>
      <c r="J1059" t="inlineStr">
        <is>
          <t>No</t>
        </is>
      </c>
      <c r="K1059" t="inlineStr">
        <is>
          <t>No</t>
        </is>
      </c>
      <c r="L1059" t="inlineStr">
        <is>
          <t>0</t>
        </is>
      </c>
      <c r="M1059" t="inlineStr">
        <is>
          <t>Ardell, Donald B.</t>
        </is>
      </c>
      <c r="N1059" t="inlineStr">
        <is>
          <t>Berkeley, CA : Ten Speed Press, c1986.</t>
        </is>
      </c>
      <c r="O1059" t="inlineStr">
        <is>
          <t>1986</t>
        </is>
      </c>
      <c r="P1059" t="inlineStr">
        <is>
          <t>Tenth anniversary edition.</t>
        </is>
      </c>
      <c r="Q1059" t="inlineStr">
        <is>
          <t>eng</t>
        </is>
      </c>
      <c r="R1059" t="inlineStr">
        <is>
          <t>cau</t>
        </is>
      </c>
      <c r="T1059" t="inlineStr">
        <is>
          <t xml:space="preserve">QT </t>
        </is>
      </c>
      <c r="U1059" t="n">
        <v>18</v>
      </c>
      <c r="V1059" t="n">
        <v>18</v>
      </c>
      <c r="W1059" t="inlineStr">
        <is>
          <t>1997-09-23</t>
        </is>
      </c>
      <c r="X1059" t="inlineStr">
        <is>
          <t>1997-09-23</t>
        </is>
      </c>
      <c r="Y1059" t="inlineStr">
        <is>
          <t>1988-01-20</t>
        </is>
      </c>
      <c r="Z1059" t="inlineStr">
        <is>
          <t>1988-01-20</t>
        </is>
      </c>
      <c r="AA1059" t="n">
        <v>157</v>
      </c>
      <c r="AB1059" t="n">
        <v>135</v>
      </c>
      <c r="AC1059" t="n">
        <v>485</v>
      </c>
      <c r="AD1059" t="n">
        <v>2</v>
      </c>
      <c r="AE1059" t="n">
        <v>3</v>
      </c>
      <c r="AF1059" t="n">
        <v>2</v>
      </c>
      <c r="AG1059" t="n">
        <v>6</v>
      </c>
      <c r="AH1059" t="n">
        <v>0</v>
      </c>
      <c r="AI1059" t="n">
        <v>1</v>
      </c>
      <c r="AJ1059" t="n">
        <v>1</v>
      </c>
      <c r="AK1059" t="n">
        <v>2</v>
      </c>
      <c r="AL1059" t="n">
        <v>0</v>
      </c>
      <c r="AM1059" t="n">
        <v>4</v>
      </c>
      <c r="AN1059" t="n">
        <v>1</v>
      </c>
      <c r="AO1059" t="n">
        <v>1</v>
      </c>
      <c r="AP1059" t="n">
        <v>0</v>
      </c>
      <c r="AQ1059" t="n">
        <v>0</v>
      </c>
      <c r="AR1059" t="inlineStr">
        <is>
          <t>No</t>
        </is>
      </c>
      <c r="AS1059" t="inlineStr">
        <is>
          <t>Yes</t>
        </is>
      </c>
      <c r="AT1059">
        <f>HYPERLINK("http://catalog.hathitrust.org/Record/008161030","HathiTrust Record")</f>
        <v/>
      </c>
      <c r="AU1059">
        <f>HYPERLINK("https://creighton-primo.hosted.exlibrisgroup.com/primo-explore/search?tab=default_tab&amp;search_scope=EVERYTHING&amp;vid=01CRU&amp;lang=en_US&amp;offset=0&amp;query=any,contains,991001267379702656","Catalog Record")</f>
        <v/>
      </c>
      <c r="AV1059">
        <f>HYPERLINK("http://www.worldcat.org/oclc/13726240","WorldCat Record")</f>
        <v/>
      </c>
    </row>
    <row r="1060">
      <c r="D1060" t="inlineStr">
        <is>
          <t>QT 180 E23h 1988</t>
        </is>
      </c>
      <c r="E1060" t="inlineStr">
        <is>
          <t>0                      QT 0180000E  23h         1988</t>
        </is>
      </c>
      <c r="F1060" t="inlineStr">
        <is>
          <t>Health &amp; wellness : a holistic approach / Gordon Edlin and Eric Golanty.</t>
        </is>
      </c>
      <c r="H1060" t="inlineStr">
        <is>
          <t>No</t>
        </is>
      </c>
      <c r="I1060" t="inlineStr">
        <is>
          <t>1</t>
        </is>
      </c>
      <c r="J1060" t="inlineStr">
        <is>
          <t>No</t>
        </is>
      </c>
      <c r="K1060" t="inlineStr">
        <is>
          <t>Yes</t>
        </is>
      </c>
      <c r="L1060" t="inlineStr">
        <is>
          <t>0</t>
        </is>
      </c>
      <c r="M1060" t="inlineStr">
        <is>
          <t>Edlin, Gordon, 1932-</t>
        </is>
      </c>
      <c r="N1060" t="inlineStr">
        <is>
          <t>Boston : Jones and Bartlett Publishers, c1988.</t>
        </is>
      </c>
      <c r="O1060" t="inlineStr">
        <is>
          <t>1988</t>
        </is>
      </c>
      <c r="P1060" t="inlineStr">
        <is>
          <t>3rd ed.</t>
        </is>
      </c>
      <c r="Q1060" t="inlineStr">
        <is>
          <t>eng</t>
        </is>
      </c>
      <c r="R1060" t="inlineStr">
        <is>
          <t>mau</t>
        </is>
      </c>
      <c r="T1060" t="inlineStr">
        <is>
          <t xml:space="preserve">QT </t>
        </is>
      </c>
      <c r="U1060" t="n">
        <v>12</v>
      </c>
      <c r="V1060" t="n">
        <v>12</v>
      </c>
      <c r="W1060" t="inlineStr">
        <is>
          <t>1990-11-21</t>
        </is>
      </c>
      <c r="X1060" t="inlineStr">
        <is>
          <t>1990-11-21</t>
        </is>
      </c>
      <c r="Y1060" t="inlineStr">
        <is>
          <t>1988-08-09</t>
        </is>
      </c>
      <c r="Z1060" t="inlineStr">
        <is>
          <t>1988-08-09</t>
        </is>
      </c>
      <c r="AA1060" t="n">
        <v>185</v>
      </c>
      <c r="AB1060" t="n">
        <v>148</v>
      </c>
      <c r="AC1060" t="n">
        <v>395</v>
      </c>
      <c r="AD1060" t="n">
        <v>2</v>
      </c>
      <c r="AE1060" t="n">
        <v>5</v>
      </c>
      <c r="AF1060" t="n">
        <v>8</v>
      </c>
      <c r="AG1060" t="n">
        <v>17</v>
      </c>
      <c r="AH1060" t="n">
        <v>3</v>
      </c>
      <c r="AI1060" t="n">
        <v>6</v>
      </c>
      <c r="AJ1060" t="n">
        <v>1</v>
      </c>
      <c r="AK1060" t="n">
        <v>3</v>
      </c>
      <c r="AL1060" t="n">
        <v>4</v>
      </c>
      <c r="AM1060" t="n">
        <v>8</v>
      </c>
      <c r="AN1060" t="n">
        <v>1</v>
      </c>
      <c r="AO1060" t="n">
        <v>3</v>
      </c>
      <c r="AP1060" t="n">
        <v>0</v>
      </c>
      <c r="AQ1060" t="n">
        <v>0</v>
      </c>
      <c r="AR1060" t="inlineStr">
        <is>
          <t>No</t>
        </is>
      </c>
      <c r="AS1060" t="inlineStr">
        <is>
          <t>No</t>
        </is>
      </c>
      <c r="AU1060">
        <f>HYPERLINK("https://creighton-primo.hosted.exlibrisgroup.com/primo-explore/search?tab=default_tab&amp;search_scope=EVERYTHING&amp;vid=01CRU&amp;lang=en_US&amp;offset=0&amp;query=any,contains,991001419739702656","Catalog Record")</f>
        <v/>
      </c>
      <c r="AV1060">
        <f>HYPERLINK("http://www.worldcat.org/oclc/16983077","WorldCat Record")</f>
        <v/>
      </c>
    </row>
    <row r="1061">
      <c r="D1061" t="inlineStr">
        <is>
          <t>QT 180 G812c 1984</t>
        </is>
      </c>
      <c r="E1061" t="inlineStr">
        <is>
          <t>0                      QT 0180000G  812c        1984</t>
        </is>
      </c>
      <c r="F1061" t="inlineStr">
        <is>
          <t>Cleanliness and the health revolution / V.W. Greene.</t>
        </is>
      </c>
      <c r="H1061" t="inlineStr">
        <is>
          <t>No</t>
        </is>
      </c>
      <c r="I1061" t="inlineStr">
        <is>
          <t>1</t>
        </is>
      </c>
      <c r="J1061" t="inlineStr">
        <is>
          <t>No</t>
        </is>
      </c>
      <c r="K1061" t="inlineStr">
        <is>
          <t>No</t>
        </is>
      </c>
      <c r="L1061" t="inlineStr">
        <is>
          <t>0</t>
        </is>
      </c>
      <c r="M1061" t="inlineStr">
        <is>
          <t>Greene, V. W.</t>
        </is>
      </c>
      <c r="N1061" t="inlineStr">
        <is>
          <t>New York, N.Y. : Soap and Detergent Association, c1984.</t>
        </is>
      </c>
      <c r="O1061" t="inlineStr">
        <is>
          <t>1984</t>
        </is>
      </c>
      <c r="Q1061" t="inlineStr">
        <is>
          <t>eng</t>
        </is>
      </c>
      <c r="R1061" t="inlineStr">
        <is>
          <t>nyu</t>
        </is>
      </c>
      <c r="T1061" t="inlineStr">
        <is>
          <t xml:space="preserve">QT </t>
        </is>
      </c>
      <c r="U1061" t="n">
        <v>1</v>
      </c>
      <c r="V1061" t="n">
        <v>1</v>
      </c>
      <c r="W1061" t="inlineStr">
        <is>
          <t>1995-11-22</t>
        </is>
      </c>
      <c r="X1061" t="inlineStr">
        <is>
          <t>1995-11-22</t>
        </is>
      </c>
      <c r="Y1061" t="inlineStr">
        <is>
          <t>1988-01-20</t>
        </is>
      </c>
      <c r="Z1061" t="inlineStr">
        <is>
          <t>1988-01-20</t>
        </is>
      </c>
      <c r="AA1061" t="n">
        <v>35</v>
      </c>
      <c r="AB1061" t="n">
        <v>32</v>
      </c>
      <c r="AC1061" t="n">
        <v>33</v>
      </c>
      <c r="AD1061" t="n">
        <v>1</v>
      </c>
      <c r="AE1061" t="n">
        <v>1</v>
      </c>
      <c r="AF1061" t="n">
        <v>0</v>
      </c>
      <c r="AG1061" t="n">
        <v>0</v>
      </c>
      <c r="AH1061" t="n">
        <v>0</v>
      </c>
      <c r="AI1061" t="n">
        <v>0</v>
      </c>
      <c r="AJ1061" t="n">
        <v>0</v>
      </c>
      <c r="AK1061" t="n">
        <v>0</v>
      </c>
      <c r="AL1061" t="n">
        <v>0</v>
      </c>
      <c r="AM1061" t="n">
        <v>0</v>
      </c>
      <c r="AN1061" t="n">
        <v>0</v>
      </c>
      <c r="AO1061" t="n">
        <v>0</v>
      </c>
      <c r="AP1061" t="n">
        <v>0</v>
      </c>
      <c r="AQ1061" t="n">
        <v>0</v>
      </c>
      <c r="AR1061" t="inlineStr">
        <is>
          <t>No</t>
        </is>
      </c>
      <c r="AS1061" t="inlineStr">
        <is>
          <t>Yes</t>
        </is>
      </c>
      <c r="AT1061">
        <f>HYPERLINK("http://catalog.hathitrust.org/Record/000324635","HathiTrust Record")</f>
        <v/>
      </c>
      <c r="AU1061">
        <f>HYPERLINK("https://creighton-primo.hosted.exlibrisgroup.com/primo-explore/search?tab=default_tab&amp;search_scope=EVERYTHING&amp;vid=01CRU&amp;lang=en_US&amp;offset=0&amp;query=any,contains,991000861049702656","Catalog Record")</f>
        <v/>
      </c>
      <c r="AV1061">
        <f>HYPERLINK("http://www.worldcat.org/oclc/10881980","WorldCat Record")</f>
        <v/>
      </c>
    </row>
    <row r="1062">
      <c r="D1062" t="inlineStr">
        <is>
          <t>QT 180 H167i 1992</t>
        </is>
      </c>
      <c r="E1062" t="inlineStr">
        <is>
          <t>0                      QT 0180000H  167i        1992</t>
        </is>
      </c>
      <c r="F1062" t="inlineStr">
        <is>
          <t>An invitation to health : taking charge of your life / Dianne Hales.</t>
        </is>
      </c>
      <c r="H1062" t="inlineStr">
        <is>
          <t>No</t>
        </is>
      </c>
      <c r="I1062" t="inlineStr">
        <is>
          <t>1</t>
        </is>
      </c>
      <c r="J1062" t="inlineStr">
        <is>
          <t>No</t>
        </is>
      </c>
      <c r="K1062" t="inlineStr">
        <is>
          <t>No</t>
        </is>
      </c>
      <c r="L1062" t="inlineStr">
        <is>
          <t>0</t>
        </is>
      </c>
      <c r="M1062" t="inlineStr">
        <is>
          <t>Hales, Dianne, 1950-</t>
        </is>
      </c>
      <c r="N1062" t="inlineStr">
        <is>
          <t>Redwood City, Calif. : Benjamin/Cummings Pub. Co., c1992.</t>
        </is>
      </c>
      <c r="O1062" t="inlineStr">
        <is>
          <t>1992</t>
        </is>
      </c>
      <c r="P1062" t="inlineStr">
        <is>
          <t>5th ed.</t>
        </is>
      </c>
      <c r="Q1062" t="inlineStr">
        <is>
          <t>eng</t>
        </is>
      </c>
      <c r="R1062" t="inlineStr">
        <is>
          <t>cau</t>
        </is>
      </c>
      <c r="T1062" t="inlineStr">
        <is>
          <t xml:space="preserve">QT </t>
        </is>
      </c>
      <c r="U1062" t="n">
        <v>10</v>
      </c>
      <c r="V1062" t="n">
        <v>10</v>
      </c>
      <c r="W1062" t="inlineStr">
        <is>
          <t>1999-11-06</t>
        </is>
      </c>
      <c r="X1062" t="inlineStr">
        <is>
          <t>1999-11-06</t>
        </is>
      </c>
      <c r="Y1062" t="inlineStr">
        <is>
          <t>1992-08-31</t>
        </is>
      </c>
      <c r="Z1062" t="inlineStr">
        <is>
          <t>1992-08-31</t>
        </is>
      </c>
      <c r="AA1062" t="n">
        <v>59</v>
      </c>
      <c r="AB1062" t="n">
        <v>49</v>
      </c>
      <c r="AC1062" t="n">
        <v>110</v>
      </c>
      <c r="AD1062" t="n">
        <v>1</v>
      </c>
      <c r="AE1062" t="n">
        <v>1</v>
      </c>
      <c r="AF1062" t="n">
        <v>0</v>
      </c>
      <c r="AG1062" t="n">
        <v>1</v>
      </c>
      <c r="AH1062" t="n">
        <v>0</v>
      </c>
      <c r="AI1062" t="n">
        <v>1</v>
      </c>
      <c r="AJ1062" t="n">
        <v>0</v>
      </c>
      <c r="AK1062" t="n">
        <v>0</v>
      </c>
      <c r="AL1062" t="n">
        <v>0</v>
      </c>
      <c r="AM1062" t="n">
        <v>1</v>
      </c>
      <c r="AN1062" t="n">
        <v>0</v>
      </c>
      <c r="AO1062" t="n">
        <v>0</v>
      </c>
      <c r="AP1062" t="n">
        <v>0</v>
      </c>
      <c r="AQ1062" t="n">
        <v>0</v>
      </c>
      <c r="AR1062" t="inlineStr">
        <is>
          <t>No</t>
        </is>
      </c>
      <c r="AS1062" t="inlineStr">
        <is>
          <t>No</t>
        </is>
      </c>
      <c r="AU1062">
        <f>HYPERLINK("https://creighton-primo.hosted.exlibrisgroup.com/primo-explore/search?tab=default_tab&amp;search_scope=EVERYTHING&amp;vid=01CRU&amp;lang=en_US&amp;offset=0&amp;query=any,contains,991001341729702656","Catalog Record")</f>
        <v/>
      </c>
      <c r="AV1062">
        <f>HYPERLINK("http://www.worldcat.org/oclc/24501696","WorldCat Record")</f>
        <v/>
      </c>
    </row>
    <row r="1063">
      <c r="D1063" t="inlineStr">
        <is>
          <t>QT 180 S965h 1986</t>
        </is>
      </c>
      <c r="E1063" t="inlineStr">
        <is>
          <t>0                      QT 0180000S  965h        1986</t>
        </is>
      </c>
      <c r="F1063" t="inlineStr">
        <is>
          <t>Health psychophysiology : mind-body interactions in wellness and illness / Steve Suter.</t>
        </is>
      </c>
      <c r="H1063" t="inlineStr">
        <is>
          <t>No</t>
        </is>
      </c>
      <c r="I1063" t="inlineStr">
        <is>
          <t>1</t>
        </is>
      </c>
      <c r="J1063" t="inlineStr">
        <is>
          <t>No</t>
        </is>
      </c>
      <c r="K1063" t="inlineStr">
        <is>
          <t>No</t>
        </is>
      </c>
      <c r="L1063" t="inlineStr">
        <is>
          <t>0</t>
        </is>
      </c>
      <c r="M1063" t="inlineStr">
        <is>
          <t>Suter, Steve.</t>
        </is>
      </c>
      <c r="N1063" t="inlineStr">
        <is>
          <t>Hillsdale, N.J. : L. Erlbaum Associates, c1986.</t>
        </is>
      </c>
      <c r="O1063" t="inlineStr">
        <is>
          <t>1986</t>
        </is>
      </c>
      <c r="Q1063" t="inlineStr">
        <is>
          <t>eng</t>
        </is>
      </c>
      <c r="R1063" t="inlineStr">
        <is>
          <t>nju</t>
        </is>
      </c>
      <c r="T1063" t="inlineStr">
        <is>
          <t xml:space="preserve">QT </t>
        </is>
      </c>
      <c r="U1063" t="n">
        <v>8</v>
      </c>
      <c r="V1063" t="n">
        <v>8</v>
      </c>
      <c r="W1063" t="inlineStr">
        <is>
          <t>2003-04-16</t>
        </is>
      </c>
      <c r="X1063" t="inlineStr">
        <is>
          <t>2003-04-16</t>
        </is>
      </c>
      <c r="Y1063" t="inlineStr">
        <is>
          <t>1988-01-20</t>
        </is>
      </c>
      <c r="Z1063" t="inlineStr">
        <is>
          <t>1988-01-20</t>
        </is>
      </c>
      <c r="AA1063" t="n">
        <v>326</v>
      </c>
      <c r="AB1063" t="n">
        <v>279</v>
      </c>
      <c r="AC1063" t="n">
        <v>305</v>
      </c>
      <c r="AD1063" t="n">
        <v>3</v>
      </c>
      <c r="AE1063" t="n">
        <v>3</v>
      </c>
      <c r="AF1063" t="n">
        <v>11</v>
      </c>
      <c r="AG1063" t="n">
        <v>11</v>
      </c>
      <c r="AH1063" t="n">
        <v>3</v>
      </c>
      <c r="AI1063" t="n">
        <v>3</v>
      </c>
      <c r="AJ1063" t="n">
        <v>3</v>
      </c>
      <c r="AK1063" t="n">
        <v>3</v>
      </c>
      <c r="AL1063" t="n">
        <v>7</v>
      </c>
      <c r="AM1063" t="n">
        <v>7</v>
      </c>
      <c r="AN1063" t="n">
        <v>2</v>
      </c>
      <c r="AO1063" t="n">
        <v>2</v>
      </c>
      <c r="AP1063" t="n">
        <v>0</v>
      </c>
      <c r="AQ1063" t="n">
        <v>0</v>
      </c>
      <c r="AR1063" t="inlineStr">
        <is>
          <t>No</t>
        </is>
      </c>
      <c r="AS1063" t="inlineStr">
        <is>
          <t>Yes</t>
        </is>
      </c>
      <c r="AT1063">
        <f>HYPERLINK("http://catalog.hathitrust.org/Record/000438326","HathiTrust Record")</f>
        <v/>
      </c>
      <c r="AU1063">
        <f>HYPERLINK("https://creighton-primo.hosted.exlibrisgroup.com/primo-explore/search?tab=default_tab&amp;search_scope=EVERYTHING&amp;vid=01CRU&amp;lang=en_US&amp;offset=0&amp;query=any,contains,991000759769702656","Catalog Record")</f>
        <v/>
      </c>
      <c r="AV1063">
        <f>HYPERLINK("http://www.worldcat.org/oclc/12263224","WorldCat Record")</f>
        <v/>
      </c>
    </row>
    <row r="1064">
      <c r="D1064" t="inlineStr">
        <is>
          <t>QT 180 X5w 1993</t>
        </is>
      </c>
      <c r="E1064" t="inlineStr">
        <is>
          <t>0                      QT 0180000X  5w          1993</t>
        </is>
      </c>
      <c r="F1064" t="inlineStr">
        <is>
          <t>Why doesn't my funny bone make me laugh? : sneezes, hiccups, butterflies, and other funny feelings explained / Alan P. Xenakis.</t>
        </is>
      </c>
      <c r="H1064" t="inlineStr">
        <is>
          <t>No</t>
        </is>
      </c>
      <c r="I1064" t="inlineStr">
        <is>
          <t>1</t>
        </is>
      </c>
      <c r="J1064" t="inlineStr">
        <is>
          <t>No</t>
        </is>
      </c>
      <c r="K1064" t="inlineStr">
        <is>
          <t>No</t>
        </is>
      </c>
      <c r="L1064" t="inlineStr">
        <is>
          <t>0</t>
        </is>
      </c>
      <c r="M1064" t="inlineStr">
        <is>
          <t>Xenakis, Alan Perry.</t>
        </is>
      </c>
      <c r="N1064" t="inlineStr">
        <is>
          <t>New York : Villard Books, c1993.</t>
        </is>
      </c>
      <c r="O1064" t="inlineStr">
        <is>
          <t>1993</t>
        </is>
      </c>
      <c r="P1064" t="inlineStr">
        <is>
          <t>1st ed.</t>
        </is>
      </c>
      <c r="Q1064" t="inlineStr">
        <is>
          <t>eng</t>
        </is>
      </c>
      <c r="R1064" t="inlineStr">
        <is>
          <t>nyu</t>
        </is>
      </c>
      <c r="T1064" t="inlineStr">
        <is>
          <t xml:space="preserve">QT </t>
        </is>
      </c>
      <c r="U1064" t="n">
        <v>3</v>
      </c>
      <c r="V1064" t="n">
        <v>3</v>
      </c>
      <c r="W1064" t="inlineStr">
        <is>
          <t>1995-02-14</t>
        </is>
      </c>
      <c r="X1064" t="inlineStr">
        <is>
          <t>1995-02-14</t>
        </is>
      </c>
      <c r="Y1064" t="inlineStr">
        <is>
          <t>1994-12-05</t>
        </is>
      </c>
      <c r="Z1064" t="inlineStr">
        <is>
          <t>1994-12-05</t>
        </is>
      </c>
      <c r="AA1064" t="n">
        <v>394</v>
      </c>
      <c r="AB1064" t="n">
        <v>373</v>
      </c>
      <c r="AC1064" t="n">
        <v>390</v>
      </c>
      <c r="AD1064" t="n">
        <v>3</v>
      </c>
      <c r="AE1064" t="n">
        <v>3</v>
      </c>
      <c r="AF1064" t="n">
        <v>1</v>
      </c>
      <c r="AG1064" t="n">
        <v>1</v>
      </c>
      <c r="AH1064" t="n">
        <v>0</v>
      </c>
      <c r="AI1064" t="n">
        <v>0</v>
      </c>
      <c r="AJ1064" t="n">
        <v>0</v>
      </c>
      <c r="AK1064" t="n">
        <v>0</v>
      </c>
      <c r="AL1064" t="n">
        <v>1</v>
      </c>
      <c r="AM1064" t="n">
        <v>1</v>
      </c>
      <c r="AN1064" t="n">
        <v>0</v>
      </c>
      <c r="AO1064" t="n">
        <v>0</v>
      </c>
      <c r="AP1064" t="n">
        <v>0</v>
      </c>
      <c r="AQ1064" t="n">
        <v>0</v>
      </c>
      <c r="AR1064" t="inlineStr">
        <is>
          <t>No</t>
        </is>
      </c>
      <c r="AS1064" t="inlineStr">
        <is>
          <t>Yes</t>
        </is>
      </c>
      <c r="AT1064">
        <f>HYPERLINK("http://catalog.hathitrust.org/Record/101946857","HathiTrust Record")</f>
        <v/>
      </c>
      <c r="AU1064">
        <f>HYPERLINK("https://creighton-primo.hosted.exlibrisgroup.com/primo-explore/search?tab=default_tab&amp;search_scope=EVERYTHING&amp;vid=01CRU&amp;lang=en_US&amp;offset=0&amp;query=any,contains,991000682739702656","Catalog Record")</f>
        <v/>
      </c>
      <c r="AV1064">
        <f>HYPERLINK("http://www.worldcat.org/oclc/27144249","WorldCat Record")</f>
        <v/>
      </c>
    </row>
    <row r="1065">
      <c r="D1065" t="inlineStr">
        <is>
          <t>QT 200 L786 1988</t>
        </is>
      </c>
      <c r="E1065" t="inlineStr">
        <is>
          <t>0                      QT 0200000L  786         1988</t>
        </is>
      </c>
      <c r="F1065" t="inlineStr">
        <is>
          <t>Living fit / Henry J. Montoye ... [et al.].</t>
        </is>
      </c>
      <c r="H1065" t="inlineStr">
        <is>
          <t>No</t>
        </is>
      </c>
      <c r="I1065" t="inlineStr">
        <is>
          <t>1</t>
        </is>
      </c>
      <c r="J1065" t="inlineStr">
        <is>
          <t>No</t>
        </is>
      </c>
      <c r="K1065" t="inlineStr">
        <is>
          <t>No</t>
        </is>
      </c>
      <c r="L1065" t="inlineStr">
        <is>
          <t>0</t>
        </is>
      </c>
      <c r="N1065" t="inlineStr">
        <is>
          <t>Menlo Park, Calif. : Benjamin/Cummings Pub. Co., c1988.</t>
        </is>
      </c>
      <c r="O1065" t="inlineStr">
        <is>
          <t>1988</t>
        </is>
      </c>
      <c r="Q1065" t="inlineStr">
        <is>
          <t>eng</t>
        </is>
      </c>
      <c r="R1065" t="inlineStr">
        <is>
          <t>cau</t>
        </is>
      </c>
      <c r="T1065" t="inlineStr">
        <is>
          <t xml:space="preserve">QT </t>
        </is>
      </c>
      <c r="U1065" t="n">
        <v>29</v>
      </c>
      <c r="V1065" t="n">
        <v>29</v>
      </c>
      <c r="W1065" t="inlineStr">
        <is>
          <t>2000-10-07</t>
        </is>
      </c>
      <c r="X1065" t="inlineStr">
        <is>
          <t>2000-10-07</t>
        </is>
      </c>
      <c r="Y1065" t="inlineStr">
        <is>
          <t>1988-10-08</t>
        </is>
      </c>
      <c r="Z1065" t="inlineStr">
        <is>
          <t>1988-10-08</t>
        </is>
      </c>
      <c r="AA1065" t="n">
        <v>72</v>
      </c>
      <c r="AB1065" t="n">
        <v>62</v>
      </c>
      <c r="AC1065" t="n">
        <v>62</v>
      </c>
      <c r="AD1065" t="n">
        <v>1</v>
      </c>
      <c r="AE1065" t="n">
        <v>1</v>
      </c>
      <c r="AF1065" t="n">
        <v>1</v>
      </c>
      <c r="AG1065" t="n">
        <v>1</v>
      </c>
      <c r="AH1065" t="n">
        <v>0</v>
      </c>
      <c r="AI1065" t="n">
        <v>0</v>
      </c>
      <c r="AJ1065" t="n">
        <v>1</v>
      </c>
      <c r="AK1065" t="n">
        <v>1</v>
      </c>
      <c r="AL1065" t="n">
        <v>1</v>
      </c>
      <c r="AM1065" t="n">
        <v>1</v>
      </c>
      <c r="AN1065" t="n">
        <v>0</v>
      </c>
      <c r="AO1065" t="n">
        <v>0</v>
      </c>
      <c r="AP1065" t="n">
        <v>0</v>
      </c>
      <c r="AQ1065" t="n">
        <v>0</v>
      </c>
      <c r="AR1065" t="inlineStr">
        <is>
          <t>No</t>
        </is>
      </c>
      <c r="AS1065" t="inlineStr">
        <is>
          <t>No</t>
        </is>
      </c>
      <c r="AU1065">
        <f>HYPERLINK("https://creighton-primo.hosted.exlibrisgroup.com/primo-explore/search?tab=default_tab&amp;search_scope=EVERYTHING&amp;vid=01CRU&amp;lang=en_US&amp;offset=0&amp;query=any,contains,991001425069702656","Catalog Record")</f>
        <v/>
      </c>
      <c r="AV1065">
        <f>HYPERLINK("http://www.worldcat.org/oclc/16801319","WorldCat Record")</f>
        <v/>
      </c>
    </row>
    <row r="1066">
      <c r="D1066" t="inlineStr">
        <is>
          <t>QT 200 M533h 1996</t>
        </is>
      </c>
      <c r="E1066" t="inlineStr">
        <is>
          <t>0                      QT 0200000M  533h        1996</t>
        </is>
      </c>
      <c r="F1066" t="inlineStr">
        <is>
          <t>The human body in health &amp; disease / Ruth L. Memmler, Barbara Janson Cohen, Dena Lin Wood, illustrated by Janice A. Schwegler and Anthony Ravielli.</t>
        </is>
      </c>
      <c r="H1066" t="inlineStr">
        <is>
          <t>No</t>
        </is>
      </c>
      <c r="I1066" t="inlineStr">
        <is>
          <t>1</t>
        </is>
      </c>
      <c r="J1066" t="inlineStr">
        <is>
          <t>No</t>
        </is>
      </c>
      <c r="K1066" t="inlineStr">
        <is>
          <t>No</t>
        </is>
      </c>
      <c r="L1066" t="inlineStr">
        <is>
          <t>0</t>
        </is>
      </c>
      <c r="M1066" t="inlineStr">
        <is>
          <t>Memmler, Ruth Lundeen.</t>
        </is>
      </c>
      <c r="N1066" t="inlineStr">
        <is>
          <t>Philadelphia : Lippincott, c1996.</t>
        </is>
      </c>
      <c r="O1066" t="inlineStr">
        <is>
          <t>1996</t>
        </is>
      </c>
      <c r="P1066" t="inlineStr">
        <is>
          <t>8th ed.</t>
        </is>
      </c>
      <c r="Q1066" t="inlineStr">
        <is>
          <t>eng</t>
        </is>
      </c>
      <c r="R1066" t="inlineStr">
        <is>
          <t>pau</t>
        </is>
      </c>
      <c r="T1066" t="inlineStr">
        <is>
          <t xml:space="preserve">QT </t>
        </is>
      </c>
      <c r="U1066" t="n">
        <v>4</v>
      </c>
      <c r="V1066" t="n">
        <v>4</v>
      </c>
      <c r="W1066" t="inlineStr">
        <is>
          <t>1997-04-18</t>
        </is>
      </c>
      <c r="X1066" t="inlineStr">
        <is>
          <t>1997-04-18</t>
        </is>
      </c>
      <c r="Y1066" t="inlineStr">
        <is>
          <t>1996-06-24</t>
        </is>
      </c>
      <c r="Z1066" t="inlineStr">
        <is>
          <t>1996-06-24</t>
        </is>
      </c>
      <c r="AA1066" t="n">
        <v>244</v>
      </c>
      <c r="AB1066" t="n">
        <v>184</v>
      </c>
      <c r="AC1066" t="n">
        <v>885</v>
      </c>
      <c r="AD1066" t="n">
        <v>1</v>
      </c>
      <c r="AE1066" t="n">
        <v>8</v>
      </c>
      <c r="AF1066" t="n">
        <v>4</v>
      </c>
      <c r="AG1066" t="n">
        <v>25</v>
      </c>
      <c r="AH1066" t="n">
        <v>1</v>
      </c>
      <c r="AI1066" t="n">
        <v>7</v>
      </c>
      <c r="AJ1066" t="n">
        <v>2</v>
      </c>
      <c r="AK1066" t="n">
        <v>7</v>
      </c>
      <c r="AL1066" t="n">
        <v>2</v>
      </c>
      <c r="AM1066" t="n">
        <v>8</v>
      </c>
      <c r="AN1066" t="n">
        <v>0</v>
      </c>
      <c r="AO1066" t="n">
        <v>3</v>
      </c>
      <c r="AP1066" t="n">
        <v>0</v>
      </c>
      <c r="AQ1066" t="n">
        <v>5</v>
      </c>
      <c r="AR1066" t="inlineStr">
        <is>
          <t>No</t>
        </is>
      </c>
      <c r="AS1066" t="inlineStr">
        <is>
          <t>No</t>
        </is>
      </c>
      <c r="AU1066">
        <f>HYPERLINK("https://creighton-primo.hosted.exlibrisgroup.com/primo-explore/search?tab=default_tab&amp;search_scope=EVERYTHING&amp;vid=01CRU&amp;lang=en_US&amp;offset=0&amp;query=any,contains,991000832989702656","Catalog Record")</f>
        <v/>
      </c>
      <c r="AV1066">
        <f>HYPERLINK("http://www.worldcat.org/oclc/32397553","WorldCat Record")</f>
        <v/>
      </c>
    </row>
    <row r="1067">
      <c r="D1067" t="inlineStr">
        <is>
          <t>QT 235 D565 1981</t>
        </is>
      </c>
      <c r="E1067" t="inlineStr">
        <is>
          <t>0                      QT 0235000D  565         1981</t>
        </is>
      </c>
      <c r="F1067" t="inlineStr">
        <is>
          <t>Diet and exercise--synergism in health maintenance / editors, Philip L. White and Therese Mondeika.</t>
        </is>
      </c>
      <c r="H1067" t="inlineStr">
        <is>
          <t>No</t>
        </is>
      </c>
      <c r="I1067" t="inlineStr">
        <is>
          <t>1</t>
        </is>
      </c>
      <c r="J1067" t="inlineStr">
        <is>
          <t>No</t>
        </is>
      </c>
      <c r="K1067" t="inlineStr">
        <is>
          <t>No</t>
        </is>
      </c>
      <c r="L1067" t="inlineStr">
        <is>
          <t>0</t>
        </is>
      </c>
      <c r="N1067" t="inlineStr">
        <is>
          <t>Chicago, Ill. : American Medical Association, c1982.</t>
        </is>
      </c>
      <c r="O1067" t="inlineStr">
        <is>
          <t>1982</t>
        </is>
      </c>
      <c r="Q1067" t="inlineStr">
        <is>
          <t>eng</t>
        </is>
      </c>
      <c r="R1067" t="inlineStr">
        <is>
          <t>xxu</t>
        </is>
      </c>
      <c r="T1067" t="inlineStr">
        <is>
          <t xml:space="preserve">QT </t>
        </is>
      </c>
      <c r="U1067" t="n">
        <v>12</v>
      </c>
      <c r="V1067" t="n">
        <v>12</v>
      </c>
      <c r="W1067" t="inlineStr">
        <is>
          <t>2001-02-22</t>
        </is>
      </c>
      <c r="X1067" t="inlineStr">
        <is>
          <t>2001-02-22</t>
        </is>
      </c>
      <c r="Y1067" t="inlineStr">
        <is>
          <t>1988-01-20</t>
        </is>
      </c>
      <c r="Z1067" t="inlineStr">
        <is>
          <t>1988-01-20</t>
        </is>
      </c>
      <c r="AA1067" t="n">
        <v>227</v>
      </c>
      <c r="AB1067" t="n">
        <v>198</v>
      </c>
      <c r="AC1067" t="n">
        <v>200</v>
      </c>
      <c r="AD1067" t="n">
        <v>1</v>
      </c>
      <c r="AE1067" t="n">
        <v>1</v>
      </c>
      <c r="AF1067" t="n">
        <v>3</v>
      </c>
      <c r="AG1067" t="n">
        <v>3</v>
      </c>
      <c r="AH1067" t="n">
        <v>2</v>
      </c>
      <c r="AI1067" t="n">
        <v>2</v>
      </c>
      <c r="AJ1067" t="n">
        <v>1</v>
      </c>
      <c r="AK1067" t="n">
        <v>1</v>
      </c>
      <c r="AL1067" t="n">
        <v>0</v>
      </c>
      <c r="AM1067" t="n">
        <v>0</v>
      </c>
      <c r="AN1067" t="n">
        <v>0</v>
      </c>
      <c r="AO1067" t="n">
        <v>0</v>
      </c>
      <c r="AP1067" t="n">
        <v>0</v>
      </c>
      <c r="AQ1067" t="n">
        <v>0</v>
      </c>
      <c r="AR1067" t="inlineStr">
        <is>
          <t>No</t>
        </is>
      </c>
      <c r="AS1067" t="inlineStr">
        <is>
          <t>Yes</t>
        </is>
      </c>
      <c r="AT1067">
        <f>HYPERLINK("http://catalog.hathitrust.org/Record/000109571","HathiTrust Record")</f>
        <v/>
      </c>
      <c r="AU1067">
        <f>HYPERLINK("https://creighton-primo.hosted.exlibrisgroup.com/primo-explore/search?tab=default_tab&amp;search_scope=EVERYTHING&amp;vid=01CRU&amp;lang=en_US&amp;offset=0&amp;query=any,contains,991000861119702656","Catalog Record")</f>
        <v/>
      </c>
      <c r="AV1067">
        <f>HYPERLINK("http://www.worldcat.org/oclc/9971947","WorldCat Record")</f>
        <v/>
      </c>
    </row>
    <row r="1068">
      <c r="D1068" t="inlineStr">
        <is>
          <t>QT 235 M879L 1958</t>
        </is>
      </c>
      <c r="E1068" t="inlineStr">
        <is>
          <t>0                      QT 0235000M  879L        1958</t>
        </is>
      </c>
      <c r="F1068" t="inlineStr">
        <is>
          <t>The low-fat way to health and longer life : the complete guide to better health through automatic weight control, modern nutritional supplements, and low-fat diet / [by] Lester M. Morrison.</t>
        </is>
      </c>
      <c r="H1068" t="inlineStr">
        <is>
          <t>No</t>
        </is>
      </c>
      <c r="I1068" t="inlineStr">
        <is>
          <t>1</t>
        </is>
      </c>
      <c r="J1068" t="inlineStr">
        <is>
          <t>No</t>
        </is>
      </c>
      <c r="K1068" t="inlineStr">
        <is>
          <t>No</t>
        </is>
      </c>
      <c r="L1068" t="inlineStr">
        <is>
          <t>0</t>
        </is>
      </c>
      <c r="M1068" t="inlineStr">
        <is>
          <t>Morrison, Lester M.</t>
        </is>
      </c>
      <c r="N1068" t="inlineStr">
        <is>
          <t>Englewood Cliffs, N.J. : Prentic-Hall, 1958.</t>
        </is>
      </c>
      <c r="O1068" t="inlineStr">
        <is>
          <t>1958</t>
        </is>
      </c>
      <c r="Q1068" t="inlineStr">
        <is>
          <t>eng</t>
        </is>
      </c>
      <c r="R1068" t="inlineStr">
        <is>
          <t>nju</t>
        </is>
      </c>
      <c r="T1068" t="inlineStr">
        <is>
          <t xml:space="preserve">QT </t>
        </is>
      </c>
      <c r="U1068" t="n">
        <v>2</v>
      </c>
      <c r="V1068" t="n">
        <v>2</v>
      </c>
      <c r="W1068" t="inlineStr">
        <is>
          <t>1992-05-29</t>
        </is>
      </c>
      <c r="X1068" t="inlineStr">
        <is>
          <t>1992-05-29</t>
        </is>
      </c>
      <c r="Y1068" t="inlineStr">
        <is>
          <t>1988-03-03</t>
        </is>
      </c>
      <c r="Z1068" t="inlineStr">
        <is>
          <t>1988-03-03</t>
        </is>
      </c>
      <c r="AA1068" t="n">
        <v>139</v>
      </c>
      <c r="AB1068" t="n">
        <v>128</v>
      </c>
      <c r="AC1068" t="n">
        <v>152</v>
      </c>
      <c r="AD1068" t="n">
        <v>3</v>
      </c>
      <c r="AE1068" t="n">
        <v>3</v>
      </c>
      <c r="AF1068" t="n">
        <v>2</v>
      </c>
      <c r="AG1068" t="n">
        <v>3</v>
      </c>
      <c r="AH1068" t="n">
        <v>0</v>
      </c>
      <c r="AI1068" t="n">
        <v>1</v>
      </c>
      <c r="AJ1068" t="n">
        <v>0</v>
      </c>
      <c r="AK1068" t="n">
        <v>1</v>
      </c>
      <c r="AL1068" t="n">
        <v>0</v>
      </c>
      <c r="AM1068" t="n">
        <v>0</v>
      </c>
      <c r="AN1068" t="n">
        <v>2</v>
      </c>
      <c r="AO1068" t="n">
        <v>2</v>
      </c>
      <c r="AP1068" t="n">
        <v>0</v>
      </c>
      <c r="AQ1068" t="n">
        <v>0</v>
      </c>
      <c r="AR1068" t="inlineStr">
        <is>
          <t>No</t>
        </is>
      </c>
      <c r="AS1068" t="inlineStr">
        <is>
          <t>No</t>
        </is>
      </c>
      <c r="AT1068">
        <f>HYPERLINK("http://catalog.hathitrust.org/Record/009112744","HathiTrust Record")</f>
        <v/>
      </c>
      <c r="AU1068">
        <f>HYPERLINK("https://creighton-primo.hosted.exlibrisgroup.com/primo-explore/search?tab=default_tab&amp;search_scope=EVERYTHING&amp;vid=01CRU&amp;lang=en_US&amp;offset=0&amp;query=any,contains,991001159889702656","Catalog Record")</f>
        <v/>
      </c>
      <c r="AV1068">
        <f>HYPERLINK("http://www.worldcat.org/oclc/7885509","WorldCat Record")</f>
        <v/>
      </c>
    </row>
    <row r="1069">
      <c r="D1069" t="inlineStr">
        <is>
          <t>QT250 J79t 2004</t>
        </is>
      </c>
      <c r="E1069" t="inlineStr">
        <is>
          <t>0                      QT 0250000J  79t         2004</t>
        </is>
      </c>
      <c r="F1069" t="inlineStr">
        <is>
          <t>Travelers' vaccines / Elaine C. Jong, Jane N. Zuckerman.</t>
        </is>
      </c>
      <c r="H1069" t="inlineStr">
        <is>
          <t>No</t>
        </is>
      </c>
      <c r="I1069" t="inlineStr">
        <is>
          <t>1</t>
        </is>
      </c>
      <c r="J1069" t="inlineStr">
        <is>
          <t>No</t>
        </is>
      </c>
      <c r="K1069" t="inlineStr">
        <is>
          <t>No</t>
        </is>
      </c>
      <c r="L1069" t="inlineStr">
        <is>
          <t>0</t>
        </is>
      </c>
      <c r="M1069" t="inlineStr">
        <is>
          <t>Jong, Elaine C.</t>
        </is>
      </c>
      <c r="N1069" t="inlineStr">
        <is>
          <t>Hamilton, Ont. ; Lewiston, NY : BC Decker, 2004.</t>
        </is>
      </c>
      <c r="O1069" t="inlineStr">
        <is>
          <t>2004</t>
        </is>
      </c>
      <c r="Q1069" t="inlineStr">
        <is>
          <t>eng</t>
        </is>
      </c>
      <c r="R1069" t="inlineStr">
        <is>
          <t>onc</t>
        </is>
      </c>
      <c r="T1069" t="inlineStr">
        <is>
          <t xml:space="preserve">QT </t>
        </is>
      </c>
      <c r="U1069" t="n">
        <v>0</v>
      </c>
      <c r="V1069" t="n">
        <v>0</v>
      </c>
      <c r="W1069" t="inlineStr">
        <is>
          <t>2004-10-26</t>
        </is>
      </c>
      <c r="X1069" t="inlineStr">
        <is>
          <t>2004-10-26</t>
        </is>
      </c>
      <c r="Y1069" t="inlineStr">
        <is>
          <t>2004-10-25</t>
        </is>
      </c>
      <c r="Z1069" t="inlineStr">
        <is>
          <t>2004-10-25</t>
        </is>
      </c>
      <c r="AA1069" t="n">
        <v>33</v>
      </c>
      <c r="AB1069" t="n">
        <v>21</v>
      </c>
      <c r="AC1069" t="n">
        <v>70</v>
      </c>
      <c r="AD1069" t="n">
        <v>1</v>
      </c>
      <c r="AE1069" t="n">
        <v>1</v>
      </c>
      <c r="AF1069" t="n">
        <v>0</v>
      </c>
      <c r="AG1069" t="n">
        <v>1</v>
      </c>
      <c r="AH1069" t="n">
        <v>0</v>
      </c>
      <c r="AI1069" t="n">
        <v>0</v>
      </c>
      <c r="AJ1069" t="n">
        <v>0</v>
      </c>
      <c r="AK1069" t="n">
        <v>0</v>
      </c>
      <c r="AL1069" t="n">
        <v>0</v>
      </c>
      <c r="AM1069" t="n">
        <v>1</v>
      </c>
      <c r="AN1069" t="n">
        <v>0</v>
      </c>
      <c r="AO1069" t="n">
        <v>0</v>
      </c>
      <c r="AP1069" t="n">
        <v>0</v>
      </c>
      <c r="AQ1069" t="n">
        <v>0</v>
      </c>
      <c r="AR1069" t="inlineStr">
        <is>
          <t>No</t>
        </is>
      </c>
      <c r="AS1069" t="inlineStr">
        <is>
          <t>No</t>
        </is>
      </c>
      <c r="AU1069">
        <f>HYPERLINK("https://creighton-primo.hosted.exlibrisgroup.com/primo-explore/search?tab=default_tab&amp;search_scope=EVERYTHING&amp;vid=01CRU&amp;lang=en_US&amp;offset=0&amp;query=any,contains,991000404169702656","Catalog Record")</f>
        <v/>
      </c>
      <c r="AV1069">
        <f>HYPERLINK("http://www.worldcat.org/oclc/56527175","WorldCat Record")</f>
        <v/>
      </c>
    </row>
    <row r="1070">
      <c r="D1070" t="inlineStr">
        <is>
          <t>QT 250 W673 2007</t>
        </is>
      </c>
      <c r="E1070" t="inlineStr">
        <is>
          <t>0                      QT 0250000W  673         2007</t>
        </is>
      </c>
      <c r="F1070" t="inlineStr">
        <is>
          <t>Wilderness medicine / [edited by] Paul S. Auerbach.</t>
        </is>
      </c>
      <c r="H1070" t="inlineStr">
        <is>
          <t>No</t>
        </is>
      </c>
      <c r="I1070" t="inlineStr">
        <is>
          <t>1</t>
        </is>
      </c>
      <c r="J1070" t="inlineStr">
        <is>
          <t>No</t>
        </is>
      </c>
      <c r="K1070" t="inlineStr">
        <is>
          <t>No</t>
        </is>
      </c>
      <c r="L1070" t="inlineStr">
        <is>
          <t>0</t>
        </is>
      </c>
      <c r="N1070" t="inlineStr">
        <is>
          <t>Philadelphia : Mosby Elsevier, c2007.</t>
        </is>
      </c>
      <c r="O1070" t="inlineStr">
        <is>
          <t>2007</t>
        </is>
      </c>
      <c r="P1070" t="inlineStr">
        <is>
          <t>5th ed.</t>
        </is>
      </c>
      <c r="Q1070" t="inlineStr">
        <is>
          <t>eng</t>
        </is>
      </c>
      <c r="R1070" t="inlineStr">
        <is>
          <t>pau</t>
        </is>
      </c>
      <c r="T1070" t="inlineStr">
        <is>
          <t xml:space="preserve">QT </t>
        </is>
      </c>
      <c r="U1070" t="n">
        <v>1</v>
      </c>
      <c r="V1070" t="n">
        <v>1</v>
      </c>
      <c r="W1070" t="inlineStr">
        <is>
          <t>2008-04-16</t>
        </is>
      </c>
      <c r="X1070" t="inlineStr">
        <is>
          <t>2008-04-16</t>
        </is>
      </c>
      <c r="Y1070" t="inlineStr">
        <is>
          <t>2007-09-12</t>
        </is>
      </c>
      <c r="Z1070" t="inlineStr">
        <is>
          <t>2007-09-12</t>
        </is>
      </c>
      <c r="AA1070" t="n">
        <v>287</v>
      </c>
      <c r="AB1070" t="n">
        <v>223</v>
      </c>
      <c r="AC1070" t="n">
        <v>229</v>
      </c>
      <c r="AD1070" t="n">
        <v>2</v>
      </c>
      <c r="AE1070" t="n">
        <v>2</v>
      </c>
      <c r="AF1070" t="n">
        <v>6</v>
      </c>
      <c r="AG1070" t="n">
        <v>6</v>
      </c>
      <c r="AH1070" t="n">
        <v>2</v>
      </c>
      <c r="AI1070" t="n">
        <v>2</v>
      </c>
      <c r="AJ1070" t="n">
        <v>2</v>
      </c>
      <c r="AK1070" t="n">
        <v>2</v>
      </c>
      <c r="AL1070" t="n">
        <v>1</v>
      </c>
      <c r="AM1070" t="n">
        <v>1</v>
      </c>
      <c r="AN1070" t="n">
        <v>1</v>
      </c>
      <c r="AO1070" t="n">
        <v>1</v>
      </c>
      <c r="AP1070" t="n">
        <v>0</v>
      </c>
      <c r="AQ1070" t="n">
        <v>0</v>
      </c>
      <c r="AR1070" t="inlineStr">
        <is>
          <t>No</t>
        </is>
      </c>
      <c r="AS1070" t="inlineStr">
        <is>
          <t>No</t>
        </is>
      </c>
      <c r="AU1070">
        <f>HYPERLINK("https://creighton-primo.hosted.exlibrisgroup.com/primo-explore/search?tab=default_tab&amp;search_scope=EVERYTHING&amp;vid=01CRU&amp;lang=en_US&amp;offset=0&amp;query=any,contains,991000647879702656","Catalog Record")</f>
        <v/>
      </c>
      <c r="AV1070">
        <f>HYPERLINK("http://www.worldcat.org/oclc/65360961","WorldCat Record")</f>
        <v/>
      </c>
    </row>
    <row r="1071">
      <c r="D1071" t="inlineStr">
        <is>
          <t>QT255 A187 2005</t>
        </is>
      </c>
      <c r="E1071" t="inlineStr">
        <is>
          <t>0                      QT 0255000A  187         2005</t>
        </is>
      </c>
      <c r="F1071" t="inlineStr">
        <is>
          <t>ACSM's health-related physical fitness assessment manual / American College of Sports Medicine ; editors, Gregory B. Dwyer and Shala E. Davis.</t>
        </is>
      </c>
      <c r="H1071" t="inlineStr">
        <is>
          <t>No</t>
        </is>
      </c>
      <c r="I1071" t="inlineStr">
        <is>
          <t>1</t>
        </is>
      </c>
      <c r="J1071" t="inlineStr">
        <is>
          <t>No</t>
        </is>
      </c>
      <c r="K1071" t="inlineStr">
        <is>
          <t>No</t>
        </is>
      </c>
      <c r="L1071" t="inlineStr">
        <is>
          <t>0</t>
        </is>
      </c>
      <c r="N1071" t="inlineStr">
        <is>
          <t>Philadelphia : Lippincott Williams &amp; Wilkins, c2005 [i.e. 2004]</t>
        </is>
      </c>
      <c r="O1071" t="inlineStr">
        <is>
          <t>2004</t>
        </is>
      </c>
      <c r="Q1071" t="inlineStr">
        <is>
          <t>eng</t>
        </is>
      </c>
      <c r="R1071" t="inlineStr">
        <is>
          <t>pau</t>
        </is>
      </c>
      <c r="T1071" t="inlineStr">
        <is>
          <t xml:space="preserve">QT </t>
        </is>
      </c>
      <c r="U1071" t="n">
        <v>1</v>
      </c>
      <c r="V1071" t="n">
        <v>1</v>
      </c>
      <c r="W1071" t="inlineStr">
        <is>
          <t>2005-11-17</t>
        </is>
      </c>
      <c r="X1071" t="inlineStr">
        <is>
          <t>2005-11-17</t>
        </is>
      </c>
      <c r="Y1071" t="inlineStr">
        <is>
          <t>2005-11-15</t>
        </is>
      </c>
      <c r="Z1071" t="inlineStr">
        <is>
          <t>2005-11-15</t>
        </is>
      </c>
      <c r="AA1071" t="n">
        <v>281</v>
      </c>
      <c r="AB1071" t="n">
        <v>210</v>
      </c>
      <c r="AC1071" t="n">
        <v>210</v>
      </c>
      <c r="AD1071" t="n">
        <v>4</v>
      </c>
      <c r="AE1071" t="n">
        <v>4</v>
      </c>
      <c r="AF1071" t="n">
        <v>12</v>
      </c>
      <c r="AG1071" t="n">
        <v>12</v>
      </c>
      <c r="AH1071" t="n">
        <v>5</v>
      </c>
      <c r="AI1071" t="n">
        <v>5</v>
      </c>
      <c r="AJ1071" t="n">
        <v>4</v>
      </c>
      <c r="AK1071" t="n">
        <v>4</v>
      </c>
      <c r="AL1071" t="n">
        <v>2</v>
      </c>
      <c r="AM1071" t="n">
        <v>2</v>
      </c>
      <c r="AN1071" t="n">
        <v>3</v>
      </c>
      <c r="AO1071" t="n">
        <v>3</v>
      </c>
      <c r="AP1071" t="n">
        <v>0</v>
      </c>
      <c r="AQ1071" t="n">
        <v>0</v>
      </c>
      <c r="AR1071" t="inlineStr">
        <is>
          <t>No</t>
        </is>
      </c>
      <c r="AS1071" t="inlineStr">
        <is>
          <t>No</t>
        </is>
      </c>
      <c r="AU1071">
        <f>HYPERLINK("https://creighton-primo.hosted.exlibrisgroup.com/primo-explore/search?tab=default_tab&amp;search_scope=EVERYTHING&amp;vid=01CRU&amp;lang=en_US&amp;offset=0&amp;query=any,contains,991000449269702656","Catalog Record")</f>
        <v/>
      </c>
      <c r="AV1071">
        <f>HYPERLINK("http://www.worldcat.org/oclc/52970751","WorldCat Record")</f>
        <v/>
      </c>
    </row>
    <row r="1072">
      <c r="D1072" t="inlineStr">
        <is>
          <t>QT 255 A188 1999</t>
        </is>
      </c>
      <c r="E1072" t="inlineStr">
        <is>
          <t>0                      QT 0255000A  188         1999</t>
        </is>
      </c>
      <c r="F1072" t="inlineStr">
        <is>
          <t>Active older adults : ideas for action / Lynn Allen, editor ; with support from the Sporting Goods Manufacturers Association (SGMA).</t>
        </is>
      </c>
      <c r="H1072" t="inlineStr">
        <is>
          <t>No</t>
        </is>
      </c>
      <c r="I1072" t="inlineStr">
        <is>
          <t>1</t>
        </is>
      </c>
      <c r="J1072" t="inlineStr">
        <is>
          <t>No</t>
        </is>
      </c>
      <c r="K1072" t="inlineStr">
        <is>
          <t>No</t>
        </is>
      </c>
      <c r="L1072" t="inlineStr">
        <is>
          <t>0</t>
        </is>
      </c>
      <c r="N1072" t="inlineStr">
        <is>
          <t>Champaign, IL : Human Kinetics, c1999.</t>
        </is>
      </c>
      <c r="O1072" t="inlineStr">
        <is>
          <t>1999</t>
        </is>
      </c>
      <c r="Q1072" t="inlineStr">
        <is>
          <t>eng</t>
        </is>
      </c>
      <c r="R1072" t="inlineStr">
        <is>
          <t>ilu</t>
        </is>
      </c>
      <c r="T1072" t="inlineStr">
        <is>
          <t xml:space="preserve">QT </t>
        </is>
      </c>
      <c r="U1072" t="n">
        <v>8</v>
      </c>
      <c r="V1072" t="n">
        <v>8</v>
      </c>
      <c r="W1072" t="inlineStr">
        <is>
          <t>2002-02-26</t>
        </is>
      </c>
      <c r="X1072" t="inlineStr">
        <is>
          <t>2002-02-26</t>
        </is>
      </c>
      <c r="Y1072" t="inlineStr">
        <is>
          <t>2000-04-13</t>
        </is>
      </c>
      <c r="Z1072" t="inlineStr">
        <is>
          <t>2000-04-13</t>
        </is>
      </c>
      <c r="AA1072" t="n">
        <v>349</v>
      </c>
      <c r="AB1072" t="n">
        <v>264</v>
      </c>
      <c r="AC1072" t="n">
        <v>264</v>
      </c>
      <c r="AD1072" t="n">
        <v>3</v>
      </c>
      <c r="AE1072" t="n">
        <v>3</v>
      </c>
      <c r="AF1072" t="n">
        <v>3</v>
      </c>
      <c r="AG1072" t="n">
        <v>3</v>
      </c>
      <c r="AH1072" t="n">
        <v>1</v>
      </c>
      <c r="AI1072" t="n">
        <v>1</v>
      </c>
      <c r="AJ1072" t="n">
        <v>0</v>
      </c>
      <c r="AK1072" t="n">
        <v>0</v>
      </c>
      <c r="AL1072" t="n">
        <v>0</v>
      </c>
      <c r="AM1072" t="n">
        <v>0</v>
      </c>
      <c r="AN1072" t="n">
        <v>2</v>
      </c>
      <c r="AO1072" t="n">
        <v>2</v>
      </c>
      <c r="AP1072" t="n">
        <v>0</v>
      </c>
      <c r="AQ1072" t="n">
        <v>0</v>
      </c>
      <c r="AR1072" t="inlineStr">
        <is>
          <t>No</t>
        </is>
      </c>
      <c r="AS1072" t="inlineStr">
        <is>
          <t>No</t>
        </is>
      </c>
      <c r="AU1072">
        <f>HYPERLINK("https://creighton-primo.hosted.exlibrisgroup.com/primo-explore/search?tab=default_tab&amp;search_scope=EVERYTHING&amp;vid=01CRU&amp;lang=en_US&amp;offset=0&amp;query=any,contains,991001407429702656","Catalog Record")</f>
        <v/>
      </c>
      <c r="AV1072">
        <f>HYPERLINK("http://www.worldcat.org/oclc/40510445","WorldCat Record")</f>
        <v/>
      </c>
    </row>
    <row r="1073">
      <c r="D1073" t="inlineStr">
        <is>
          <t>QT255 A871 2008</t>
        </is>
      </c>
      <c r="E1073" t="inlineStr">
        <is>
          <t>0                      QT 0255000A  871         2008</t>
        </is>
      </c>
      <c r="F1073" t="inlineStr">
        <is>
          <t>The athletic trainer's guide to psychosocial intervention and referral / [edited by] James Mensch, Gary M. Miller.</t>
        </is>
      </c>
      <c r="H1073" t="inlineStr">
        <is>
          <t>No</t>
        </is>
      </c>
      <c r="I1073" t="inlineStr">
        <is>
          <t>1</t>
        </is>
      </c>
      <c r="J1073" t="inlineStr">
        <is>
          <t>No</t>
        </is>
      </c>
      <c r="K1073" t="inlineStr">
        <is>
          <t>No</t>
        </is>
      </c>
      <c r="L1073" t="inlineStr">
        <is>
          <t>0</t>
        </is>
      </c>
      <c r="N1073" t="inlineStr">
        <is>
          <t>Thorofare, NJ : SLACK, c2008.</t>
        </is>
      </c>
      <c r="O1073" t="inlineStr">
        <is>
          <t>2008</t>
        </is>
      </c>
      <c r="Q1073" t="inlineStr">
        <is>
          <t>eng</t>
        </is>
      </c>
      <c r="R1073" t="inlineStr">
        <is>
          <t>nju</t>
        </is>
      </c>
      <c r="T1073" t="inlineStr">
        <is>
          <t xml:space="preserve">QT </t>
        </is>
      </c>
      <c r="U1073" t="n">
        <v>1</v>
      </c>
      <c r="V1073" t="n">
        <v>1</v>
      </c>
      <c r="W1073" t="inlineStr">
        <is>
          <t>2008-05-16</t>
        </is>
      </c>
      <c r="X1073" t="inlineStr">
        <is>
          <t>2008-05-16</t>
        </is>
      </c>
      <c r="Y1073" t="inlineStr">
        <is>
          <t>2008-04-15</t>
        </is>
      </c>
      <c r="Z1073" t="inlineStr">
        <is>
          <t>2008-04-15</t>
        </is>
      </c>
      <c r="AA1073" t="n">
        <v>212</v>
      </c>
      <c r="AB1073" t="n">
        <v>181</v>
      </c>
      <c r="AC1073" t="n">
        <v>192</v>
      </c>
      <c r="AD1073" t="n">
        <v>2</v>
      </c>
      <c r="AE1073" t="n">
        <v>2</v>
      </c>
      <c r="AF1073" t="n">
        <v>10</v>
      </c>
      <c r="AG1073" t="n">
        <v>10</v>
      </c>
      <c r="AH1073" t="n">
        <v>4</v>
      </c>
      <c r="AI1073" t="n">
        <v>4</v>
      </c>
      <c r="AJ1073" t="n">
        <v>4</v>
      </c>
      <c r="AK1073" t="n">
        <v>4</v>
      </c>
      <c r="AL1073" t="n">
        <v>3</v>
      </c>
      <c r="AM1073" t="n">
        <v>3</v>
      </c>
      <c r="AN1073" t="n">
        <v>1</v>
      </c>
      <c r="AO1073" t="n">
        <v>1</v>
      </c>
      <c r="AP1073" t="n">
        <v>0</v>
      </c>
      <c r="AQ1073" t="n">
        <v>0</v>
      </c>
      <c r="AR1073" t="inlineStr">
        <is>
          <t>No</t>
        </is>
      </c>
      <c r="AS1073" t="inlineStr">
        <is>
          <t>Yes</t>
        </is>
      </c>
      <c r="AT1073">
        <f>HYPERLINK("http://catalog.hathitrust.org/Record/005848682","HathiTrust Record")</f>
        <v/>
      </c>
      <c r="AU1073">
        <f>HYPERLINK("https://creighton-primo.hosted.exlibrisgroup.com/primo-explore/search?tab=default_tab&amp;search_scope=EVERYTHING&amp;vid=01CRU&amp;lang=en_US&amp;offset=0&amp;query=any,contains,991000690769702656","Catalog Record")</f>
        <v/>
      </c>
      <c r="AV1073">
        <f>HYPERLINK("http://www.worldcat.org/oclc/157002745","WorldCat Record")</f>
        <v/>
      </c>
    </row>
    <row r="1074">
      <c r="D1074" t="inlineStr">
        <is>
          <t>QT 255 B282w 1988</t>
        </is>
      </c>
      <c r="E1074" t="inlineStr">
        <is>
          <t>0                      QT 0255000B  282w        1988</t>
        </is>
      </c>
      <c r="F1074" t="inlineStr">
        <is>
          <t>Worried sick : our troubled quest for wellness / Arthur J. Barsky.</t>
        </is>
      </c>
      <c r="H1074" t="inlineStr">
        <is>
          <t>No</t>
        </is>
      </c>
      <c r="I1074" t="inlineStr">
        <is>
          <t>1</t>
        </is>
      </c>
      <c r="J1074" t="inlineStr">
        <is>
          <t>No</t>
        </is>
      </c>
      <c r="K1074" t="inlineStr">
        <is>
          <t>No</t>
        </is>
      </c>
      <c r="L1074" t="inlineStr">
        <is>
          <t>0</t>
        </is>
      </c>
      <c r="M1074" t="inlineStr">
        <is>
          <t>Barsky, Arthur J.</t>
        </is>
      </c>
      <c r="N1074" t="inlineStr">
        <is>
          <t>Boston : Little, Brown, c1988.</t>
        </is>
      </c>
      <c r="O1074" t="inlineStr">
        <is>
          <t>1988</t>
        </is>
      </c>
      <c r="P1074" t="inlineStr">
        <is>
          <t>1st ed.</t>
        </is>
      </c>
      <c r="Q1074" t="inlineStr">
        <is>
          <t>eng</t>
        </is>
      </c>
      <c r="R1074" t="inlineStr">
        <is>
          <t>mau</t>
        </is>
      </c>
      <c r="T1074" t="inlineStr">
        <is>
          <t xml:space="preserve">QT </t>
        </is>
      </c>
      <c r="U1074" t="n">
        <v>10</v>
      </c>
      <c r="V1074" t="n">
        <v>10</v>
      </c>
      <c r="W1074" t="inlineStr">
        <is>
          <t>1991-03-09</t>
        </is>
      </c>
      <c r="X1074" t="inlineStr">
        <is>
          <t>1991-03-09</t>
        </is>
      </c>
      <c r="Y1074" t="inlineStr">
        <is>
          <t>1989-02-03</t>
        </is>
      </c>
      <c r="Z1074" t="inlineStr">
        <is>
          <t>1989-02-03</t>
        </is>
      </c>
      <c r="AA1074" t="n">
        <v>394</v>
      </c>
      <c r="AB1074" t="n">
        <v>356</v>
      </c>
      <c r="AC1074" t="n">
        <v>361</v>
      </c>
      <c r="AD1074" t="n">
        <v>4</v>
      </c>
      <c r="AE1074" t="n">
        <v>4</v>
      </c>
      <c r="AF1074" t="n">
        <v>14</v>
      </c>
      <c r="AG1074" t="n">
        <v>14</v>
      </c>
      <c r="AH1074" t="n">
        <v>2</v>
      </c>
      <c r="AI1074" t="n">
        <v>2</v>
      </c>
      <c r="AJ1074" t="n">
        <v>2</v>
      </c>
      <c r="AK1074" t="n">
        <v>2</v>
      </c>
      <c r="AL1074" t="n">
        <v>10</v>
      </c>
      <c r="AM1074" t="n">
        <v>10</v>
      </c>
      <c r="AN1074" t="n">
        <v>3</v>
      </c>
      <c r="AO1074" t="n">
        <v>3</v>
      </c>
      <c r="AP1074" t="n">
        <v>0</v>
      </c>
      <c r="AQ1074" t="n">
        <v>0</v>
      </c>
      <c r="AR1074" t="inlineStr">
        <is>
          <t>No</t>
        </is>
      </c>
      <c r="AS1074" t="inlineStr">
        <is>
          <t>No</t>
        </is>
      </c>
      <c r="AU1074">
        <f>HYPERLINK("https://creighton-primo.hosted.exlibrisgroup.com/primo-explore/search?tab=default_tab&amp;search_scope=EVERYTHING&amp;vid=01CRU&amp;lang=en_US&amp;offset=0&amp;query=any,contains,991001116739702656","Catalog Record")</f>
        <v/>
      </c>
      <c r="AV1074">
        <f>HYPERLINK("http://www.worldcat.org/oclc/17227372","WorldCat Record")</f>
        <v/>
      </c>
    </row>
    <row r="1075">
      <c r="D1075" t="inlineStr">
        <is>
          <t>QT 255 B9245e 1999</t>
        </is>
      </c>
      <c r="E1075" t="inlineStr">
        <is>
          <t>0                      QT 0255000B  9245e       1999</t>
        </is>
      </c>
      <c r="F1075" t="inlineStr">
        <is>
          <t>Exercise on prescription : cardiovascular activity for health / John Buckley, Jane Holmes, Gareth Mapp.</t>
        </is>
      </c>
      <c r="H1075" t="inlineStr">
        <is>
          <t>No</t>
        </is>
      </c>
      <c r="I1075" t="inlineStr">
        <is>
          <t>1</t>
        </is>
      </c>
      <c r="J1075" t="inlineStr">
        <is>
          <t>No</t>
        </is>
      </c>
      <c r="K1075" t="inlineStr">
        <is>
          <t>No</t>
        </is>
      </c>
      <c r="L1075" t="inlineStr">
        <is>
          <t>0</t>
        </is>
      </c>
      <c r="M1075" t="inlineStr">
        <is>
          <t>Buckley, John (Exercise physiologist)</t>
        </is>
      </c>
      <c r="N1075" t="inlineStr">
        <is>
          <t>Oxford [England] ; Boston : Butterworth-Heinemann, c1999.</t>
        </is>
      </c>
      <c r="O1075" t="inlineStr">
        <is>
          <t>1999</t>
        </is>
      </c>
      <c r="Q1075" t="inlineStr">
        <is>
          <t>eng</t>
        </is>
      </c>
      <c r="R1075" t="inlineStr">
        <is>
          <t>enk</t>
        </is>
      </c>
      <c r="T1075" t="inlineStr">
        <is>
          <t xml:space="preserve">QT </t>
        </is>
      </c>
      <c r="U1075" t="n">
        <v>7</v>
      </c>
      <c r="V1075" t="n">
        <v>7</v>
      </c>
      <c r="W1075" t="inlineStr">
        <is>
          <t>2002-04-09</t>
        </is>
      </c>
      <c r="X1075" t="inlineStr">
        <is>
          <t>2002-04-09</t>
        </is>
      </c>
      <c r="Y1075" t="inlineStr">
        <is>
          <t>2000-03-22</t>
        </is>
      </c>
      <c r="Z1075" t="inlineStr">
        <is>
          <t>2000-03-22</t>
        </is>
      </c>
      <c r="AA1075" t="n">
        <v>153</v>
      </c>
      <c r="AB1075" t="n">
        <v>83</v>
      </c>
      <c r="AC1075" t="n">
        <v>83</v>
      </c>
      <c r="AD1075" t="n">
        <v>1</v>
      </c>
      <c r="AE1075" t="n">
        <v>1</v>
      </c>
      <c r="AF1075" t="n">
        <v>3</v>
      </c>
      <c r="AG1075" t="n">
        <v>3</v>
      </c>
      <c r="AH1075" t="n">
        <v>2</v>
      </c>
      <c r="AI1075" t="n">
        <v>2</v>
      </c>
      <c r="AJ1075" t="n">
        <v>1</v>
      </c>
      <c r="AK1075" t="n">
        <v>1</v>
      </c>
      <c r="AL1075" t="n">
        <v>1</v>
      </c>
      <c r="AM1075" t="n">
        <v>1</v>
      </c>
      <c r="AN1075" t="n">
        <v>0</v>
      </c>
      <c r="AO1075" t="n">
        <v>0</v>
      </c>
      <c r="AP1075" t="n">
        <v>0</v>
      </c>
      <c r="AQ1075" t="n">
        <v>0</v>
      </c>
      <c r="AR1075" t="inlineStr">
        <is>
          <t>No</t>
        </is>
      </c>
      <c r="AS1075" t="inlineStr">
        <is>
          <t>No</t>
        </is>
      </c>
      <c r="AU1075">
        <f>HYPERLINK("https://creighton-primo.hosted.exlibrisgroup.com/primo-explore/search?tab=default_tab&amp;search_scope=EVERYTHING&amp;vid=01CRU&amp;lang=en_US&amp;offset=0&amp;query=any,contains,991001442699702656","Catalog Record")</f>
        <v/>
      </c>
      <c r="AV1075">
        <f>HYPERLINK("http://www.worldcat.org/oclc/39275860","WorldCat Record")</f>
        <v/>
      </c>
    </row>
    <row r="1076">
      <c r="D1076" t="inlineStr">
        <is>
          <t>QT 255 C244t 1979</t>
        </is>
      </c>
      <c r="E1076" t="inlineStr">
        <is>
          <t>0                      QT 0255000C  244t        1979</t>
        </is>
      </c>
      <c r="F1076" t="inlineStr">
        <is>
          <t>Therapeutic dance/movement : expressive activities for older adults / Erna Caplow-Lindner, Leah Harpaz, Sonya Samberg.</t>
        </is>
      </c>
      <c r="H1076" t="inlineStr">
        <is>
          <t>No</t>
        </is>
      </c>
      <c r="I1076" t="inlineStr">
        <is>
          <t>1</t>
        </is>
      </c>
      <c r="J1076" t="inlineStr">
        <is>
          <t>No</t>
        </is>
      </c>
      <c r="K1076" t="inlineStr">
        <is>
          <t>No</t>
        </is>
      </c>
      <c r="L1076" t="inlineStr">
        <is>
          <t>0</t>
        </is>
      </c>
      <c r="M1076" t="inlineStr">
        <is>
          <t>Caplow-Lindner, Erna.</t>
        </is>
      </c>
      <c r="N1076" t="inlineStr">
        <is>
          <t>New York : Human Sciences Press, c1979.</t>
        </is>
      </c>
      <c r="O1076" t="inlineStr">
        <is>
          <t>1979</t>
        </is>
      </c>
      <c r="Q1076" t="inlineStr">
        <is>
          <t>eng</t>
        </is>
      </c>
      <c r="R1076" t="inlineStr">
        <is>
          <t xml:space="preserve">xx </t>
        </is>
      </c>
      <c r="T1076" t="inlineStr">
        <is>
          <t xml:space="preserve">QT </t>
        </is>
      </c>
      <c r="U1076" t="n">
        <v>2</v>
      </c>
      <c r="V1076" t="n">
        <v>2</v>
      </c>
      <c r="W1076" t="inlineStr">
        <is>
          <t>2000-10-27</t>
        </is>
      </c>
      <c r="X1076" t="inlineStr">
        <is>
          <t>2000-10-27</t>
        </is>
      </c>
      <c r="Y1076" t="inlineStr">
        <is>
          <t>1988-01-20</t>
        </is>
      </c>
      <c r="Z1076" t="inlineStr">
        <is>
          <t>1988-01-20</t>
        </is>
      </c>
      <c r="AA1076" t="n">
        <v>596</v>
      </c>
      <c r="AB1076" t="n">
        <v>513</v>
      </c>
      <c r="AC1076" t="n">
        <v>516</v>
      </c>
      <c r="AD1076" t="n">
        <v>4</v>
      </c>
      <c r="AE1076" t="n">
        <v>4</v>
      </c>
      <c r="AF1076" t="n">
        <v>16</v>
      </c>
      <c r="AG1076" t="n">
        <v>16</v>
      </c>
      <c r="AH1076" t="n">
        <v>5</v>
      </c>
      <c r="AI1076" t="n">
        <v>5</v>
      </c>
      <c r="AJ1076" t="n">
        <v>3</v>
      </c>
      <c r="AK1076" t="n">
        <v>3</v>
      </c>
      <c r="AL1076" t="n">
        <v>7</v>
      </c>
      <c r="AM1076" t="n">
        <v>7</v>
      </c>
      <c r="AN1076" t="n">
        <v>3</v>
      </c>
      <c r="AO1076" t="n">
        <v>3</v>
      </c>
      <c r="AP1076" t="n">
        <v>0</v>
      </c>
      <c r="AQ1076" t="n">
        <v>0</v>
      </c>
      <c r="AR1076" t="inlineStr">
        <is>
          <t>No</t>
        </is>
      </c>
      <c r="AS1076" t="inlineStr">
        <is>
          <t>Yes</t>
        </is>
      </c>
      <c r="AT1076">
        <f>HYPERLINK("http://catalog.hathitrust.org/Record/000256251","HathiTrust Record")</f>
        <v/>
      </c>
      <c r="AU1076">
        <f>HYPERLINK("https://creighton-primo.hosted.exlibrisgroup.com/primo-explore/search?tab=default_tab&amp;search_scope=EVERYTHING&amp;vid=01CRU&amp;lang=en_US&amp;offset=0&amp;query=any,contains,991000861199702656","Catalog Record")</f>
        <v/>
      </c>
      <c r="AV1076">
        <f>HYPERLINK("http://www.worldcat.org/oclc/4495557","WorldCat Record")</f>
        <v/>
      </c>
    </row>
    <row r="1077">
      <c r="D1077" t="inlineStr">
        <is>
          <t>QT255 C791F 2005</t>
        </is>
      </c>
      <c r="E1077" t="inlineStr">
        <is>
          <t>0                      QT 0255000C  791F        2005</t>
        </is>
      </c>
      <c r="F1077" t="inlineStr">
        <is>
          <t>Fitness for life / Charles B. Corbin, Ruth Lindsey.</t>
        </is>
      </c>
      <c r="H1077" t="inlineStr">
        <is>
          <t>No</t>
        </is>
      </c>
      <c r="I1077" t="inlineStr">
        <is>
          <t>1</t>
        </is>
      </c>
      <c r="J1077" t="inlineStr">
        <is>
          <t>No</t>
        </is>
      </c>
      <c r="K1077" t="inlineStr">
        <is>
          <t>No</t>
        </is>
      </c>
      <c r="L1077" t="inlineStr">
        <is>
          <t>0</t>
        </is>
      </c>
      <c r="M1077" t="inlineStr">
        <is>
          <t>Corbin, Charles B.</t>
        </is>
      </c>
      <c r="N1077" t="inlineStr">
        <is>
          <t>Champaign, IL : Human Kinetics, c2005.</t>
        </is>
      </c>
      <c r="O1077" t="inlineStr">
        <is>
          <t>2005</t>
        </is>
      </c>
      <c r="P1077" t="inlineStr">
        <is>
          <t>5th ed.</t>
        </is>
      </c>
      <c r="Q1077" t="inlineStr">
        <is>
          <t>eng</t>
        </is>
      </c>
      <c r="R1077" t="inlineStr">
        <is>
          <t>ilu</t>
        </is>
      </c>
      <c r="T1077" t="inlineStr">
        <is>
          <t xml:space="preserve">QT </t>
        </is>
      </c>
      <c r="U1077" t="n">
        <v>5</v>
      </c>
      <c r="V1077" t="n">
        <v>5</v>
      </c>
      <c r="W1077" t="inlineStr">
        <is>
          <t>2009-02-14</t>
        </is>
      </c>
      <c r="X1077" t="inlineStr">
        <is>
          <t>2009-02-14</t>
        </is>
      </c>
      <c r="Y1077" t="inlineStr">
        <is>
          <t>2004-11-03</t>
        </is>
      </c>
      <c r="Z1077" t="inlineStr">
        <is>
          <t>2004-11-03</t>
        </is>
      </c>
      <c r="AA1077" t="n">
        <v>172</v>
      </c>
      <c r="AB1077" t="n">
        <v>116</v>
      </c>
      <c r="AC1077" t="n">
        <v>365</v>
      </c>
      <c r="AD1077" t="n">
        <v>3</v>
      </c>
      <c r="AE1077" t="n">
        <v>5</v>
      </c>
      <c r="AF1077" t="n">
        <v>4</v>
      </c>
      <c r="AG1077" t="n">
        <v>7</v>
      </c>
      <c r="AH1077" t="n">
        <v>2</v>
      </c>
      <c r="AI1077" t="n">
        <v>4</v>
      </c>
      <c r="AJ1077" t="n">
        <v>0</v>
      </c>
      <c r="AK1077" t="n">
        <v>0</v>
      </c>
      <c r="AL1077" t="n">
        <v>1</v>
      </c>
      <c r="AM1077" t="n">
        <v>2</v>
      </c>
      <c r="AN1077" t="n">
        <v>2</v>
      </c>
      <c r="AO1077" t="n">
        <v>3</v>
      </c>
      <c r="AP1077" t="n">
        <v>0</v>
      </c>
      <c r="AQ1077" t="n">
        <v>0</v>
      </c>
      <c r="AR1077" t="inlineStr">
        <is>
          <t>No</t>
        </is>
      </c>
      <c r="AS1077" t="inlineStr">
        <is>
          <t>No</t>
        </is>
      </c>
      <c r="AU1077">
        <f>HYPERLINK("https://creighton-primo.hosted.exlibrisgroup.com/primo-explore/search?tab=default_tab&amp;search_scope=EVERYTHING&amp;vid=01CRU&amp;lang=en_US&amp;offset=0&amp;query=any,contains,991001730939702656","Catalog Record")</f>
        <v/>
      </c>
      <c r="AV1077">
        <f>HYPERLINK("http://www.worldcat.org/oclc/53331624","WorldCat Record")</f>
        <v/>
      </c>
    </row>
    <row r="1078">
      <c r="D1078" t="inlineStr">
        <is>
          <t>QT 255 G192 1982</t>
        </is>
      </c>
      <c r="E1078" t="inlineStr">
        <is>
          <t>0                      QT 0255000G  192         1982</t>
        </is>
      </c>
      <c r="F1078" t="inlineStr">
        <is>
          <t>Games, sports, and exercises for the physically handicapped.</t>
        </is>
      </c>
      <c r="H1078" t="inlineStr">
        <is>
          <t>No</t>
        </is>
      </c>
      <c r="I1078" t="inlineStr">
        <is>
          <t>1</t>
        </is>
      </c>
      <c r="J1078" t="inlineStr">
        <is>
          <t>No</t>
        </is>
      </c>
      <c r="K1078" t="inlineStr">
        <is>
          <t>No</t>
        </is>
      </c>
      <c r="L1078" t="inlineStr">
        <is>
          <t>0</t>
        </is>
      </c>
      <c r="N1078" t="inlineStr">
        <is>
          <t>Philadelphia : Lea &amp; Febiger, c1982.</t>
        </is>
      </c>
      <c r="O1078" t="inlineStr">
        <is>
          <t>1982</t>
        </is>
      </c>
      <c r="P1078" t="inlineStr">
        <is>
          <t>3rd ed. / Ronald C. Adams ... [et al.].</t>
        </is>
      </c>
      <c r="Q1078" t="inlineStr">
        <is>
          <t>eng</t>
        </is>
      </c>
      <c r="R1078" t="inlineStr">
        <is>
          <t xml:space="preserve">xx </t>
        </is>
      </c>
      <c r="T1078" t="inlineStr">
        <is>
          <t xml:space="preserve">QT </t>
        </is>
      </c>
      <c r="U1078" t="n">
        <v>3</v>
      </c>
      <c r="V1078" t="n">
        <v>3</v>
      </c>
      <c r="W1078" t="inlineStr">
        <is>
          <t>1996-08-23</t>
        </is>
      </c>
      <c r="X1078" t="inlineStr">
        <is>
          <t>1996-08-23</t>
        </is>
      </c>
      <c r="Y1078" t="inlineStr">
        <is>
          <t>1988-01-20</t>
        </is>
      </c>
      <c r="Z1078" t="inlineStr">
        <is>
          <t>1988-01-20</t>
        </is>
      </c>
      <c r="AA1078" t="n">
        <v>352</v>
      </c>
      <c r="AB1078" t="n">
        <v>289</v>
      </c>
      <c r="AC1078" t="n">
        <v>584</v>
      </c>
      <c r="AD1078" t="n">
        <v>3</v>
      </c>
      <c r="AE1078" t="n">
        <v>6</v>
      </c>
      <c r="AF1078" t="n">
        <v>5</v>
      </c>
      <c r="AG1078" t="n">
        <v>11</v>
      </c>
      <c r="AH1078" t="n">
        <v>4</v>
      </c>
      <c r="AI1078" t="n">
        <v>5</v>
      </c>
      <c r="AJ1078" t="n">
        <v>0</v>
      </c>
      <c r="AK1078" t="n">
        <v>0</v>
      </c>
      <c r="AL1078" t="n">
        <v>0</v>
      </c>
      <c r="AM1078" t="n">
        <v>2</v>
      </c>
      <c r="AN1078" t="n">
        <v>1</v>
      </c>
      <c r="AO1078" t="n">
        <v>4</v>
      </c>
      <c r="AP1078" t="n">
        <v>0</v>
      </c>
      <c r="AQ1078" t="n">
        <v>0</v>
      </c>
      <c r="AR1078" t="inlineStr">
        <is>
          <t>No</t>
        </is>
      </c>
      <c r="AS1078" t="inlineStr">
        <is>
          <t>Yes</t>
        </is>
      </c>
      <c r="AT1078">
        <f>HYPERLINK("http://catalog.hathitrust.org/Record/000278327","HathiTrust Record")</f>
        <v/>
      </c>
      <c r="AU1078">
        <f>HYPERLINK("https://creighton-primo.hosted.exlibrisgroup.com/primo-explore/search?tab=default_tab&amp;search_scope=EVERYTHING&amp;vid=01CRU&amp;lang=en_US&amp;offset=0&amp;query=any,contains,991000861239702656","Catalog Record")</f>
        <v/>
      </c>
      <c r="AV1078">
        <f>HYPERLINK("http://www.worldcat.org/oclc/7464690","WorldCat Record")</f>
        <v/>
      </c>
    </row>
    <row r="1079">
      <c r="D1079" t="inlineStr">
        <is>
          <t>QT255 H622a 2006</t>
        </is>
      </c>
      <c r="E1079" t="inlineStr">
        <is>
          <t>0                      QT 0255000H  622a        2006</t>
        </is>
      </c>
      <c r="F1079" t="inlineStr">
        <is>
          <t>Advanced fitness assessment and exercise prescription / Vivian H. Heyward.</t>
        </is>
      </c>
      <c r="H1079" t="inlineStr">
        <is>
          <t>No</t>
        </is>
      </c>
      <c r="I1079" t="inlineStr">
        <is>
          <t>1</t>
        </is>
      </c>
      <c r="J1079" t="inlineStr">
        <is>
          <t>No</t>
        </is>
      </c>
      <c r="K1079" t="inlineStr">
        <is>
          <t>Yes</t>
        </is>
      </c>
      <c r="L1079" t="inlineStr">
        <is>
          <t>0</t>
        </is>
      </c>
      <c r="M1079" t="inlineStr">
        <is>
          <t>Heyward, Vivian H.</t>
        </is>
      </c>
      <c r="N1079" t="inlineStr">
        <is>
          <t>Champaign, IL : Human Kinetics, c2006.</t>
        </is>
      </c>
      <c r="O1079" t="inlineStr">
        <is>
          <t>2006</t>
        </is>
      </c>
      <c r="P1079" t="inlineStr">
        <is>
          <t>5th ed.</t>
        </is>
      </c>
      <c r="Q1079" t="inlineStr">
        <is>
          <t>eng</t>
        </is>
      </c>
      <c r="R1079" t="inlineStr">
        <is>
          <t>ilu</t>
        </is>
      </c>
      <c r="T1079" t="inlineStr">
        <is>
          <t xml:space="preserve">QT </t>
        </is>
      </c>
      <c r="U1079" t="n">
        <v>1</v>
      </c>
      <c r="V1079" t="n">
        <v>1</v>
      </c>
      <c r="W1079" t="inlineStr">
        <is>
          <t>2008-01-06</t>
        </is>
      </c>
      <c r="X1079" t="inlineStr">
        <is>
          <t>2008-01-06</t>
        </is>
      </c>
      <c r="Y1079" t="inlineStr">
        <is>
          <t>2007-04-11</t>
        </is>
      </c>
      <c r="Z1079" t="inlineStr">
        <is>
          <t>2007-04-11</t>
        </is>
      </c>
      <c r="AA1079" t="n">
        <v>327</v>
      </c>
      <c r="AB1079" t="n">
        <v>209</v>
      </c>
      <c r="AC1079" t="n">
        <v>917</v>
      </c>
      <c r="AD1079" t="n">
        <v>1</v>
      </c>
      <c r="AE1079" t="n">
        <v>6</v>
      </c>
      <c r="AF1079" t="n">
        <v>7</v>
      </c>
      <c r="AG1079" t="n">
        <v>34</v>
      </c>
      <c r="AH1079" t="n">
        <v>5</v>
      </c>
      <c r="AI1079" t="n">
        <v>21</v>
      </c>
      <c r="AJ1079" t="n">
        <v>2</v>
      </c>
      <c r="AK1079" t="n">
        <v>5</v>
      </c>
      <c r="AL1079" t="n">
        <v>3</v>
      </c>
      <c r="AM1079" t="n">
        <v>11</v>
      </c>
      <c r="AN1079" t="n">
        <v>0</v>
      </c>
      <c r="AO1079" t="n">
        <v>4</v>
      </c>
      <c r="AP1079" t="n">
        <v>0</v>
      </c>
      <c r="AQ1079" t="n">
        <v>0</v>
      </c>
      <c r="AR1079" t="inlineStr">
        <is>
          <t>No</t>
        </is>
      </c>
      <c r="AS1079" t="inlineStr">
        <is>
          <t>No</t>
        </is>
      </c>
      <c r="AU1079">
        <f>HYPERLINK("https://creighton-primo.hosted.exlibrisgroup.com/primo-explore/search?tab=default_tab&amp;search_scope=EVERYTHING&amp;vid=01CRU&amp;lang=en_US&amp;offset=0&amp;query=any,contains,991000608309702656","Catalog Record")</f>
        <v/>
      </c>
      <c r="AV1079">
        <f>HYPERLINK("http://www.worldcat.org/oclc/66527051","WorldCat Record")</f>
        <v/>
      </c>
    </row>
    <row r="1080">
      <c r="D1080" t="inlineStr">
        <is>
          <t>QT 255 K186n 1988</t>
        </is>
      </c>
      <c r="E1080" t="inlineStr">
        <is>
          <t>0                      QT 0255000K  186n        1988</t>
        </is>
      </c>
      <c r="F1080" t="inlineStr">
        <is>
          <t>Nutrition, weight control, and exercise / Frank I. Katch, William D. McArdle.</t>
        </is>
      </c>
      <c r="H1080" t="inlineStr">
        <is>
          <t>No</t>
        </is>
      </c>
      <c r="I1080" t="inlineStr">
        <is>
          <t>1</t>
        </is>
      </c>
      <c r="J1080" t="inlineStr">
        <is>
          <t>Yes</t>
        </is>
      </c>
      <c r="K1080" t="inlineStr">
        <is>
          <t>No</t>
        </is>
      </c>
      <c r="L1080" t="inlineStr">
        <is>
          <t>0</t>
        </is>
      </c>
      <c r="M1080" t="inlineStr">
        <is>
          <t>Katch, Frank I.</t>
        </is>
      </c>
      <c r="N1080" t="inlineStr">
        <is>
          <t>Philadelphia : Lea &amp; Febiger, c1988.</t>
        </is>
      </c>
      <c r="O1080" t="inlineStr">
        <is>
          <t>1988</t>
        </is>
      </c>
      <c r="P1080" t="inlineStr">
        <is>
          <t>3rd ed.</t>
        </is>
      </c>
      <c r="Q1080" t="inlineStr">
        <is>
          <t>eng</t>
        </is>
      </c>
      <c r="R1080" t="inlineStr">
        <is>
          <t>xxu</t>
        </is>
      </c>
      <c r="T1080" t="inlineStr">
        <is>
          <t xml:space="preserve">QT </t>
        </is>
      </c>
      <c r="U1080" t="n">
        <v>37</v>
      </c>
      <c r="V1080" t="n">
        <v>37</v>
      </c>
      <c r="W1080" t="inlineStr">
        <is>
          <t>1998-08-16</t>
        </is>
      </c>
      <c r="X1080" t="inlineStr">
        <is>
          <t>1998-08-16</t>
        </is>
      </c>
      <c r="Y1080" t="inlineStr">
        <is>
          <t>1988-02-17</t>
        </is>
      </c>
      <c r="Z1080" t="inlineStr">
        <is>
          <t>1988-02-17</t>
        </is>
      </c>
      <c r="AA1080" t="n">
        <v>447</v>
      </c>
      <c r="AB1080" t="n">
        <v>357</v>
      </c>
      <c r="AC1080" t="n">
        <v>702</v>
      </c>
      <c r="AD1080" t="n">
        <v>4</v>
      </c>
      <c r="AE1080" t="n">
        <v>5</v>
      </c>
      <c r="AF1080" t="n">
        <v>14</v>
      </c>
      <c r="AG1080" t="n">
        <v>23</v>
      </c>
      <c r="AH1080" t="n">
        <v>6</v>
      </c>
      <c r="AI1080" t="n">
        <v>11</v>
      </c>
      <c r="AJ1080" t="n">
        <v>2</v>
      </c>
      <c r="AK1080" t="n">
        <v>3</v>
      </c>
      <c r="AL1080" t="n">
        <v>8</v>
      </c>
      <c r="AM1080" t="n">
        <v>11</v>
      </c>
      <c r="AN1080" t="n">
        <v>2</v>
      </c>
      <c r="AO1080" t="n">
        <v>3</v>
      </c>
      <c r="AP1080" t="n">
        <v>0</v>
      </c>
      <c r="AQ1080" t="n">
        <v>0</v>
      </c>
      <c r="AR1080" t="inlineStr">
        <is>
          <t>No</t>
        </is>
      </c>
      <c r="AS1080" t="inlineStr">
        <is>
          <t>No</t>
        </is>
      </c>
      <c r="AU1080">
        <f>HYPERLINK("https://creighton-primo.hosted.exlibrisgroup.com/primo-explore/search?tab=default_tab&amp;search_scope=EVERYTHING&amp;vid=01CRU&amp;lang=en_US&amp;offset=0&amp;query=any,contains,991001539899702656","Catalog Record")</f>
        <v/>
      </c>
      <c r="AV1080">
        <f>HYPERLINK("http://www.worldcat.org/oclc/15630303","WorldCat Record")</f>
        <v/>
      </c>
    </row>
    <row r="1081">
      <c r="D1081" t="inlineStr">
        <is>
          <t>QT 255 L764b 1954</t>
        </is>
      </c>
      <c r="E1081" t="inlineStr">
        <is>
          <t>0                      QT 0255000L  764b        1954</t>
        </is>
      </c>
      <c r="F1081" t="inlineStr">
        <is>
          <t>Basic physiology of exercise.</t>
        </is>
      </c>
      <c r="H1081" t="inlineStr">
        <is>
          <t>No</t>
        </is>
      </c>
      <c r="I1081" t="inlineStr">
        <is>
          <t>1</t>
        </is>
      </c>
      <c r="J1081" t="inlineStr">
        <is>
          <t>No</t>
        </is>
      </c>
      <c r="K1081" t="inlineStr">
        <is>
          <t>No</t>
        </is>
      </c>
      <c r="L1081" t="inlineStr">
        <is>
          <t>0</t>
        </is>
      </c>
      <c r="M1081" t="inlineStr">
        <is>
          <t>Lipovetz, Ferdinand John.</t>
        </is>
      </c>
      <c r="N1081" t="inlineStr">
        <is>
          <t>Minneapolis : Burgess Pub. Co., [1954]</t>
        </is>
      </c>
      <c r="O1081" t="inlineStr">
        <is>
          <t>1954</t>
        </is>
      </c>
      <c r="Q1081" t="inlineStr">
        <is>
          <t>eng</t>
        </is>
      </c>
      <c r="R1081" t="inlineStr">
        <is>
          <t>mnu</t>
        </is>
      </c>
      <c r="T1081" t="inlineStr">
        <is>
          <t xml:space="preserve">QT </t>
        </is>
      </c>
      <c r="U1081" t="n">
        <v>5</v>
      </c>
      <c r="V1081" t="n">
        <v>5</v>
      </c>
      <c r="W1081" t="inlineStr">
        <is>
          <t>1992-03-30</t>
        </is>
      </c>
      <c r="X1081" t="inlineStr">
        <is>
          <t>1992-03-30</t>
        </is>
      </c>
      <c r="Y1081" t="inlineStr">
        <is>
          <t>1988-03-03</t>
        </is>
      </c>
      <c r="Z1081" t="inlineStr">
        <is>
          <t>1988-03-03</t>
        </is>
      </c>
      <c r="AA1081" t="n">
        <v>83</v>
      </c>
      <c r="AB1081" t="n">
        <v>79</v>
      </c>
      <c r="AC1081" t="n">
        <v>80</v>
      </c>
      <c r="AD1081" t="n">
        <v>2</v>
      </c>
      <c r="AE1081" t="n">
        <v>2</v>
      </c>
      <c r="AF1081" t="n">
        <v>1</v>
      </c>
      <c r="AG1081" t="n">
        <v>1</v>
      </c>
      <c r="AH1081" t="n">
        <v>0</v>
      </c>
      <c r="AI1081" t="n">
        <v>0</v>
      </c>
      <c r="AJ1081" t="n">
        <v>0</v>
      </c>
      <c r="AK1081" t="n">
        <v>0</v>
      </c>
      <c r="AL1081" t="n">
        <v>0</v>
      </c>
      <c r="AM1081" t="n">
        <v>0</v>
      </c>
      <c r="AN1081" t="n">
        <v>1</v>
      </c>
      <c r="AO1081" t="n">
        <v>1</v>
      </c>
      <c r="AP1081" t="n">
        <v>0</v>
      </c>
      <c r="AQ1081" t="n">
        <v>0</v>
      </c>
      <c r="AR1081" t="inlineStr">
        <is>
          <t>No</t>
        </is>
      </c>
      <c r="AS1081" t="inlineStr">
        <is>
          <t>Yes</t>
        </is>
      </c>
      <c r="AT1081">
        <f>HYPERLINK("http://catalog.hathitrust.org/Record/001580738","HathiTrust Record")</f>
        <v/>
      </c>
      <c r="AU1081">
        <f>HYPERLINK("https://creighton-primo.hosted.exlibrisgroup.com/primo-explore/search?tab=default_tab&amp;search_scope=EVERYTHING&amp;vid=01CRU&amp;lang=en_US&amp;offset=0&amp;query=any,contains,991000861269702656","Catalog Record")</f>
        <v/>
      </c>
      <c r="AV1081">
        <f>HYPERLINK("http://www.worldcat.org/oclc/1843251","WorldCat Record")</f>
        <v/>
      </c>
    </row>
    <row r="1082">
      <c r="D1082" t="inlineStr">
        <is>
          <t>QT 255 P372 1998</t>
        </is>
      </c>
      <c r="E1082" t="inlineStr">
        <is>
          <t>0                      QT 0255000P  372         1998</t>
        </is>
      </c>
      <c r="F1082" t="inlineStr">
        <is>
          <t>Pediatric anaerobic performance / Emmanuel Van Praagh, editor.</t>
        </is>
      </c>
      <c r="H1082" t="inlineStr">
        <is>
          <t>No</t>
        </is>
      </c>
      <c r="I1082" t="inlineStr">
        <is>
          <t>1</t>
        </is>
      </c>
      <c r="J1082" t="inlineStr">
        <is>
          <t>No</t>
        </is>
      </c>
      <c r="K1082" t="inlineStr">
        <is>
          <t>No</t>
        </is>
      </c>
      <c r="L1082" t="inlineStr">
        <is>
          <t>0</t>
        </is>
      </c>
      <c r="N1082" t="inlineStr">
        <is>
          <t>Champaign, IL : Human Kinetics, c1998.</t>
        </is>
      </c>
      <c r="O1082" t="inlineStr">
        <is>
          <t>1998</t>
        </is>
      </c>
      <c r="Q1082" t="inlineStr">
        <is>
          <t>eng</t>
        </is>
      </c>
      <c r="R1082" t="inlineStr">
        <is>
          <t>ilu</t>
        </is>
      </c>
      <c r="T1082" t="inlineStr">
        <is>
          <t xml:space="preserve">QT </t>
        </is>
      </c>
      <c r="U1082" t="n">
        <v>4</v>
      </c>
      <c r="V1082" t="n">
        <v>4</v>
      </c>
      <c r="W1082" t="inlineStr">
        <is>
          <t>2003-12-04</t>
        </is>
      </c>
      <c r="X1082" t="inlineStr">
        <is>
          <t>2003-12-04</t>
        </is>
      </c>
      <c r="Y1082" t="inlineStr">
        <is>
          <t>1998-12-18</t>
        </is>
      </c>
      <c r="Z1082" t="inlineStr">
        <is>
          <t>1998-12-18</t>
        </is>
      </c>
      <c r="AA1082" t="n">
        <v>255</v>
      </c>
      <c r="AB1082" t="n">
        <v>172</v>
      </c>
      <c r="AC1082" t="n">
        <v>178</v>
      </c>
      <c r="AD1082" t="n">
        <v>2</v>
      </c>
      <c r="AE1082" t="n">
        <v>2</v>
      </c>
      <c r="AF1082" t="n">
        <v>5</v>
      </c>
      <c r="AG1082" t="n">
        <v>5</v>
      </c>
      <c r="AH1082" t="n">
        <v>3</v>
      </c>
      <c r="AI1082" t="n">
        <v>3</v>
      </c>
      <c r="AJ1082" t="n">
        <v>1</v>
      </c>
      <c r="AK1082" t="n">
        <v>1</v>
      </c>
      <c r="AL1082" t="n">
        <v>2</v>
      </c>
      <c r="AM1082" t="n">
        <v>2</v>
      </c>
      <c r="AN1082" t="n">
        <v>1</v>
      </c>
      <c r="AO1082" t="n">
        <v>1</v>
      </c>
      <c r="AP1082" t="n">
        <v>0</v>
      </c>
      <c r="AQ1082" t="n">
        <v>0</v>
      </c>
      <c r="AR1082" t="inlineStr">
        <is>
          <t>No</t>
        </is>
      </c>
      <c r="AS1082" t="inlineStr">
        <is>
          <t>Yes</t>
        </is>
      </c>
      <c r="AT1082">
        <f>HYPERLINK("http://catalog.hathitrust.org/Record/003998826","HathiTrust Record")</f>
        <v/>
      </c>
      <c r="AU1082">
        <f>HYPERLINK("https://creighton-primo.hosted.exlibrisgroup.com/primo-explore/search?tab=default_tab&amp;search_scope=EVERYTHING&amp;vid=01CRU&amp;lang=en_US&amp;offset=0&amp;query=any,contains,991001557409702656","Catalog Record")</f>
        <v/>
      </c>
      <c r="AV1082">
        <f>HYPERLINK("http://www.worldcat.org/oclc/37712926","WorldCat Record")</f>
        <v/>
      </c>
    </row>
    <row r="1083">
      <c r="D1083" t="inlineStr">
        <is>
          <t>QT 255 S451h 1986</t>
        </is>
      </c>
      <c r="E1083" t="inlineStr">
        <is>
          <t>0                      QT 0255000S  451h        1986</t>
        </is>
      </c>
      <c r="F1083" t="inlineStr">
        <is>
          <t>Health : the foundations for achievement / David Seedhouse.</t>
        </is>
      </c>
      <c r="H1083" t="inlineStr">
        <is>
          <t>No</t>
        </is>
      </c>
      <c r="I1083" t="inlineStr">
        <is>
          <t>1</t>
        </is>
      </c>
      <c r="J1083" t="inlineStr">
        <is>
          <t>No</t>
        </is>
      </c>
      <c r="K1083" t="inlineStr">
        <is>
          <t>Yes</t>
        </is>
      </c>
      <c r="L1083" t="inlineStr">
        <is>
          <t>0</t>
        </is>
      </c>
      <c r="M1083" t="inlineStr">
        <is>
          <t>Seedhouse, David.</t>
        </is>
      </c>
      <c r="N1083" t="inlineStr">
        <is>
          <t>Chichester ; New York : Wiley, c1986.</t>
        </is>
      </c>
      <c r="O1083" t="inlineStr">
        <is>
          <t>1986</t>
        </is>
      </c>
      <c r="Q1083" t="inlineStr">
        <is>
          <t>eng</t>
        </is>
      </c>
      <c r="R1083" t="inlineStr">
        <is>
          <t>enk</t>
        </is>
      </c>
      <c r="S1083" t="inlineStr">
        <is>
          <t>A Wiley medical publication</t>
        </is>
      </c>
      <c r="T1083" t="inlineStr">
        <is>
          <t xml:space="preserve">QT </t>
        </is>
      </c>
      <c r="U1083" t="n">
        <v>5</v>
      </c>
      <c r="V1083" t="n">
        <v>5</v>
      </c>
      <c r="W1083" t="inlineStr">
        <is>
          <t>1989-09-19</t>
        </is>
      </c>
      <c r="X1083" t="inlineStr">
        <is>
          <t>1989-09-19</t>
        </is>
      </c>
      <c r="Y1083" t="inlineStr">
        <is>
          <t>1989-06-29</t>
        </is>
      </c>
      <c r="Z1083" t="inlineStr">
        <is>
          <t>1989-06-29</t>
        </is>
      </c>
      <c r="AA1083" t="n">
        <v>197</v>
      </c>
      <c r="AB1083" t="n">
        <v>86</v>
      </c>
      <c r="AC1083" t="n">
        <v>143</v>
      </c>
      <c r="AD1083" t="n">
        <v>1</v>
      </c>
      <c r="AE1083" t="n">
        <v>1</v>
      </c>
      <c r="AF1083" t="n">
        <v>4</v>
      </c>
      <c r="AG1083" t="n">
        <v>4</v>
      </c>
      <c r="AH1083" t="n">
        <v>1</v>
      </c>
      <c r="AI1083" t="n">
        <v>1</v>
      </c>
      <c r="AJ1083" t="n">
        <v>1</v>
      </c>
      <c r="AK1083" t="n">
        <v>1</v>
      </c>
      <c r="AL1083" t="n">
        <v>3</v>
      </c>
      <c r="AM1083" t="n">
        <v>3</v>
      </c>
      <c r="AN1083" t="n">
        <v>0</v>
      </c>
      <c r="AO1083" t="n">
        <v>0</v>
      </c>
      <c r="AP1083" t="n">
        <v>0</v>
      </c>
      <c r="AQ1083" t="n">
        <v>0</v>
      </c>
      <c r="AR1083" t="inlineStr">
        <is>
          <t>No</t>
        </is>
      </c>
      <c r="AS1083" t="inlineStr">
        <is>
          <t>Yes</t>
        </is>
      </c>
      <c r="AT1083">
        <f>HYPERLINK("http://catalog.hathitrust.org/Record/000447395","HathiTrust Record")</f>
        <v/>
      </c>
      <c r="AU1083">
        <f>HYPERLINK("https://creighton-primo.hosted.exlibrisgroup.com/primo-explore/search?tab=default_tab&amp;search_scope=EVERYTHING&amp;vid=01CRU&amp;lang=en_US&amp;offset=0&amp;query=any,contains,991001252209702656","Catalog Record")</f>
        <v/>
      </c>
      <c r="AV1083">
        <f>HYPERLINK("http://www.worldcat.org/oclc/13330498","WorldCat Record")</f>
        <v/>
      </c>
    </row>
    <row r="1084">
      <c r="D1084" t="inlineStr">
        <is>
          <t>QT 255 S678p 1992</t>
        </is>
      </c>
      <c r="E1084" t="inlineStr">
        <is>
          <t>0                      QT 0255000S  678p        1992</t>
        </is>
      </c>
      <c r="F1084" t="inlineStr">
        <is>
          <t>Physical activity and health : 34th Symposium volume of the Society for the Study of Human Biology / edited by N.G. Norgan.</t>
        </is>
      </c>
      <c r="H1084" t="inlineStr">
        <is>
          <t>No</t>
        </is>
      </c>
      <c r="I1084" t="inlineStr">
        <is>
          <t>1</t>
        </is>
      </c>
      <c r="J1084" t="inlineStr">
        <is>
          <t>Yes</t>
        </is>
      </c>
      <c r="K1084" t="inlineStr">
        <is>
          <t>No</t>
        </is>
      </c>
      <c r="L1084" t="inlineStr">
        <is>
          <t>0</t>
        </is>
      </c>
      <c r="M1084" t="inlineStr">
        <is>
          <t>Society for the Study of Human Biology. Symposium (34th : 1992 : Oxford University)</t>
        </is>
      </c>
      <c r="N1084" t="inlineStr">
        <is>
          <t>Cambridge ; New York, NY : Cambridge University Press, c1992.</t>
        </is>
      </c>
      <c r="O1084" t="inlineStr">
        <is>
          <t>1992</t>
        </is>
      </c>
      <c r="Q1084" t="inlineStr">
        <is>
          <t>eng</t>
        </is>
      </c>
      <c r="R1084" t="inlineStr">
        <is>
          <t>enk</t>
        </is>
      </c>
      <c r="S1084" t="inlineStr">
        <is>
          <t>Society for the Study of Human Biology symposium series ; 34</t>
        </is>
      </c>
      <c r="T1084" t="inlineStr">
        <is>
          <t xml:space="preserve">QT </t>
        </is>
      </c>
      <c r="U1084" t="n">
        <v>9</v>
      </c>
      <c r="V1084" t="n">
        <v>9</v>
      </c>
      <c r="W1084" t="inlineStr">
        <is>
          <t>1998-11-04</t>
        </is>
      </c>
      <c r="X1084" t="inlineStr">
        <is>
          <t>1998-11-04</t>
        </is>
      </c>
      <c r="Y1084" t="inlineStr">
        <is>
          <t>1994-01-07</t>
        </is>
      </c>
      <c r="Z1084" t="inlineStr">
        <is>
          <t>1994-01-07</t>
        </is>
      </c>
      <c r="AA1084" t="n">
        <v>230</v>
      </c>
      <c r="AB1084" t="n">
        <v>156</v>
      </c>
      <c r="AC1084" t="n">
        <v>168</v>
      </c>
      <c r="AD1084" t="n">
        <v>3</v>
      </c>
      <c r="AE1084" t="n">
        <v>3</v>
      </c>
      <c r="AF1084" t="n">
        <v>4</v>
      </c>
      <c r="AG1084" t="n">
        <v>4</v>
      </c>
      <c r="AH1084" t="n">
        <v>0</v>
      </c>
      <c r="AI1084" t="n">
        <v>0</v>
      </c>
      <c r="AJ1084" t="n">
        <v>2</v>
      </c>
      <c r="AK1084" t="n">
        <v>2</v>
      </c>
      <c r="AL1084" t="n">
        <v>1</v>
      </c>
      <c r="AM1084" t="n">
        <v>1</v>
      </c>
      <c r="AN1084" t="n">
        <v>1</v>
      </c>
      <c r="AO1084" t="n">
        <v>1</v>
      </c>
      <c r="AP1084" t="n">
        <v>0</v>
      </c>
      <c r="AQ1084" t="n">
        <v>0</v>
      </c>
      <c r="AR1084" t="inlineStr">
        <is>
          <t>No</t>
        </is>
      </c>
      <c r="AS1084" t="inlineStr">
        <is>
          <t>Yes</t>
        </is>
      </c>
      <c r="AT1084">
        <f>HYPERLINK("http://catalog.hathitrust.org/Record/002611943","HathiTrust Record")</f>
        <v/>
      </c>
      <c r="AU1084">
        <f>HYPERLINK("https://creighton-primo.hosted.exlibrisgroup.com/primo-explore/search?tab=default_tab&amp;search_scope=EVERYTHING&amp;vid=01CRU&amp;lang=en_US&amp;offset=0&amp;query=any,contains,991000653639702656","Catalog Record")</f>
        <v/>
      </c>
      <c r="AV1084">
        <f>HYPERLINK("http://www.worldcat.org/oclc/25510699","WorldCat Record")</f>
        <v/>
      </c>
    </row>
    <row r="1085">
      <c r="D1085" t="inlineStr">
        <is>
          <t>QT 260 B319b 1988</t>
        </is>
      </c>
      <c r="E1085" t="inlineStr">
        <is>
          <t>0                      QT 0260000B  319b        1988</t>
        </is>
      </c>
      <c r="F1085" t="inlineStr">
        <is>
          <t>Basketball injuries and treatment / Frank H. Bassett III, H. Max Crowder.</t>
        </is>
      </c>
      <c r="H1085" t="inlineStr">
        <is>
          <t>No</t>
        </is>
      </c>
      <c r="I1085" t="inlineStr">
        <is>
          <t>1</t>
        </is>
      </c>
      <c r="J1085" t="inlineStr">
        <is>
          <t>No</t>
        </is>
      </c>
      <c r="K1085" t="inlineStr">
        <is>
          <t>No</t>
        </is>
      </c>
      <c r="L1085" t="inlineStr">
        <is>
          <t>0</t>
        </is>
      </c>
      <c r="M1085" t="inlineStr">
        <is>
          <t>Bassett, Frank H.</t>
        </is>
      </c>
      <c r="N1085" t="inlineStr">
        <is>
          <t>Baltimore : Williams &amp; Wilkins, c1988.</t>
        </is>
      </c>
      <c r="O1085" t="inlineStr">
        <is>
          <t>1988</t>
        </is>
      </c>
      <c r="Q1085" t="inlineStr">
        <is>
          <t>eng</t>
        </is>
      </c>
      <c r="R1085" t="inlineStr">
        <is>
          <t>mdu</t>
        </is>
      </c>
      <c r="S1085" t="inlineStr">
        <is>
          <t>Sports injury management ; v. 1, no. 4 (Dec. 1988)</t>
        </is>
      </c>
      <c r="T1085" t="inlineStr">
        <is>
          <t xml:space="preserve">QT </t>
        </is>
      </c>
      <c r="U1085" t="n">
        <v>11</v>
      </c>
      <c r="V1085" t="n">
        <v>11</v>
      </c>
      <c r="W1085" t="inlineStr">
        <is>
          <t>2000-04-09</t>
        </is>
      </c>
      <c r="X1085" t="inlineStr">
        <is>
          <t>2000-04-09</t>
        </is>
      </c>
      <c r="Y1085" t="inlineStr">
        <is>
          <t>1992-04-07</t>
        </is>
      </c>
      <c r="Z1085" t="inlineStr">
        <is>
          <t>1992-04-07</t>
        </is>
      </c>
      <c r="AA1085" t="n">
        <v>107</v>
      </c>
      <c r="AB1085" t="n">
        <v>87</v>
      </c>
      <c r="AC1085" t="n">
        <v>87</v>
      </c>
      <c r="AD1085" t="n">
        <v>3</v>
      </c>
      <c r="AE1085" t="n">
        <v>3</v>
      </c>
      <c r="AF1085" t="n">
        <v>5</v>
      </c>
      <c r="AG1085" t="n">
        <v>5</v>
      </c>
      <c r="AH1085" t="n">
        <v>2</v>
      </c>
      <c r="AI1085" t="n">
        <v>2</v>
      </c>
      <c r="AJ1085" t="n">
        <v>1</v>
      </c>
      <c r="AK1085" t="n">
        <v>1</v>
      </c>
      <c r="AL1085" t="n">
        <v>3</v>
      </c>
      <c r="AM1085" t="n">
        <v>3</v>
      </c>
      <c r="AN1085" t="n">
        <v>1</v>
      </c>
      <c r="AO1085" t="n">
        <v>1</v>
      </c>
      <c r="AP1085" t="n">
        <v>0</v>
      </c>
      <c r="AQ1085" t="n">
        <v>0</v>
      </c>
      <c r="AR1085" t="inlineStr">
        <is>
          <t>No</t>
        </is>
      </c>
      <c r="AS1085" t="inlineStr">
        <is>
          <t>No</t>
        </is>
      </c>
      <c r="AU1085">
        <f>HYPERLINK("https://creighton-primo.hosted.exlibrisgroup.com/primo-explore/search?tab=default_tab&amp;search_scope=EVERYTHING&amp;vid=01CRU&amp;lang=en_US&amp;offset=0&amp;query=any,contains,991001300249702656","Catalog Record")</f>
        <v/>
      </c>
      <c r="AV1085">
        <f>HYPERLINK("http://www.worldcat.org/oclc/18947903","WorldCat Record")</f>
        <v/>
      </c>
    </row>
    <row r="1086">
      <c r="D1086" t="inlineStr">
        <is>
          <t>QT 260 B724a 1994</t>
        </is>
      </c>
      <c r="E1086" t="inlineStr">
        <is>
          <t>0                      QT 0260000B  724a        1994</t>
        </is>
      </c>
      <c r="F1086" t="inlineStr">
        <is>
          <t>Athletic injury assessment / James M. Booher, Gary A. Thibodeau.</t>
        </is>
      </c>
      <c r="H1086" t="inlineStr">
        <is>
          <t>No</t>
        </is>
      </c>
      <c r="I1086" t="inlineStr">
        <is>
          <t>1</t>
        </is>
      </c>
      <c r="J1086" t="inlineStr">
        <is>
          <t>No</t>
        </is>
      </c>
      <c r="K1086" t="inlineStr">
        <is>
          <t>Yes</t>
        </is>
      </c>
      <c r="L1086" t="inlineStr">
        <is>
          <t>0</t>
        </is>
      </c>
      <c r="M1086" t="inlineStr">
        <is>
          <t>Booher, James M.</t>
        </is>
      </c>
      <c r="N1086" t="inlineStr">
        <is>
          <t>St. Louis : Times Mirror/Mosby College Pub., c1994.</t>
        </is>
      </c>
      <c r="O1086" t="inlineStr">
        <is>
          <t>1994</t>
        </is>
      </c>
      <c r="P1086" t="inlineStr">
        <is>
          <t>3rd ed.</t>
        </is>
      </c>
      <c r="Q1086" t="inlineStr">
        <is>
          <t>eng</t>
        </is>
      </c>
      <c r="R1086" t="inlineStr">
        <is>
          <t>mou</t>
        </is>
      </c>
      <c r="T1086" t="inlineStr">
        <is>
          <t xml:space="preserve">QT </t>
        </is>
      </c>
      <c r="U1086" t="n">
        <v>17</v>
      </c>
      <c r="V1086" t="n">
        <v>17</v>
      </c>
      <c r="W1086" t="inlineStr">
        <is>
          <t>1999-12-05</t>
        </is>
      </c>
      <c r="X1086" t="inlineStr">
        <is>
          <t>1999-12-05</t>
        </is>
      </c>
      <c r="Y1086" t="inlineStr">
        <is>
          <t>1994-01-25</t>
        </is>
      </c>
      <c r="Z1086" t="inlineStr">
        <is>
          <t>1994-01-25</t>
        </is>
      </c>
      <c r="AA1086" t="n">
        <v>249</v>
      </c>
      <c r="AB1086" t="n">
        <v>181</v>
      </c>
      <c r="AC1086" t="n">
        <v>569</v>
      </c>
      <c r="AD1086" t="n">
        <v>2</v>
      </c>
      <c r="AE1086" t="n">
        <v>6</v>
      </c>
      <c r="AF1086" t="n">
        <v>7</v>
      </c>
      <c r="AG1086" t="n">
        <v>17</v>
      </c>
      <c r="AH1086" t="n">
        <v>5</v>
      </c>
      <c r="AI1086" t="n">
        <v>9</v>
      </c>
      <c r="AJ1086" t="n">
        <v>1</v>
      </c>
      <c r="AK1086" t="n">
        <v>4</v>
      </c>
      <c r="AL1086" t="n">
        <v>2</v>
      </c>
      <c r="AM1086" t="n">
        <v>5</v>
      </c>
      <c r="AN1086" t="n">
        <v>1</v>
      </c>
      <c r="AO1086" t="n">
        <v>4</v>
      </c>
      <c r="AP1086" t="n">
        <v>0</v>
      </c>
      <c r="AQ1086" t="n">
        <v>0</v>
      </c>
      <c r="AR1086" t="inlineStr">
        <is>
          <t>No</t>
        </is>
      </c>
      <c r="AS1086" t="inlineStr">
        <is>
          <t>Yes</t>
        </is>
      </c>
      <c r="AT1086">
        <f>HYPERLINK("http://catalog.hathitrust.org/Record/101973199","HathiTrust Record")</f>
        <v/>
      </c>
      <c r="AU1086">
        <f>HYPERLINK("https://creighton-primo.hosted.exlibrisgroup.com/primo-explore/search?tab=default_tab&amp;search_scope=EVERYTHING&amp;vid=01CRU&amp;lang=en_US&amp;offset=0&amp;query=any,contains,991000649939702656","Catalog Record")</f>
        <v/>
      </c>
      <c r="AV1086">
        <f>HYPERLINK("http://www.worldcat.org/oclc/28748882","WorldCat Record")</f>
        <v/>
      </c>
    </row>
    <row r="1087">
      <c r="D1087" t="inlineStr">
        <is>
          <t>QT 260 B89p  2007</t>
        </is>
      </c>
      <c r="E1087" t="inlineStr">
        <is>
          <t>0                      QT 0260000B  89p         2007</t>
        </is>
      </c>
      <c r="F1087" t="inlineStr">
        <is>
          <t>Practical sports nutrition / Louise Burke.</t>
        </is>
      </c>
      <c r="H1087" t="inlineStr">
        <is>
          <t>No</t>
        </is>
      </c>
      <c r="I1087" t="inlineStr">
        <is>
          <t>1</t>
        </is>
      </c>
      <c r="J1087" t="inlineStr">
        <is>
          <t>No</t>
        </is>
      </c>
      <c r="K1087" t="inlineStr">
        <is>
          <t>No</t>
        </is>
      </c>
      <c r="L1087" t="inlineStr">
        <is>
          <t>0</t>
        </is>
      </c>
      <c r="M1087" t="inlineStr">
        <is>
          <t>Burke, Louise.</t>
        </is>
      </c>
      <c r="N1087" t="inlineStr">
        <is>
          <t>Champaign, IL : Human Kinetics, c2007.</t>
        </is>
      </c>
      <c r="O1087" t="inlineStr">
        <is>
          <t>2007</t>
        </is>
      </c>
      <c r="Q1087" t="inlineStr">
        <is>
          <t>eng</t>
        </is>
      </c>
      <c r="R1087" t="inlineStr">
        <is>
          <t>ilu</t>
        </is>
      </c>
      <c r="T1087" t="inlineStr">
        <is>
          <t xml:space="preserve">QT </t>
        </is>
      </c>
      <c r="U1087" t="n">
        <v>1</v>
      </c>
      <c r="V1087" t="n">
        <v>1</v>
      </c>
      <c r="W1087" t="inlineStr">
        <is>
          <t>2008-08-20</t>
        </is>
      </c>
      <c r="X1087" t="inlineStr">
        <is>
          <t>2008-08-20</t>
        </is>
      </c>
      <c r="Y1087" t="inlineStr">
        <is>
          <t>2008-08-18</t>
        </is>
      </c>
      <c r="Z1087" t="inlineStr">
        <is>
          <t>2008-08-18</t>
        </is>
      </c>
      <c r="AA1087" t="n">
        <v>425</v>
      </c>
      <c r="AB1087" t="n">
        <v>292</v>
      </c>
      <c r="AC1087" t="n">
        <v>296</v>
      </c>
      <c r="AD1087" t="n">
        <v>4</v>
      </c>
      <c r="AE1087" t="n">
        <v>4</v>
      </c>
      <c r="AF1087" t="n">
        <v>12</v>
      </c>
      <c r="AG1087" t="n">
        <v>12</v>
      </c>
      <c r="AH1087" t="n">
        <v>7</v>
      </c>
      <c r="AI1087" t="n">
        <v>7</v>
      </c>
      <c r="AJ1087" t="n">
        <v>2</v>
      </c>
      <c r="AK1087" t="n">
        <v>2</v>
      </c>
      <c r="AL1087" t="n">
        <v>4</v>
      </c>
      <c r="AM1087" t="n">
        <v>4</v>
      </c>
      <c r="AN1087" t="n">
        <v>3</v>
      </c>
      <c r="AO1087" t="n">
        <v>3</v>
      </c>
      <c r="AP1087" t="n">
        <v>0</v>
      </c>
      <c r="AQ1087" t="n">
        <v>0</v>
      </c>
      <c r="AR1087" t="inlineStr">
        <is>
          <t>No</t>
        </is>
      </c>
      <c r="AS1087" t="inlineStr">
        <is>
          <t>No</t>
        </is>
      </c>
      <c r="AU1087">
        <f>HYPERLINK("https://creighton-primo.hosted.exlibrisgroup.com/primo-explore/search?tab=default_tab&amp;search_scope=EVERYTHING&amp;vid=01CRU&amp;lang=en_US&amp;offset=0&amp;query=any,contains,991000909799702656","Catalog Record")</f>
        <v/>
      </c>
      <c r="AV1087">
        <f>HYPERLINK("http://www.worldcat.org/oclc/76262158","WorldCat Record")</f>
        <v/>
      </c>
    </row>
    <row r="1088">
      <c r="D1088" t="inlineStr">
        <is>
          <t>QT260 D346 2003 V.1-2</t>
        </is>
      </c>
      <c r="E1088" t="inlineStr">
        <is>
          <t>0                      QT 0260000D  346         2003                                        V.1-2</t>
        </is>
      </c>
      <c r="F1088" t="inlineStr">
        <is>
          <t>DeLee &amp; Drez's orthopaedic sports medicine : principles and practice / [edited by] Jesse C. DeLee, David Drez, Jr. ; associate editor, Mark D. Miller.</t>
        </is>
      </c>
      <c r="G1088" t="inlineStr">
        <is>
          <t>V.2</t>
        </is>
      </c>
      <c r="H1088" t="inlineStr">
        <is>
          <t>Yes</t>
        </is>
      </c>
      <c r="I1088" t="inlineStr">
        <is>
          <t>1</t>
        </is>
      </c>
      <c r="J1088" t="inlineStr">
        <is>
          <t>No</t>
        </is>
      </c>
      <c r="K1088" t="inlineStr">
        <is>
          <t>No</t>
        </is>
      </c>
      <c r="L1088" t="inlineStr">
        <is>
          <t>1</t>
        </is>
      </c>
      <c r="N1088" t="inlineStr">
        <is>
          <t>Philadelphia, PA : Saunders, c2003.</t>
        </is>
      </c>
      <c r="O1088" t="inlineStr">
        <is>
          <t>2003</t>
        </is>
      </c>
      <c r="P1088" t="inlineStr">
        <is>
          <t>2nd ed.</t>
        </is>
      </c>
      <c r="Q1088" t="inlineStr">
        <is>
          <t>eng</t>
        </is>
      </c>
      <c r="R1088" t="inlineStr">
        <is>
          <t>pau</t>
        </is>
      </c>
      <c r="T1088" t="inlineStr">
        <is>
          <t xml:space="preserve">QT </t>
        </is>
      </c>
      <c r="U1088" t="n">
        <v>0</v>
      </c>
      <c r="V1088" t="n">
        <v>1</v>
      </c>
      <c r="W1088" t="inlineStr">
        <is>
          <t>2005-07-18</t>
        </is>
      </c>
      <c r="X1088" t="inlineStr">
        <is>
          <t>2005-07-18</t>
        </is>
      </c>
      <c r="Y1088" t="inlineStr">
        <is>
          <t>2005-02-16</t>
        </is>
      </c>
      <c r="Z1088" t="inlineStr">
        <is>
          <t>2005-02-16</t>
        </is>
      </c>
      <c r="AA1088" t="n">
        <v>235</v>
      </c>
      <c r="AB1088" t="n">
        <v>177</v>
      </c>
      <c r="AC1088" t="n">
        <v>439</v>
      </c>
      <c r="AD1088" t="n">
        <v>2</v>
      </c>
      <c r="AE1088" t="n">
        <v>4</v>
      </c>
      <c r="AF1088" t="n">
        <v>4</v>
      </c>
      <c r="AG1088" t="n">
        <v>14</v>
      </c>
      <c r="AH1088" t="n">
        <v>3</v>
      </c>
      <c r="AI1088" t="n">
        <v>6</v>
      </c>
      <c r="AJ1088" t="n">
        <v>0</v>
      </c>
      <c r="AK1088" t="n">
        <v>3</v>
      </c>
      <c r="AL1088" t="n">
        <v>0</v>
      </c>
      <c r="AM1088" t="n">
        <v>4</v>
      </c>
      <c r="AN1088" t="n">
        <v>1</v>
      </c>
      <c r="AO1088" t="n">
        <v>3</v>
      </c>
      <c r="AP1088" t="n">
        <v>0</v>
      </c>
      <c r="AQ1088" t="n">
        <v>0</v>
      </c>
      <c r="AR1088" t="inlineStr">
        <is>
          <t>No</t>
        </is>
      </c>
      <c r="AS1088" t="inlineStr">
        <is>
          <t>No</t>
        </is>
      </c>
      <c r="AU1088">
        <f>HYPERLINK("https://creighton-primo.hosted.exlibrisgroup.com/primo-explore/search?tab=default_tab&amp;search_scope=EVERYTHING&amp;vid=01CRU&amp;lang=en_US&amp;offset=0&amp;query=any,contains,991000428409702656","Catalog Record")</f>
        <v/>
      </c>
      <c r="AV1088">
        <f>HYPERLINK("http://www.worldcat.org/oclc/46829377","WorldCat Record")</f>
        <v/>
      </c>
    </row>
    <row r="1089">
      <c r="D1089" t="inlineStr">
        <is>
          <t>QT260 D346 2003 V.1-2</t>
        </is>
      </c>
      <c r="E1089" t="inlineStr">
        <is>
          <t>0                      QT 0260000D  346         2003                                        V.1-2</t>
        </is>
      </c>
      <c r="F1089" t="inlineStr">
        <is>
          <t>DeLee &amp; Drez's orthopaedic sports medicine : principles and practice / [edited by] Jesse C. DeLee, David Drez, Jr. ; associate editor, Mark D. Miller.</t>
        </is>
      </c>
      <c r="G1089" t="inlineStr">
        <is>
          <t>V.1</t>
        </is>
      </c>
      <c r="H1089" t="inlineStr">
        <is>
          <t>Yes</t>
        </is>
      </c>
      <c r="I1089" t="inlineStr">
        <is>
          <t>1</t>
        </is>
      </c>
      <c r="J1089" t="inlineStr">
        <is>
          <t>No</t>
        </is>
      </c>
      <c r="K1089" t="inlineStr">
        <is>
          <t>No</t>
        </is>
      </c>
      <c r="L1089" t="inlineStr">
        <is>
          <t>1</t>
        </is>
      </c>
      <c r="N1089" t="inlineStr">
        <is>
          <t>Philadelphia, PA : Saunders, c2003.</t>
        </is>
      </c>
      <c r="O1089" t="inlineStr">
        <is>
          <t>2003</t>
        </is>
      </c>
      <c r="P1089" t="inlineStr">
        <is>
          <t>2nd ed.</t>
        </is>
      </c>
      <c r="Q1089" t="inlineStr">
        <is>
          <t>eng</t>
        </is>
      </c>
      <c r="R1089" t="inlineStr">
        <is>
          <t>pau</t>
        </is>
      </c>
      <c r="T1089" t="inlineStr">
        <is>
          <t xml:space="preserve">QT </t>
        </is>
      </c>
      <c r="U1089" t="n">
        <v>1</v>
      </c>
      <c r="V1089" t="n">
        <v>1</v>
      </c>
      <c r="W1089" t="inlineStr">
        <is>
          <t>2005-05-02</t>
        </is>
      </c>
      <c r="X1089" t="inlineStr">
        <is>
          <t>2005-07-18</t>
        </is>
      </c>
      <c r="Y1089" t="inlineStr">
        <is>
          <t>2005-02-16</t>
        </is>
      </c>
      <c r="Z1089" t="inlineStr">
        <is>
          <t>2005-02-16</t>
        </is>
      </c>
      <c r="AA1089" t="n">
        <v>235</v>
      </c>
      <c r="AB1089" t="n">
        <v>177</v>
      </c>
      <c r="AC1089" t="n">
        <v>439</v>
      </c>
      <c r="AD1089" t="n">
        <v>2</v>
      </c>
      <c r="AE1089" t="n">
        <v>4</v>
      </c>
      <c r="AF1089" t="n">
        <v>4</v>
      </c>
      <c r="AG1089" t="n">
        <v>14</v>
      </c>
      <c r="AH1089" t="n">
        <v>3</v>
      </c>
      <c r="AI1089" t="n">
        <v>6</v>
      </c>
      <c r="AJ1089" t="n">
        <v>0</v>
      </c>
      <c r="AK1089" t="n">
        <v>3</v>
      </c>
      <c r="AL1089" t="n">
        <v>0</v>
      </c>
      <c r="AM1089" t="n">
        <v>4</v>
      </c>
      <c r="AN1089" t="n">
        <v>1</v>
      </c>
      <c r="AO1089" t="n">
        <v>3</v>
      </c>
      <c r="AP1089" t="n">
        <v>0</v>
      </c>
      <c r="AQ1089" t="n">
        <v>0</v>
      </c>
      <c r="AR1089" t="inlineStr">
        <is>
          <t>No</t>
        </is>
      </c>
      <c r="AS1089" t="inlineStr">
        <is>
          <t>No</t>
        </is>
      </c>
      <c r="AU1089">
        <f>HYPERLINK("https://creighton-primo.hosted.exlibrisgroup.com/primo-explore/search?tab=default_tab&amp;search_scope=EVERYTHING&amp;vid=01CRU&amp;lang=en_US&amp;offset=0&amp;query=any,contains,991000428409702656","Catalog Record")</f>
        <v/>
      </c>
      <c r="AV1089">
        <f>HYPERLINK("http://www.worldcat.org/oclc/46829377","WorldCat Record")</f>
        <v/>
      </c>
    </row>
    <row r="1090">
      <c r="D1090" t="inlineStr">
        <is>
          <t>QT 260 F329 1997</t>
        </is>
      </c>
      <c r="E1090" t="inlineStr">
        <is>
          <t>0                      QT 0260000F  329         1997</t>
        </is>
      </c>
      <c r="F1090" t="inlineStr">
        <is>
          <t>The female athlete / edited by Carol C. Teitz ; contributors, Elizabeth K. Arendt ... [et al.].</t>
        </is>
      </c>
      <c r="H1090" t="inlineStr">
        <is>
          <t>No</t>
        </is>
      </c>
      <c r="I1090" t="inlineStr">
        <is>
          <t>1</t>
        </is>
      </c>
      <c r="J1090" t="inlineStr">
        <is>
          <t>No</t>
        </is>
      </c>
      <c r="K1090" t="inlineStr">
        <is>
          <t>No</t>
        </is>
      </c>
      <c r="L1090" t="inlineStr">
        <is>
          <t>0</t>
        </is>
      </c>
      <c r="N1090" t="inlineStr">
        <is>
          <t>Rosemont, Ill. : American Academy of Orthopaedic Surgeons, c1997.</t>
        </is>
      </c>
      <c r="O1090" t="inlineStr">
        <is>
          <t>1997</t>
        </is>
      </c>
      <c r="P1090" t="inlineStr">
        <is>
          <t>1st ed.</t>
        </is>
      </c>
      <c r="Q1090" t="inlineStr">
        <is>
          <t>eng</t>
        </is>
      </c>
      <c r="R1090" t="inlineStr">
        <is>
          <t>ilu</t>
        </is>
      </c>
      <c r="S1090" t="inlineStr">
        <is>
          <t>American Academy of Orthopaedic Surgeons monograph series</t>
        </is>
      </c>
      <c r="T1090" t="inlineStr">
        <is>
          <t xml:space="preserve">QT </t>
        </is>
      </c>
      <c r="U1090" t="n">
        <v>3</v>
      </c>
      <c r="V1090" t="n">
        <v>3</v>
      </c>
      <c r="W1090" t="inlineStr">
        <is>
          <t>2000-10-07</t>
        </is>
      </c>
      <c r="X1090" t="inlineStr">
        <is>
          <t>2000-10-07</t>
        </is>
      </c>
      <c r="Y1090" t="inlineStr">
        <is>
          <t>1997-12-18</t>
        </is>
      </c>
      <c r="Z1090" t="inlineStr">
        <is>
          <t>1997-12-18</t>
        </is>
      </c>
      <c r="AA1090" t="n">
        <v>106</v>
      </c>
      <c r="AB1090" t="n">
        <v>82</v>
      </c>
      <c r="AC1090" t="n">
        <v>90</v>
      </c>
      <c r="AD1090" t="n">
        <v>1</v>
      </c>
      <c r="AE1090" t="n">
        <v>1</v>
      </c>
      <c r="AF1090" t="n">
        <v>3</v>
      </c>
      <c r="AG1090" t="n">
        <v>3</v>
      </c>
      <c r="AH1090" t="n">
        <v>2</v>
      </c>
      <c r="AI1090" t="n">
        <v>2</v>
      </c>
      <c r="AJ1090" t="n">
        <v>1</v>
      </c>
      <c r="AK1090" t="n">
        <v>1</v>
      </c>
      <c r="AL1090" t="n">
        <v>1</v>
      </c>
      <c r="AM1090" t="n">
        <v>1</v>
      </c>
      <c r="AN1090" t="n">
        <v>0</v>
      </c>
      <c r="AO1090" t="n">
        <v>0</v>
      </c>
      <c r="AP1090" t="n">
        <v>0</v>
      </c>
      <c r="AQ1090" t="n">
        <v>0</v>
      </c>
      <c r="AR1090" t="inlineStr">
        <is>
          <t>No</t>
        </is>
      </c>
      <c r="AS1090" t="inlineStr">
        <is>
          <t>Yes</t>
        </is>
      </c>
      <c r="AT1090">
        <f>HYPERLINK("http://catalog.hathitrust.org/Record/003176326","HathiTrust Record")</f>
        <v/>
      </c>
      <c r="AU1090">
        <f>HYPERLINK("https://creighton-primo.hosted.exlibrisgroup.com/primo-explore/search?tab=default_tab&amp;search_scope=EVERYTHING&amp;vid=01CRU&amp;lang=en_US&amp;offset=0&amp;query=any,contains,991001267459702656","Catalog Record")</f>
        <v/>
      </c>
      <c r="AV1090">
        <f>HYPERLINK("http://www.worldcat.org/oclc/38862806","WorldCat Record")</f>
        <v/>
      </c>
    </row>
    <row r="1091">
      <c r="D1091" t="inlineStr">
        <is>
          <t>QT 260 F751f 1998</t>
        </is>
      </c>
      <c r="E1091" t="inlineStr">
        <is>
          <t>0                      QT 0260000F  751f        1998</t>
        </is>
      </c>
      <c r="F1091" t="inlineStr">
        <is>
          <t>Fox's physiological basis for exercise and sport.</t>
        </is>
      </c>
      <c r="H1091" t="inlineStr">
        <is>
          <t>No</t>
        </is>
      </c>
      <c r="I1091" t="inlineStr">
        <is>
          <t>1</t>
        </is>
      </c>
      <c r="J1091" t="inlineStr">
        <is>
          <t>No</t>
        </is>
      </c>
      <c r="K1091" t="inlineStr">
        <is>
          <t>No</t>
        </is>
      </c>
      <c r="L1091" t="inlineStr">
        <is>
          <t>0</t>
        </is>
      </c>
      <c r="M1091" t="inlineStr">
        <is>
          <t>Foss, Merle L., 1936-</t>
        </is>
      </c>
      <c r="N1091" t="inlineStr">
        <is>
          <t>Boston, Mass. : WCB/McGraw-Hill, c1998.</t>
        </is>
      </c>
      <c r="O1091" t="inlineStr">
        <is>
          <t>1998</t>
        </is>
      </c>
      <c r="P1091" t="inlineStr">
        <is>
          <t>6th ed. / Merle L. Foss, Steven J. Keteyian.</t>
        </is>
      </c>
      <c r="Q1091" t="inlineStr">
        <is>
          <t>eng</t>
        </is>
      </c>
      <c r="R1091" t="inlineStr">
        <is>
          <t>mau</t>
        </is>
      </c>
      <c r="T1091" t="inlineStr">
        <is>
          <t xml:space="preserve">QT </t>
        </is>
      </c>
      <c r="U1091" t="n">
        <v>12</v>
      </c>
      <c r="V1091" t="n">
        <v>12</v>
      </c>
      <c r="W1091" t="inlineStr">
        <is>
          <t>2008-01-03</t>
        </is>
      </c>
      <c r="X1091" t="inlineStr">
        <is>
          <t>2008-01-03</t>
        </is>
      </c>
      <c r="Y1091" t="inlineStr">
        <is>
          <t>1998-10-29</t>
        </is>
      </c>
      <c r="Z1091" t="inlineStr">
        <is>
          <t>1998-10-29</t>
        </is>
      </c>
      <c r="AA1091" t="n">
        <v>401</v>
      </c>
      <c r="AB1091" t="n">
        <v>286</v>
      </c>
      <c r="AC1091" t="n">
        <v>288</v>
      </c>
      <c r="AD1091" t="n">
        <v>2</v>
      </c>
      <c r="AE1091" t="n">
        <v>2</v>
      </c>
      <c r="AF1091" t="n">
        <v>11</v>
      </c>
      <c r="AG1091" t="n">
        <v>11</v>
      </c>
      <c r="AH1091" t="n">
        <v>7</v>
      </c>
      <c r="AI1091" t="n">
        <v>7</v>
      </c>
      <c r="AJ1091" t="n">
        <v>2</v>
      </c>
      <c r="AK1091" t="n">
        <v>2</v>
      </c>
      <c r="AL1091" t="n">
        <v>6</v>
      </c>
      <c r="AM1091" t="n">
        <v>6</v>
      </c>
      <c r="AN1091" t="n">
        <v>1</v>
      </c>
      <c r="AO1091" t="n">
        <v>1</v>
      </c>
      <c r="AP1091" t="n">
        <v>0</v>
      </c>
      <c r="AQ1091" t="n">
        <v>0</v>
      </c>
      <c r="AR1091" t="inlineStr">
        <is>
          <t>No</t>
        </is>
      </c>
      <c r="AS1091" t="inlineStr">
        <is>
          <t>Yes</t>
        </is>
      </c>
      <c r="AT1091">
        <f>HYPERLINK("http://catalog.hathitrust.org/Record/004026896","HathiTrust Record")</f>
        <v/>
      </c>
      <c r="AU1091">
        <f>HYPERLINK("https://creighton-primo.hosted.exlibrisgroup.com/primo-explore/search?tab=default_tab&amp;search_scope=EVERYTHING&amp;vid=01CRU&amp;lang=en_US&amp;offset=0&amp;query=any,contains,991001569469702656","Catalog Record")</f>
        <v/>
      </c>
      <c r="AV1091">
        <f>HYPERLINK("http://www.worldcat.org/oclc/36807704","WorldCat Record")</f>
        <v/>
      </c>
    </row>
    <row r="1092">
      <c r="D1092" t="inlineStr">
        <is>
          <t>QT 260 G241s 1999</t>
        </is>
      </c>
      <c r="E1092" t="inlineStr">
        <is>
          <t>0                      QT 0260000G  241s        1999</t>
        </is>
      </c>
      <c r="F1092" t="inlineStr">
        <is>
          <t>Sports injuries : diagnosis and management / James G. Garrick, David R. Webb.</t>
        </is>
      </c>
      <c r="H1092" t="inlineStr">
        <is>
          <t>No</t>
        </is>
      </c>
      <c r="I1092" t="inlineStr">
        <is>
          <t>1</t>
        </is>
      </c>
      <c r="J1092" t="inlineStr">
        <is>
          <t>No</t>
        </is>
      </c>
      <c r="K1092" t="inlineStr">
        <is>
          <t>No</t>
        </is>
      </c>
      <c r="L1092" t="inlineStr">
        <is>
          <t>0</t>
        </is>
      </c>
      <c r="M1092" t="inlineStr">
        <is>
          <t>Garrick, James G.</t>
        </is>
      </c>
      <c r="N1092" t="inlineStr">
        <is>
          <t>Philadelphia : W.B. Saunders, c1999.</t>
        </is>
      </c>
      <c r="O1092" t="inlineStr">
        <is>
          <t>1999</t>
        </is>
      </c>
      <c r="P1092" t="inlineStr">
        <is>
          <t>2nd ed.</t>
        </is>
      </c>
      <c r="Q1092" t="inlineStr">
        <is>
          <t>eng</t>
        </is>
      </c>
      <c r="R1092" t="inlineStr">
        <is>
          <t>pau</t>
        </is>
      </c>
      <c r="T1092" t="inlineStr">
        <is>
          <t xml:space="preserve">QT </t>
        </is>
      </c>
      <c r="U1092" t="n">
        <v>8</v>
      </c>
      <c r="V1092" t="n">
        <v>8</v>
      </c>
      <c r="W1092" t="inlineStr">
        <is>
          <t>2007-07-03</t>
        </is>
      </c>
      <c r="X1092" t="inlineStr">
        <is>
          <t>2007-07-03</t>
        </is>
      </c>
      <c r="Y1092" t="inlineStr">
        <is>
          <t>2000-04-25</t>
        </is>
      </c>
      <c r="Z1092" t="inlineStr">
        <is>
          <t>2000-04-25</t>
        </is>
      </c>
      <c r="AA1092" t="n">
        <v>263</v>
      </c>
      <c r="AB1092" t="n">
        <v>193</v>
      </c>
      <c r="AC1092" t="n">
        <v>336</v>
      </c>
      <c r="AD1092" t="n">
        <v>1</v>
      </c>
      <c r="AE1092" t="n">
        <v>3</v>
      </c>
      <c r="AF1092" t="n">
        <v>6</v>
      </c>
      <c r="AG1092" t="n">
        <v>10</v>
      </c>
      <c r="AH1092" t="n">
        <v>3</v>
      </c>
      <c r="AI1092" t="n">
        <v>5</v>
      </c>
      <c r="AJ1092" t="n">
        <v>2</v>
      </c>
      <c r="AK1092" t="n">
        <v>2</v>
      </c>
      <c r="AL1092" t="n">
        <v>2</v>
      </c>
      <c r="AM1092" t="n">
        <v>5</v>
      </c>
      <c r="AN1092" t="n">
        <v>0</v>
      </c>
      <c r="AO1092" t="n">
        <v>1</v>
      </c>
      <c r="AP1092" t="n">
        <v>0</v>
      </c>
      <c r="AQ1092" t="n">
        <v>0</v>
      </c>
      <c r="AR1092" t="inlineStr">
        <is>
          <t>No</t>
        </is>
      </c>
      <c r="AS1092" t="inlineStr">
        <is>
          <t>Yes</t>
        </is>
      </c>
      <c r="AT1092">
        <f>HYPERLINK("http://catalog.hathitrust.org/Record/004028031","HathiTrust Record")</f>
        <v/>
      </c>
      <c r="AU1092">
        <f>HYPERLINK("https://creighton-primo.hosted.exlibrisgroup.com/primo-explore/search?tab=default_tab&amp;search_scope=EVERYTHING&amp;vid=01CRU&amp;lang=en_US&amp;offset=0&amp;query=any,contains,991001445059702656","Catalog Record")</f>
        <v/>
      </c>
      <c r="AV1092">
        <f>HYPERLINK("http://www.worldcat.org/oclc/39298986","WorldCat Record")</f>
        <v/>
      </c>
    </row>
    <row r="1093">
      <c r="D1093" t="inlineStr">
        <is>
          <t>QT 260 H8945 1995</t>
        </is>
      </c>
      <c r="E1093" t="inlineStr">
        <is>
          <t>0                      QT 0260000H  8945        1995</t>
        </is>
      </c>
      <c r="F1093" t="inlineStr">
        <is>
          <t>The Hughston Clinic sports medicine book / Champ L. Baker, editor-in-chief ; Fred Flandry, section editor, John M. Henderson, section editor.</t>
        </is>
      </c>
      <c r="H1093" t="inlineStr">
        <is>
          <t>No</t>
        </is>
      </c>
      <c r="I1093" t="inlineStr">
        <is>
          <t>1</t>
        </is>
      </c>
      <c r="J1093" t="inlineStr">
        <is>
          <t>No</t>
        </is>
      </c>
      <c r="K1093" t="inlineStr">
        <is>
          <t>No</t>
        </is>
      </c>
      <c r="L1093" t="inlineStr">
        <is>
          <t>0</t>
        </is>
      </c>
      <c r="N1093" t="inlineStr">
        <is>
          <t>Baltimore : Williams &amp; Wilkins, c1995.</t>
        </is>
      </c>
      <c r="O1093" t="inlineStr">
        <is>
          <t>1995</t>
        </is>
      </c>
      <c r="Q1093" t="inlineStr">
        <is>
          <t>eng</t>
        </is>
      </c>
      <c r="R1093" t="inlineStr">
        <is>
          <t>mdu</t>
        </is>
      </c>
      <c r="T1093" t="inlineStr">
        <is>
          <t xml:space="preserve">QT </t>
        </is>
      </c>
      <c r="U1093" t="n">
        <v>16</v>
      </c>
      <c r="V1093" t="n">
        <v>16</v>
      </c>
      <c r="W1093" t="inlineStr">
        <is>
          <t>2004-10-09</t>
        </is>
      </c>
      <c r="X1093" t="inlineStr">
        <is>
          <t>2004-10-09</t>
        </is>
      </c>
      <c r="Y1093" t="inlineStr">
        <is>
          <t>1996-01-23</t>
        </is>
      </c>
      <c r="Z1093" t="inlineStr">
        <is>
          <t>1996-01-23</t>
        </is>
      </c>
      <c r="AA1093" t="n">
        <v>144</v>
      </c>
      <c r="AB1093" t="n">
        <v>106</v>
      </c>
      <c r="AC1093" t="n">
        <v>113</v>
      </c>
      <c r="AD1093" t="n">
        <v>2</v>
      </c>
      <c r="AE1093" t="n">
        <v>2</v>
      </c>
      <c r="AF1093" t="n">
        <v>4</v>
      </c>
      <c r="AG1093" t="n">
        <v>4</v>
      </c>
      <c r="AH1093" t="n">
        <v>2</v>
      </c>
      <c r="AI1093" t="n">
        <v>2</v>
      </c>
      <c r="AJ1093" t="n">
        <v>1</v>
      </c>
      <c r="AK1093" t="n">
        <v>1</v>
      </c>
      <c r="AL1093" t="n">
        <v>2</v>
      </c>
      <c r="AM1093" t="n">
        <v>2</v>
      </c>
      <c r="AN1093" t="n">
        <v>1</v>
      </c>
      <c r="AO1093" t="n">
        <v>1</v>
      </c>
      <c r="AP1093" t="n">
        <v>0</v>
      </c>
      <c r="AQ1093" t="n">
        <v>0</v>
      </c>
      <c r="AR1093" t="inlineStr">
        <is>
          <t>No</t>
        </is>
      </c>
      <c r="AS1093" t="inlineStr">
        <is>
          <t>Yes</t>
        </is>
      </c>
      <c r="AT1093">
        <f>HYPERLINK("http://catalog.hathitrust.org/Record/002997501","HathiTrust Record")</f>
        <v/>
      </c>
      <c r="AU1093">
        <f>HYPERLINK("https://creighton-primo.hosted.exlibrisgroup.com/primo-explore/search?tab=default_tab&amp;search_scope=EVERYTHING&amp;vid=01CRU&amp;lang=en_US&amp;offset=0&amp;query=any,contains,991001503319702656","Catalog Record")</f>
        <v/>
      </c>
      <c r="AV1093">
        <f>HYPERLINK("http://www.worldcat.org/oclc/31077239","WorldCat Record")</f>
        <v/>
      </c>
    </row>
    <row r="1094">
      <c r="D1094" t="inlineStr">
        <is>
          <t>QT 260 L138s 1988</t>
        </is>
      </c>
      <c r="E1094" t="inlineStr">
        <is>
          <t>0                      QT 0260000L  138s        1988</t>
        </is>
      </c>
      <c r="F1094" t="inlineStr">
        <is>
          <t>Soft tissue injuries in sport / Sylvia Lachmann.</t>
        </is>
      </c>
      <c r="H1094" t="inlineStr">
        <is>
          <t>No</t>
        </is>
      </c>
      <c r="I1094" t="inlineStr">
        <is>
          <t>1</t>
        </is>
      </c>
      <c r="J1094" t="inlineStr">
        <is>
          <t>No</t>
        </is>
      </c>
      <c r="K1094" t="inlineStr">
        <is>
          <t>No</t>
        </is>
      </c>
      <c r="L1094" t="inlineStr">
        <is>
          <t>0</t>
        </is>
      </c>
      <c r="M1094" t="inlineStr">
        <is>
          <t>Lachmann, Sylvia.</t>
        </is>
      </c>
      <c r="N1094" t="inlineStr">
        <is>
          <t>Oxford ; London ; Blackwell Scientific, c1988.</t>
        </is>
      </c>
      <c r="O1094" t="inlineStr">
        <is>
          <t>1988</t>
        </is>
      </c>
      <c r="Q1094" t="inlineStr">
        <is>
          <t>eng</t>
        </is>
      </c>
      <c r="R1094" t="inlineStr">
        <is>
          <t>enk</t>
        </is>
      </c>
      <c r="T1094" t="inlineStr">
        <is>
          <t xml:space="preserve">QT </t>
        </is>
      </c>
      <c r="U1094" t="n">
        <v>4</v>
      </c>
      <c r="V1094" t="n">
        <v>4</v>
      </c>
      <c r="W1094" t="inlineStr">
        <is>
          <t>1993-05-17</t>
        </is>
      </c>
      <c r="X1094" t="inlineStr">
        <is>
          <t>1993-05-17</t>
        </is>
      </c>
      <c r="Y1094" t="inlineStr">
        <is>
          <t>1989-02-18</t>
        </is>
      </c>
      <c r="Z1094" t="inlineStr">
        <is>
          <t>1989-02-18</t>
        </is>
      </c>
      <c r="AA1094" t="n">
        <v>165</v>
      </c>
      <c r="AB1094" t="n">
        <v>99</v>
      </c>
      <c r="AC1094" t="n">
        <v>200</v>
      </c>
      <c r="AD1094" t="n">
        <v>1</v>
      </c>
      <c r="AE1094" t="n">
        <v>1</v>
      </c>
      <c r="AF1094" t="n">
        <v>2</v>
      </c>
      <c r="AG1094" t="n">
        <v>5</v>
      </c>
      <c r="AH1094" t="n">
        <v>0</v>
      </c>
      <c r="AI1094" t="n">
        <v>2</v>
      </c>
      <c r="AJ1094" t="n">
        <v>1</v>
      </c>
      <c r="AK1094" t="n">
        <v>2</v>
      </c>
      <c r="AL1094" t="n">
        <v>2</v>
      </c>
      <c r="AM1094" t="n">
        <v>2</v>
      </c>
      <c r="AN1094" t="n">
        <v>0</v>
      </c>
      <c r="AO1094" t="n">
        <v>0</v>
      </c>
      <c r="AP1094" t="n">
        <v>0</v>
      </c>
      <c r="AQ1094" t="n">
        <v>0</v>
      </c>
      <c r="AR1094" t="inlineStr">
        <is>
          <t>No</t>
        </is>
      </c>
      <c r="AS1094" t="inlineStr">
        <is>
          <t>No</t>
        </is>
      </c>
      <c r="AU1094">
        <f>HYPERLINK("https://creighton-primo.hosted.exlibrisgroup.com/primo-explore/search?tab=default_tab&amp;search_scope=EVERYTHING&amp;vid=01CRU&amp;lang=en_US&amp;offset=0&amp;query=any,contains,991001121089702656","Catalog Record")</f>
        <v/>
      </c>
      <c r="AV1094">
        <f>HYPERLINK("http://www.worldcat.org/oclc/19399147","WorldCat Record")</f>
        <v/>
      </c>
    </row>
    <row r="1095">
      <c r="D1095" t="inlineStr">
        <is>
          <t>QT 260 M115e 1994</t>
        </is>
      </c>
      <c r="E1095" t="inlineStr">
        <is>
          <t>0                      QT 0260000M  115e        1994</t>
        </is>
      </c>
      <c r="F1095" t="inlineStr">
        <is>
          <t>Essentials of exercise physiology / William D. McArdle, Frank I. Katch, Victor L. Katch.</t>
        </is>
      </c>
      <c r="H1095" t="inlineStr">
        <is>
          <t>No</t>
        </is>
      </c>
      <c r="I1095" t="inlineStr">
        <is>
          <t>1</t>
        </is>
      </c>
      <c r="J1095" t="inlineStr">
        <is>
          <t>No</t>
        </is>
      </c>
      <c r="K1095" t="inlineStr">
        <is>
          <t>Yes</t>
        </is>
      </c>
      <c r="L1095" t="inlineStr">
        <is>
          <t>0</t>
        </is>
      </c>
      <c r="M1095" t="inlineStr">
        <is>
          <t>McArdle, William D.</t>
        </is>
      </c>
      <c r="N1095" t="inlineStr">
        <is>
          <t>Philadelphia : Lea &amp; Febiger, c1994.</t>
        </is>
      </c>
      <c r="O1095" t="inlineStr">
        <is>
          <t>1994</t>
        </is>
      </c>
      <c r="Q1095" t="inlineStr">
        <is>
          <t>eng</t>
        </is>
      </c>
      <c r="R1095" t="inlineStr">
        <is>
          <t>pau</t>
        </is>
      </c>
      <c r="T1095" t="inlineStr">
        <is>
          <t xml:space="preserve">QT </t>
        </is>
      </c>
      <c r="U1095" t="n">
        <v>23</v>
      </c>
      <c r="V1095" t="n">
        <v>23</v>
      </c>
      <c r="W1095" t="inlineStr">
        <is>
          <t>2003-11-19</t>
        </is>
      </c>
      <c r="X1095" t="inlineStr">
        <is>
          <t>2003-11-19</t>
        </is>
      </c>
      <c r="Y1095" t="inlineStr">
        <is>
          <t>1995-08-16</t>
        </is>
      </c>
      <c r="Z1095" t="inlineStr">
        <is>
          <t>1995-08-16</t>
        </is>
      </c>
      <c r="AA1095" t="n">
        <v>283</v>
      </c>
      <c r="AB1095" t="n">
        <v>190</v>
      </c>
      <c r="AC1095" t="n">
        <v>586</v>
      </c>
      <c r="AD1095" t="n">
        <v>1</v>
      </c>
      <c r="AE1095" t="n">
        <v>8</v>
      </c>
      <c r="AF1095" t="n">
        <v>5</v>
      </c>
      <c r="AG1095" t="n">
        <v>22</v>
      </c>
      <c r="AH1095" t="n">
        <v>3</v>
      </c>
      <c r="AI1095" t="n">
        <v>13</v>
      </c>
      <c r="AJ1095" t="n">
        <v>2</v>
      </c>
      <c r="AK1095" t="n">
        <v>2</v>
      </c>
      <c r="AL1095" t="n">
        <v>3</v>
      </c>
      <c r="AM1095" t="n">
        <v>5</v>
      </c>
      <c r="AN1095" t="n">
        <v>0</v>
      </c>
      <c r="AO1095" t="n">
        <v>6</v>
      </c>
      <c r="AP1095" t="n">
        <v>0</v>
      </c>
      <c r="AQ1095" t="n">
        <v>0</v>
      </c>
      <c r="AR1095" t="inlineStr">
        <is>
          <t>No</t>
        </is>
      </c>
      <c r="AS1095" t="inlineStr">
        <is>
          <t>Yes</t>
        </is>
      </c>
      <c r="AT1095">
        <f>HYPERLINK("http://catalog.hathitrust.org/Record/002889504","HathiTrust Record")</f>
        <v/>
      </c>
      <c r="AU1095">
        <f>HYPERLINK("https://creighton-primo.hosted.exlibrisgroup.com/primo-explore/search?tab=default_tab&amp;search_scope=EVERYTHING&amp;vid=01CRU&amp;lang=en_US&amp;offset=0&amp;query=any,contains,991001404309702656","Catalog Record")</f>
        <v/>
      </c>
      <c r="AV1095">
        <f>HYPERLINK("http://www.worldcat.org/oclc/29549095","WorldCat Record")</f>
        <v/>
      </c>
    </row>
    <row r="1096">
      <c r="D1096" t="inlineStr">
        <is>
          <t>QT 260 M294 1987</t>
        </is>
      </c>
      <c r="E1096" t="inlineStr">
        <is>
          <t>0                      QT 0260000M  294         1987</t>
        </is>
      </c>
      <c r="F1096" t="inlineStr">
        <is>
          <t>Manual of sports surgery / edited by Clarence L. Shields, Jr. ; with contributions by Clive Brewster ... [et al.] ; illustrated by Robin Markovits Jensen.</t>
        </is>
      </c>
      <c r="H1096" t="inlineStr">
        <is>
          <t>No</t>
        </is>
      </c>
      <c r="I1096" t="inlineStr">
        <is>
          <t>1</t>
        </is>
      </c>
      <c r="J1096" t="inlineStr">
        <is>
          <t>No</t>
        </is>
      </c>
      <c r="K1096" t="inlineStr">
        <is>
          <t>No</t>
        </is>
      </c>
      <c r="L1096" t="inlineStr">
        <is>
          <t>0</t>
        </is>
      </c>
      <c r="N1096" t="inlineStr">
        <is>
          <t>New York : Springer-Verlag, c1987.</t>
        </is>
      </c>
      <c r="O1096" t="inlineStr">
        <is>
          <t>1987</t>
        </is>
      </c>
      <c r="Q1096" t="inlineStr">
        <is>
          <t>eng</t>
        </is>
      </c>
      <c r="R1096" t="inlineStr">
        <is>
          <t>xxu</t>
        </is>
      </c>
      <c r="S1096" t="inlineStr">
        <is>
          <t>Comprehensive manuals of surgical specialties</t>
        </is>
      </c>
      <c r="T1096" t="inlineStr">
        <is>
          <t xml:space="preserve">QT </t>
        </is>
      </c>
      <c r="U1096" t="n">
        <v>8</v>
      </c>
      <c r="V1096" t="n">
        <v>8</v>
      </c>
      <c r="W1096" t="inlineStr">
        <is>
          <t>1996-04-16</t>
        </is>
      </c>
      <c r="X1096" t="inlineStr">
        <is>
          <t>1996-04-16</t>
        </is>
      </c>
      <c r="Y1096" t="inlineStr">
        <is>
          <t>1988-01-20</t>
        </is>
      </c>
      <c r="Z1096" t="inlineStr">
        <is>
          <t>1988-01-20</t>
        </is>
      </c>
      <c r="AA1096" t="n">
        <v>126</v>
      </c>
      <c r="AB1096" t="n">
        <v>99</v>
      </c>
      <c r="AC1096" t="n">
        <v>119</v>
      </c>
      <c r="AD1096" t="n">
        <v>1</v>
      </c>
      <c r="AE1096" t="n">
        <v>1</v>
      </c>
      <c r="AF1096" t="n">
        <v>1</v>
      </c>
      <c r="AG1096" t="n">
        <v>1</v>
      </c>
      <c r="AH1096" t="n">
        <v>0</v>
      </c>
      <c r="AI1096" t="n">
        <v>0</v>
      </c>
      <c r="AJ1096" t="n">
        <v>1</v>
      </c>
      <c r="AK1096" t="n">
        <v>1</v>
      </c>
      <c r="AL1096" t="n">
        <v>0</v>
      </c>
      <c r="AM1096" t="n">
        <v>0</v>
      </c>
      <c r="AN1096" t="n">
        <v>0</v>
      </c>
      <c r="AO1096" t="n">
        <v>0</v>
      </c>
      <c r="AP1096" t="n">
        <v>0</v>
      </c>
      <c r="AQ1096" t="n">
        <v>0</v>
      </c>
      <c r="AR1096" t="inlineStr">
        <is>
          <t>No</t>
        </is>
      </c>
      <c r="AS1096" t="inlineStr">
        <is>
          <t>No</t>
        </is>
      </c>
      <c r="AU1096">
        <f>HYPERLINK("https://creighton-primo.hosted.exlibrisgroup.com/primo-explore/search?tab=default_tab&amp;search_scope=EVERYTHING&amp;vid=01CRU&amp;lang=en_US&amp;offset=0&amp;query=any,contains,991000861349702656","Catalog Record")</f>
        <v/>
      </c>
      <c r="AV1096">
        <f>HYPERLINK("http://www.worldcat.org/oclc/14213506","WorldCat Record")</f>
        <v/>
      </c>
    </row>
    <row r="1097">
      <c r="D1097" t="inlineStr">
        <is>
          <t>QT260 M478e 2001</t>
        </is>
      </c>
      <c r="E1097" t="inlineStr">
        <is>
          <t>0                      QT 0260000M  478e        2001</t>
        </is>
      </c>
      <c r="F1097" t="inlineStr">
        <is>
          <t>Exercise physiology : energy, nutrition, and human performance / William D. McArdle, Frank I. Katch, Victor L. Katch.</t>
        </is>
      </c>
      <c r="H1097" t="inlineStr">
        <is>
          <t>No</t>
        </is>
      </c>
      <c r="I1097" t="inlineStr">
        <is>
          <t>1</t>
        </is>
      </c>
      <c r="J1097" t="inlineStr">
        <is>
          <t>No</t>
        </is>
      </c>
      <c r="K1097" t="inlineStr">
        <is>
          <t>Yes</t>
        </is>
      </c>
      <c r="L1097" t="inlineStr">
        <is>
          <t>0</t>
        </is>
      </c>
      <c r="M1097" t="inlineStr">
        <is>
          <t>McArdle, William D.</t>
        </is>
      </c>
      <c r="N1097" t="inlineStr">
        <is>
          <t>Philadelphia : Lippincott Williams &amp; Wilkins, c2001.</t>
        </is>
      </c>
      <c r="O1097" t="inlineStr">
        <is>
          <t>2001</t>
        </is>
      </c>
      <c r="P1097" t="inlineStr">
        <is>
          <t>5th ed.</t>
        </is>
      </c>
      <c r="Q1097" t="inlineStr">
        <is>
          <t>eng</t>
        </is>
      </c>
      <c r="R1097" t="inlineStr">
        <is>
          <t>pau</t>
        </is>
      </c>
      <c r="T1097" t="inlineStr">
        <is>
          <t xml:space="preserve">QT </t>
        </is>
      </c>
      <c r="U1097" t="n">
        <v>1</v>
      </c>
      <c r="V1097" t="n">
        <v>1</v>
      </c>
      <c r="W1097" t="inlineStr">
        <is>
          <t>2002-06-10</t>
        </is>
      </c>
      <c r="X1097" t="inlineStr">
        <is>
          <t>2002-06-10</t>
        </is>
      </c>
      <c r="Y1097" t="inlineStr">
        <is>
          <t>2001-12-13</t>
        </is>
      </c>
      <c r="Z1097" t="inlineStr">
        <is>
          <t>2001-12-13</t>
        </is>
      </c>
      <c r="AA1097" t="n">
        <v>555</v>
      </c>
      <c r="AB1097" t="n">
        <v>383</v>
      </c>
      <c r="AC1097" t="n">
        <v>1474</v>
      </c>
      <c r="AD1097" t="n">
        <v>3</v>
      </c>
      <c r="AE1097" t="n">
        <v>11</v>
      </c>
      <c r="AF1097" t="n">
        <v>13</v>
      </c>
      <c r="AG1097" t="n">
        <v>44</v>
      </c>
      <c r="AH1097" t="n">
        <v>4</v>
      </c>
      <c r="AI1097" t="n">
        <v>23</v>
      </c>
      <c r="AJ1097" t="n">
        <v>4</v>
      </c>
      <c r="AK1097" t="n">
        <v>6</v>
      </c>
      <c r="AL1097" t="n">
        <v>4</v>
      </c>
      <c r="AM1097" t="n">
        <v>15</v>
      </c>
      <c r="AN1097" t="n">
        <v>2</v>
      </c>
      <c r="AO1097" t="n">
        <v>8</v>
      </c>
      <c r="AP1097" t="n">
        <v>0</v>
      </c>
      <c r="AQ1097" t="n">
        <v>0</v>
      </c>
      <c r="AR1097" t="inlineStr">
        <is>
          <t>No</t>
        </is>
      </c>
      <c r="AS1097" t="inlineStr">
        <is>
          <t>No</t>
        </is>
      </c>
      <c r="AU1097">
        <f>HYPERLINK("https://creighton-primo.hosted.exlibrisgroup.com/primo-explore/search?tab=default_tab&amp;search_scope=EVERYTHING&amp;vid=01CRU&amp;lang=en_US&amp;offset=0&amp;query=any,contains,991000295319702656","Catalog Record")</f>
        <v/>
      </c>
      <c r="AV1097">
        <f>HYPERLINK("http://www.worldcat.org/oclc/46566007","WorldCat Record")</f>
        <v/>
      </c>
    </row>
    <row r="1098">
      <c r="D1098" t="inlineStr">
        <is>
          <t>QT 260 N854s 1993</t>
        </is>
      </c>
      <c r="E1098" t="inlineStr">
        <is>
          <t>0                      QT 0260000N  854s        1993</t>
        </is>
      </c>
      <c r="F1098" t="inlineStr">
        <is>
          <t>Sports injuries : diagnosis and management for physiotherapists / Christopher M. Norris.</t>
        </is>
      </c>
      <c r="H1098" t="inlineStr">
        <is>
          <t>No</t>
        </is>
      </c>
      <c r="I1098" t="inlineStr">
        <is>
          <t>1</t>
        </is>
      </c>
      <c r="J1098" t="inlineStr">
        <is>
          <t>No</t>
        </is>
      </c>
      <c r="K1098" t="inlineStr">
        <is>
          <t>No</t>
        </is>
      </c>
      <c r="L1098" t="inlineStr">
        <is>
          <t>0</t>
        </is>
      </c>
      <c r="M1098" t="inlineStr">
        <is>
          <t>Norris, Christopher M.</t>
        </is>
      </c>
      <c r="N1098" t="inlineStr">
        <is>
          <t>Oxford ; Boston : Butterworth-Heinemann, c1993.</t>
        </is>
      </c>
      <c r="O1098" t="inlineStr">
        <is>
          <t>1993</t>
        </is>
      </c>
      <c r="Q1098" t="inlineStr">
        <is>
          <t>eng</t>
        </is>
      </c>
      <c r="R1098" t="inlineStr">
        <is>
          <t>enk</t>
        </is>
      </c>
      <c r="T1098" t="inlineStr">
        <is>
          <t xml:space="preserve">QT </t>
        </is>
      </c>
      <c r="U1098" t="n">
        <v>60</v>
      </c>
      <c r="V1098" t="n">
        <v>60</v>
      </c>
      <c r="W1098" t="inlineStr">
        <is>
          <t>2001-06-30</t>
        </is>
      </c>
      <c r="X1098" t="inlineStr">
        <is>
          <t>2001-06-30</t>
        </is>
      </c>
      <c r="Y1098" t="inlineStr">
        <is>
          <t>1993-09-02</t>
        </is>
      </c>
      <c r="Z1098" t="inlineStr">
        <is>
          <t>1993-09-02</t>
        </is>
      </c>
      <c r="AA1098" t="n">
        <v>179</v>
      </c>
      <c r="AB1098" t="n">
        <v>100</v>
      </c>
      <c r="AC1098" t="n">
        <v>351</v>
      </c>
      <c r="AD1098" t="n">
        <v>1</v>
      </c>
      <c r="AE1098" t="n">
        <v>1</v>
      </c>
      <c r="AF1098" t="n">
        <v>2</v>
      </c>
      <c r="AG1098" t="n">
        <v>12</v>
      </c>
      <c r="AH1098" t="n">
        <v>1</v>
      </c>
      <c r="AI1098" t="n">
        <v>8</v>
      </c>
      <c r="AJ1098" t="n">
        <v>1</v>
      </c>
      <c r="AK1098" t="n">
        <v>2</v>
      </c>
      <c r="AL1098" t="n">
        <v>1</v>
      </c>
      <c r="AM1098" t="n">
        <v>5</v>
      </c>
      <c r="AN1098" t="n">
        <v>0</v>
      </c>
      <c r="AO1098" t="n">
        <v>0</v>
      </c>
      <c r="AP1098" t="n">
        <v>0</v>
      </c>
      <c r="AQ1098" t="n">
        <v>0</v>
      </c>
      <c r="AR1098" t="inlineStr">
        <is>
          <t>No</t>
        </is>
      </c>
      <c r="AS1098" t="inlineStr">
        <is>
          <t>Yes</t>
        </is>
      </c>
      <c r="AT1098">
        <f>HYPERLINK("http://catalog.hathitrust.org/Record/002643292","HathiTrust Record")</f>
        <v/>
      </c>
      <c r="AU1098">
        <f>HYPERLINK("https://creighton-primo.hosted.exlibrisgroup.com/primo-explore/search?tab=default_tab&amp;search_scope=EVERYTHING&amp;vid=01CRU&amp;lang=en_US&amp;offset=0&amp;query=any,contains,991001513069702656","Catalog Record")</f>
        <v/>
      </c>
      <c r="AV1098">
        <f>HYPERLINK("http://www.worldcat.org/oclc/26096378","WorldCat Record")</f>
        <v/>
      </c>
    </row>
    <row r="1099">
      <c r="D1099" t="inlineStr">
        <is>
          <t>QT 260 O77 1994</t>
        </is>
      </c>
      <c r="E1099" t="inlineStr">
        <is>
          <t>0                      QT 0260000O  77          1994</t>
        </is>
      </c>
      <c r="F1099" t="inlineStr">
        <is>
          <t>Orthopaedic sports medicine : principles and practice / [edited by] Jesse C. DeLee, David Drez, Jr.</t>
        </is>
      </c>
      <c r="G1099" t="inlineStr">
        <is>
          <t>V. 1</t>
        </is>
      </c>
      <c r="H1099" t="inlineStr">
        <is>
          <t>Yes</t>
        </is>
      </c>
      <c r="I1099" t="inlineStr">
        <is>
          <t>1</t>
        </is>
      </c>
      <c r="J1099" t="inlineStr">
        <is>
          <t>No</t>
        </is>
      </c>
      <c r="K1099" t="inlineStr">
        <is>
          <t>No</t>
        </is>
      </c>
      <c r="L1099" t="inlineStr">
        <is>
          <t>0</t>
        </is>
      </c>
      <c r="N1099" t="inlineStr">
        <is>
          <t>Philadelphia : W.B. Saunders, c1994.</t>
        </is>
      </c>
      <c r="O1099" t="inlineStr">
        <is>
          <t>1994</t>
        </is>
      </c>
      <c r="Q1099" t="inlineStr">
        <is>
          <t>eng</t>
        </is>
      </c>
      <c r="R1099" t="inlineStr">
        <is>
          <t>pau</t>
        </is>
      </c>
      <c r="T1099" t="inlineStr">
        <is>
          <t xml:space="preserve">QT </t>
        </is>
      </c>
      <c r="U1099" t="n">
        <v>11</v>
      </c>
      <c r="V1099" t="n">
        <v>24</v>
      </c>
      <c r="W1099" t="inlineStr">
        <is>
          <t>2000-11-10</t>
        </is>
      </c>
      <c r="X1099" t="inlineStr">
        <is>
          <t>2000-11-10</t>
        </is>
      </c>
      <c r="Y1099" t="inlineStr">
        <is>
          <t>1995-08-21</t>
        </is>
      </c>
      <c r="Z1099" t="inlineStr">
        <is>
          <t>1995-08-21</t>
        </is>
      </c>
      <c r="AA1099" t="n">
        <v>232</v>
      </c>
      <c r="AB1099" t="n">
        <v>166</v>
      </c>
      <c r="AC1099" t="n">
        <v>168</v>
      </c>
      <c r="AD1099" t="n">
        <v>1</v>
      </c>
      <c r="AE1099" t="n">
        <v>1</v>
      </c>
      <c r="AF1099" t="n">
        <v>4</v>
      </c>
      <c r="AG1099" t="n">
        <v>4</v>
      </c>
      <c r="AH1099" t="n">
        <v>4</v>
      </c>
      <c r="AI1099" t="n">
        <v>4</v>
      </c>
      <c r="AJ1099" t="n">
        <v>0</v>
      </c>
      <c r="AK1099" t="n">
        <v>0</v>
      </c>
      <c r="AL1099" t="n">
        <v>1</v>
      </c>
      <c r="AM1099" t="n">
        <v>1</v>
      </c>
      <c r="AN1099" t="n">
        <v>0</v>
      </c>
      <c r="AO1099" t="n">
        <v>0</v>
      </c>
      <c r="AP1099" t="n">
        <v>0</v>
      </c>
      <c r="AQ1099" t="n">
        <v>0</v>
      </c>
      <c r="AR1099" t="inlineStr">
        <is>
          <t>No</t>
        </is>
      </c>
      <c r="AS1099" t="inlineStr">
        <is>
          <t>Yes</t>
        </is>
      </c>
      <c r="AT1099">
        <f>HYPERLINK("http://catalog.hathitrust.org/Record/002795480","HathiTrust Record")</f>
        <v/>
      </c>
      <c r="AU1099">
        <f>HYPERLINK("https://creighton-primo.hosted.exlibrisgroup.com/primo-explore/search?tab=default_tab&amp;search_scope=EVERYTHING&amp;vid=01CRU&amp;lang=en_US&amp;offset=0&amp;query=any,contains,991001404519702656","Catalog Record")</f>
        <v/>
      </c>
      <c r="AV1099">
        <f>HYPERLINK("http://www.worldcat.org/oclc/28548818","WorldCat Record")</f>
        <v/>
      </c>
    </row>
    <row r="1100">
      <c r="D1100" t="inlineStr">
        <is>
          <t>QT 260 O77 1994</t>
        </is>
      </c>
      <c r="E1100" t="inlineStr">
        <is>
          <t>0                      QT 0260000O  77          1994</t>
        </is>
      </c>
      <c r="F1100" t="inlineStr">
        <is>
          <t>Orthopaedic sports medicine : principles and practice / [edited by] Jesse C. DeLee, David Drez, Jr.</t>
        </is>
      </c>
      <c r="G1100" t="inlineStr">
        <is>
          <t>V. 2</t>
        </is>
      </c>
      <c r="H1100" t="inlineStr">
        <is>
          <t>Yes</t>
        </is>
      </c>
      <c r="I1100" t="inlineStr">
        <is>
          <t>1</t>
        </is>
      </c>
      <c r="J1100" t="inlineStr">
        <is>
          <t>No</t>
        </is>
      </c>
      <c r="K1100" t="inlineStr">
        <is>
          <t>No</t>
        </is>
      </c>
      <c r="L1100" t="inlineStr">
        <is>
          <t>0</t>
        </is>
      </c>
      <c r="N1100" t="inlineStr">
        <is>
          <t>Philadelphia : W.B. Saunders, c1994.</t>
        </is>
      </c>
      <c r="O1100" t="inlineStr">
        <is>
          <t>1994</t>
        </is>
      </c>
      <c r="Q1100" t="inlineStr">
        <is>
          <t>eng</t>
        </is>
      </c>
      <c r="R1100" t="inlineStr">
        <is>
          <t>pau</t>
        </is>
      </c>
      <c r="T1100" t="inlineStr">
        <is>
          <t xml:space="preserve">QT </t>
        </is>
      </c>
      <c r="U1100" t="n">
        <v>11</v>
      </c>
      <c r="V1100" t="n">
        <v>24</v>
      </c>
      <c r="W1100" t="inlineStr">
        <is>
          <t>1998-06-17</t>
        </is>
      </c>
      <c r="X1100" t="inlineStr">
        <is>
          <t>2000-11-10</t>
        </is>
      </c>
      <c r="Y1100" t="inlineStr">
        <is>
          <t>1995-08-21</t>
        </is>
      </c>
      <c r="Z1100" t="inlineStr">
        <is>
          <t>1995-08-21</t>
        </is>
      </c>
      <c r="AA1100" t="n">
        <v>232</v>
      </c>
      <c r="AB1100" t="n">
        <v>166</v>
      </c>
      <c r="AC1100" t="n">
        <v>168</v>
      </c>
      <c r="AD1100" t="n">
        <v>1</v>
      </c>
      <c r="AE1100" t="n">
        <v>1</v>
      </c>
      <c r="AF1100" t="n">
        <v>4</v>
      </c>
      <c r="AG1100" t="n">
        <v>4</v>
      </c>
      <c r="AH1100" t="n">
        <v>4</v>
      </c>
      <c r="AI1100" t="n">
        <v>4</v>
      </c>
      <c r="AJ1100" t="n">
        <v>0</v>
      </c>
      <c r="AK1100" t="n">
        <v>0</v>
      </c>
      <c r="AL1100" t="n">
        <v>1</v>
      </c>
      <c r="AM1100" t="n">
        <v>1</v>
      </c>
      <c r="AN1100" t="n">
        <v>0</v>
      </c>
      <c r="AO1100" t="n">
        <v>0</v>
      </c>
      <c r="AP1100" t="n">
        <v>0</v>
      </c>
      <c r="AQ1100" t="n">
        <v>0</v>
      </c>
      <c r="AR1100" t="inlineStr">
        <is>
          <t>No</t>
        </is>
      </c>
      <c r="AS1100" t="inlineStr">
        <is>
          <t>Yes</t>
        </is>
      </c>
      <c r="AT1100">
        <f>HYPERLINK("http://catalog.hathitrust.org/Record/002795480","HathiTrust Record")</f>
        <v/>
      </c>
      <c r="AU1100">
        <f>HYPERLINK("https://creighton-primo.hosted.exlibrisgroup.com/primo-explore/search?tab=default_tab&amp;search_scope=EVERYTHING&amp;vid=01CRU&amp;lang=en_US&amp;offset=0&amp;query=any,contains,991001404519702656","Catalog Record")</f>
        <v/>
      </c>
      <c r="AV1100">
        <f>HYPERLINK("http://www.worldcat.org/oclc/28548818","WorldCat Record")</f>
        <v/>
      </c>
    </row>
    <row r="1101">
      <c r="D1101" t="inlineStr">
        <is>
          <t>QT 260 O77 1994</t>
        </is>
      </c>
      <c r="E1101" t="inlineStr">
        <is>
          <t>0                      QT 0260000O  77          1994</t>
        </is>
      </c>
      <c r="F1101" t="inlineStr">
        <is>
          <t>Orthopaedic sports medicine : principles and practice / [edited by] Jesse C. DeLee, David Drez, Jr.</t>
        </is>
      </c>
      <c r="G1101" t="inlineStr">
        <is>
          <t>V. 3</t>
        </is>
      </c>
      <c r="H1101" t="inlineStr">
        <is>
          <t>Yes</t>
        </is>
      </c>
      <c r="I1101" t="inlineStr">
        <is>
          <t>1</t>
        </is>
      </c>
      <c r="J1101" t="inlineStr">
        <is>
          <t>No</t>
        </is>
      </c>
      <c r="K1101" t="inlineStr">
        <is>
          <t>No</t>
        </is>
      </c>
      <c r="L1101" t="inlineStr">
        <is>
          <t>0</t>
        </is>
      </c>
      <c r="N1101" t="inlineStr">
        <is>
          <t>Philadelphia : W.B. Saunders, c1994.</t>
        </is>
      </c>
      <c r="O1101" t="inlineStr">
        <is>
          <t>1994</t>
        </is>
      </c>
      <c r="Q1101" t="inlineStr">
        <is>
          <t>eng</t>
        </is>
      </c>
      <c r="R1101" t="inlineStr">
        <is>
          <t>pau</t>
        </is>
      </c>
      <c r="T1101" t="inlineStr">
        <is>
          <t xml:space="preserve">QT </t>
        </is>
      </c>
      <c r="U1101" t="n">
        <v>2</v>
      </c>
      <c r="V1101" t="n">
        <v>24</v>
      </c>
      <c r="W1101" t="inlineStr">
        <is>
          <t>1995-09-12</t>
        </is>
      </c>
      <c r="X1101" t="inlineStr">
        <is>
          <t>2000-11-10</t>
        </is>
      </c>
      <c r="Y1101" t="inlineStr">
        <is>
          <t>1995-08-21</t>
        </is>
      </c>
      <c r="Z1101" t="inlineStr">
        <is>
          <t>1995-08-21</t>
        </is>
      </c>
      <c r="AA1101" t="n">
        <v>232</v>
      </c>
      <c r="AB1101" t="n">
        <v>166</v>
      </c>
      <c r="AC1101" t="n">
        <v>168</v>
      </c>
      <c r="AD1101" t="n">
        <v>1</v>
      </c>
      <c r="AE1101" t="n">
        <v>1</v>
      </c>
      <c r="AF1101" t="n">
        <v>4</v>
      </c>
      <c r="AG1101" t="n">
        <v>4</v>
      </c>
      <c r="AH1101" t="n">
        <v>4</v>
      </c>
      <c r="AI1101" t="n">
        <v>4</v>
      </c>
      <c r="AJ1101" t="n">
        <v>0</v>
      </c>
      <c r="AK1101" t="n">
        <v>0</v>
      </c>
      <c r="AL1101" t="n">
        <v>1</v>
      </c>
      <c r="AM1101" t="n">
        <v>1</v>
      </c>
      <c r="AN1101" t="n">
        <v>0</v>
      </c>
      <c r="AO1101" t="n">
        <v>0</v>
      </c>
      <c r="AP1101" t="n">
        <v>0</v>
      </c>
      <c r="AQ1101" t="n">
        <v>0</v>
      </c>
      <c r="AR1101" t="inlineStr">
        <is>
          <t>No</t>
        </is>
      </c>
      <c r="AS1101" t="inlineStr">
        <is>
          <t>Yes</t>
        </is>
      </c>
      <c r="AT1101">
        <f>HYPERLINK("http://catalog.hathitrust.org/Record/002795480","HathiTrust Record")</f>
        <v/>
      </c>
      <c r="AU1101">
        <f>HYPERLINK("https://creighton-primo.hosted.exlibrisgroup.com/primo-explore/search?tab=default_tab&amp;search_scope=EVERYTHING&amp;vid=01CRU&amp;lang=en_US&amp;offset=0&amp;query=any,contains,991001404519702656","Catalog Record")</f>
        <v/>
      </c>
      <c r="AV1101">
        <f>HYPERLINK("http://www.worldcat.org/oclc/28548818","WorldCat Record")</f>
        <v/>
      </c>
    </row>
    <row r="1102">
      <c r="D1102" t="inlineStr">
        <is>
          <t>QT 260 P467 1999 v.11</t>
        </is>
      </c>
      <c r="E1102" t="inlineStr">
        <is>
          <t>0                      QT 0260000P  467         1999                                        v.11</t>
        </is>
      </c>
      <c r="F1102" t="inlineStr">
        <is>
          <t>Exercise, nutrition, and weight control / edited by David R. Lamb, Robert Murray.</t>
        </is>
      </c>
      <c r="G1102" t="inlineStr">
        <is>
          <t>V.11</t>
        </is>
      </c>
      <c r="H1102" t="inlineStr">
        <is>
          <t>No</t>
        </is>
      </c>
      <c r="I1102" t="inlineStr">
        <is>
          <t>1</t>
        </is>
      </c>
      <c r="J1102" t="inlineStr">
        <is>
          <t>No</t>
        </is>
      </c>
      <c r="K1102" t="inlineStr">
        <is>
          <t>No</t>
        </is>
      </c>
      <c r="L1102" t="inlineStr">
        <is>
          <t>0</t>
        </is>
      </c>
      <c r="N1102" t="inlineStr">
        <is>
          <t>Carmel, IN : Cooper Pub. Group, c1998.</t>
        </is>
      </c>
      <c r="O1102" t="inlineStr">
        <is>
          <t>1998</t>
        </is>
      </c>
      <c r="Q1102" t="inlineStr">
        <is>
          <t>eng</t>
        </is>
      </c>
      <c r="R1102" t="inlineStr">
        <is>
          <t>inu</t>
        </is>
      </c>
      <c r="S1102" t="inlineStr">
        <is>
          <t>Perspectives in exercise science and sports medicine ; v. 11</t>
        </is>
      </c>
      <c r="T1102" t="inlineStr">
        <is>
          <t xml:space="preserve">QT </t>
        </is>
      </c>
      <c r="U1102" t="n">
        <v>5</v>
      </c>
      <c r="V1102" t="n">
        <v>5</v>
      </c>
      <c r="W1102" t="inlineStr">
        <is>
          <t>2006-04-18</t>
        </is>
      </c>
      <c r="X1102" t="inlineStr">
        <is>
          <t>2006-04-18</t>
        </is>
      </c>
      <c r="Y1102" t="inlineStr">
        <is>
          <t>1999-10-28</t>
        </is>
      </c>
      <c r="Z1102" t="inlineStr">
        <is>
          <t>1999-10-28</t>
        </is>
      </c>
      <c r="AA1102" t="n">
        <v>88</v>
      </c>
      <c r="AB1102" t="n">
        <v>69</v>
      </c>
      <c r="AC1102" t="n">
        <v>90</v>
      </c>
      <c r="AD1102" t="n">
        <v>1</v>
      </c>
      <c r="AE1102" t="n">
        <v>1</v>
      </c>
      <c r="AF1102" t="n">
        <v>1</v>
      </c>
      <c r="AG1102" t="n">
        <v>2</v>
      </c>
      <c r="AH1102" t="n">
        <v>1</v>
      </c>
      <c r="AI1102" t="n">
        <v>1</v>
      </c>
      <c r="AJ1102" t="n">
        <v>0</v>
      </c>
      <c r="AK1102" t="n">
        <v>1</v>
      </c>
      <c r="AL1102" t="n">
        <v>0</v>
      </c>
      <c r="AM1102" t="n">
        <v>0</v>
      </c>
      <c r="AN1102" t="n">
        <v>0</v>
      </c>
      <c r="AO1102" t="n">
        <v>0</v>
      </c>
      <c r="AP1102" t="n">
        <v>0</v>
      </c>
      <c r="AQ1102" t="n">
        <v>0</v>
      </c>
      <c r="AR1102" t="inlineStr">
        <is>
          <t>No</t>
        </is>
      </c>
      <c r="AS1102" t="inlineStr">
        <is>
          <t>No</t>
        </is>
      </c>
      <c r="AU1102">
        <f>HYPERLINK("https://creighton-primo.hosted.exlibrisgroup.com/primo-explore/search?tab=default_tab&amp;search_scope=EVERYTHING&amp;vid=01CRU&amp;lang=en_US&amp;offset=0&amp;query=any,contains,991000797939702656","Catalog Record")</f>
        <v/>
      </c>
      <c r="AV1102">
        <f>HYPERLINK("http://www.worldcat.org/oclc/39297302","WorldCat Record")</f>
        <v/>
      </c>
    </row>
    <row r="1103">
      <c r="D1103" t="inlineStr">
        <is>
          <t>QT 260 P5786 1991</t>
        </is>
      </c>
      <c r="E1103" t="inlineStr">
        <is>
          <t>0                      QT 0260000P  5786        1991</t>
        </is>
      </c>
      <c r="F1103" t="inlineStr">
        <is>
          <t>Physical rehabilitation of the injured athlete / [edited by] James R. Andrews, Gary L. Harrelson.</t>
        </is>
      </c>
      <c r="H1103" t="inlineStr">
        <is>
          <t>No</t>
        </is>
      </c>
      <c r="I1103" t="inlineStr">
        <is>
          <t>1</t>
        </is>
      </c>
      <c r="J1103" t="inlineStr">
        <is>
          <t>No</t>
        </is>
      </c>
      <c r="K1103" t="inlineStr">
        <is>
          <t>Yes</t>
        </is>
      </c>
      <c r="L1103" t="inlineStr">
        <is>
          <t>1</t>
        </is>
      </c>
      <c r="N1103" t="inlineStr">
        <is>
          <t>Philadelphia : Saunders, c1991.</t>
        </is>
      </c>
      <c r="O1103" t="inlineStr">
        <is>
          <t>1991</t>
        </is>
      </c>
      <c r="Q1103" t="inlineStr">
        <is>
          <t>eng</t>
        </is>
      </c>
      <c r="R1103" t="inlineStr">
        <is>
          <t>pau</t>
        </is>
      </c>
      <c r="T1103" t="inlineStr">
        <is>
          <t xml:space="preserve">QT </t>
        </is>
      </c>
      <c r="U1103" t="n">
        <v>26</v>
      </c>
      <c r="V1103" t="n">
        <v>26</v>
      </c>
      <c r="W1103" t="inlineStr">
        <is>
          <t>2004-06-28</t>
        </is>
      </c>
      <c r="X1103" t="inlineStr">
        <is>
          <t>2004-06-28</t>
        </is>
      </c>
      <c r="Y1103" t="inlineStr">
        <is>
          <t>1993-08-05</t>
        </is>
      </c>
      <c r="Z1103" t="inlineStr">
        <is>
          <t>1993-08-05</t>
        </is>
      </c>
      <c r="AA1103" t="n">
        <v>233</v>
      </c>
      <c r="AB1103" t="n">
        <v>183</v>
      </c>
      <c r="AC1103" t="n">
        <v>780</v>
      </c>
      <c r="AD1103" t="n">
        <v>4</v>
      </c>
      <c r="AE1103" t="n">
        <v>9</v>
      </c>
      <c r="AF1103" t="n">
        <v>7</v>
      </c>
      <c r="AG1103" t="n">
        <v>32</v>
      </c>
      <c r="AH1103" t="n">
        <v>1</v>
      </c>
      <c r="AI1103" t="n">
        <v>15</v>
      </c>
      <c r="AJ1103" t="n">
        <v>2</v>
      </c>
      <c r="AK1103" t="n">
        <v>6</v>
      </c>
      <c r="AL1103" t="n">
        <v>5</v>
      </c>
      <c r="AM1103" t="n">
        <v>11</v>
      </c>
      <c r="AN1103" t="n">
        <v>2</v>
      </c>
      <c r="AO1103" t="n">
        <v>7</v>
      </c>
      <c r="AP1103" t="n">
        <v>0</v>
      </c>
      <c r="AQ1103" t="n">
        <v>0</v>
      </c>
      <c r="AR1103" t="inlineStr">
        <is>
          <t>No</t>
        </is>
      </c>
      <c r="AS1103" t="inlineStr">
        <is>
          <t>Yes</t>
        </is>
      </c>
      <c r="AT1103">
        <f>HYPERLINK("http://catalog.hathitrust.org/Record/002492984","HathiTrust Record")</f>
        <v/>
      </c>
      <c r="AU1103">
        <f>HYPERLINK("https://creighton-primo.hosted.exlibrisgroup.com/primo-explore/search?tab=default_tab&amp;search_scope=EVERYTHING&amp;vid=01CRU&amp;lang=en_US&amp;offset=0&amp;query=any,contains,991001348909702656","Catalog Record")</f>
        <v/>
      </c>
      <c r="AV1103">
        <f>HYPERLINK("http://www.worldcat.org/oclc/22859483","WorldCat Record")</f>
        <v/>
      </c>
    </row>
    <row r="1104">
      <c r="D1104" t="inlineStr">
        <is>
          <t>QT 260 P957 1984</t>
        </is>
      </c>
      <c r="E1104" t="inlineStr">
        <is>
          <t>0                      QT 0260000P  957         1984</t>
        </is>
      </c>
      <c r="F1104" t="inlineStr">
        <is>
          <t>Principles of sports medicine / edited by W. Norman Scott, Barton Nisonson, James A. Nicholas.</t>
        </is>
      </c>
      <c r="H1104" t="inlineStr">
        <is>
          <t>No</t>
        </is>
      </c>
      <c r="I1104" t="inlineStr">
        <is>
          <t>1</t>
        </is>
      </c>
      <c r="J1104" t="inlineStr">
        <is>
          <t>No</t>
        </is>
      </c>
      <c r="K1104" t="inlineStr">
        <is>
          <t>No</t>
        </is>
      </c>
      <c r="L1104" t="inlineStr">
        <is>
          <t>0</t>
        </is>
      </c>
      <c r="N1104" t="inlineStr">
        <is>
          <t>Baltimore : Williams &amp; Wilkins, c1984.</t>
        </is>
      </c>
      <c r="O1104" t="inlineStr">
        <is>
          <t>1984</t>
        </is>
      </c>
      <c r="Q1104" t="inlineStr">
        <is>
          <t>eng</t>
        </is>
      </c>
      <c r="R1104" t="inlineStr">
        <is>
          <t>mdu</t>
        </is>
      </c>
      <c r="T1104" t="inlineStr">
        <is>
          <t xml:space="preserve">QT </t>
        </is>
      </c>
      <c r="U1104" t="n">
        <v>7</v>
      </c>
      <c r="V1104" t="n">
        <v>7</v>
      </c>
      <c r="W1104" t="inlineStr">
        <is>
          <t>2008-02-21</t>
        </is>
      </c>
      <c r="X1104" t="inlineStr">
        <is>
          <t>2008-02-21</t>
        </is>
      </c>
      <c r="Y1104" t="inlineStr">
        <is>
          <t>1988-01-20</t>
        </is>
      </c>
      <c r="Z1104" t="inlineStr">
        <is>
          <t>1988-01-20</t>
        </is>
      </c>
      <c r="AA1104" t="n">
        <v>318</v>
      </c>
      <c r="AB1104" t="n">
        <v>253</v>
      </c>
      <c r="AC1104" t="n">
        <v>255</v>
      </c>
      <c r="AD1104" t="n">
        <v>3</v>
      </c>
      <c r="AE1104" t="n">
        <v>3</v>
      </c>
      <c r="AF1104" t="n">
        <v>4</v>
      </c>
      <c r="AG1104" t="n">
        <v>4</v>
      </c>
      <c r="AH1104" t="n">
        <v>1</v>
      </c>
      <c r="AI1104" t="n">
        <v>1</v>
      </c>
      <c r="AJ1104" t="n">
        <v>1</v>
      </c>
      <c r="AK1104" t="n">
        <v>1</v>
      </c>
      <c r="AL1104" t="n">
        <v>0</v>
      </c>
      <c r="AM1104" t="n">
        <v>0</v>
      </c>
      <c r="AN1104" t="n">
        <v>2</v>
      </c>
      <c r="AO1104" t="n">
        <v>2</v>
      </c>
      <c r="AP1104" t="n">
        <v>0</v>
      </c>
      <c r="AQ1104" t="n">
        <v>0</v>
      </c>
      <c r="AR1104" t="inlineStr">
        <is>
          <t>No</t>
        </is>
      </c>
      <c r="AS1104" t="inlineStr">
        <is>
          <t>Yes</t>
        </is>
      </c>
      <c r="AT1104">
        <f>HYPERLINK("http://catalog.hathitrust.org/Record/000206949","HathiTrust Record")</f>
        <v/>
      </c>
      <c r="AU1104">
        <f>HYPERLINK("https://creighton-primo.hosted.exlibrisgroup.com/primo-explore/search?tab=default_tab&amp;search_scope=EVERYTHING&amp;vid=01CRU&amp;lang=en_US&amp;offset=0&amp;query=any,contains,991000861429702656","Catalog Record")</f>
        <v/>
      </c>
      <c r="AV1104">
        <f>HYPERLINK("http://www.worldcat.org/oclc/9370965","WorldCat Record")</f>
        <v/>
      </c>
    </row>
    <row r="1105">
      <c r="D1105" t="inlineStr">
        <is>
          <t>QT 260 S681 1993</t>
        </is>
      </c>
      <c r="E1105" t="inlineStr">
        <is>
          <t>0                      QT 0260000S  681         1993</t>
        </is>
      </c>
      <c r="F1105" t="inlineStr">
        <is>
          <t>The Soft tissues : trauma and sports injuries / edited by G.R. McLatchie, C.M.E. Lennox ; assistant editors, E.C. Percy and J. Davies.</t>
        </is>
      </c>
      <c r="H1105" t="inlineStr">
        <is>
          <t>No</t>
        </is>
      </c>
      <c r="I1105" t="inlineStr">
        <is>
          <t>1</t>
        </is>
      </c>
      <c r="J1105" t="inlineStr">
        <is>
          <t>No</t>
        </is>
      </c>
      <c r="K1105" t="inlineStr">
        <is>
          <t>No</t>
        </is>
      </c>
      <c r="L1105" t="inlineStr">
        <is>
          <t>0</t>
        </is>
      </c>
      <c r="N1105" t="inlineStr">
        <is>
          <t>Oxford ; Boston : Butterworth Heinemann, c1993.</t>
        </is>
      </c>
      <c r="O1105" t="inlineStr">
        <is>
          <t>1993</t>
        </is>
      </c>
      <c r="Q1105" t="inlineStr">
        <is>
          <t>eng</t>
        </is>
      </c>
      <c r="R1105" t="inlineStr">
        <is>
          <t>enk</t>
        </is>
      </c>
      <c r="T1105" t="inlineStr">
        <is>
          <t xml:space="preserve">QT </t>
        </is>
      </c>
      <c r="U1105" t="n">
        <v>19</v>
      </c>
      <c r="V1105" t="n">
        <v>19</v>
      </c>
      <c r="W1105" t="inlineStr">
        <is>
          <t>2002-08-10</t>
        </is>
      </c>
      <c r="X1105" t="inlineStr">
        <is>
          <t>2002-08-10</t>
        </is>
      </c>
      <c r="Y1105" t="inlineStr">
        <is>
          <t>1994-01-11</t>
        </is>
      </c>
      <c r="Z1105" t="inlineStr">
        <is>
          <t>1994-01-11</t>
        </is>
      </c>
      <c r="AA1105" t="n">
        <v>173</v>
      </c>
      <c r="AB1105" t="n">
        <v>90</v>
      </c>
      <c r="AC1105" t="n">
        <v>148</v>
      </c>
      <c r="AD1105" t="n">
        <v>1</v>
      </c>
      <c r="AE1105" t="n">
        <v>1</v>
      </c>
      <c r="AF1105" t="n">
        <v>1</v>
      </c>
      <c r="AG1105" t="n">
        <v>5</v>
      </c>
      <c r="AH1105" t="n">
        <v>0</v>
      </c>
      <c r="AI1105" t="n">
        <v>2</v>
      </c>
      <c r="AJ1105" t="n">
        <v>1</v>
      </c>
      <c r="AK1105" t="n">
        <v>4</v>
      </c>
      <c r="AL1105" t="n">
        <v>0</v>
      </c>
      <c r="AM1105" t="n">
        <v>1</v>
      </c>
      <c r="AN1105" t="n">
        <v>0</v>
      </c>
      <c r="AO1105" t="n">
        <v>0</v>
      </c>
      <c r="AP1105" t="n">
        <v>0</v>
      </c>
      <c r="AQ1105" t="n">
        <v>0</v>
      </c>
      <c r="AR1105" t="inlineStr">
        <is>
          <t>No</t>
        </is>
      </c>
      <c r="AS1105" t="inlineStr">
        <is>
          <t>Yes</t>
        </is>
      </c>
      <c r="AT1105">
        <f>HYPERLINK("http://catalog.hathitrust.org/Record/002732747","HathiTrust Record")</f>
        <v/>
      </c>
      <c r="AU1105">
        <f>HYPERLINK("https://creighton-primo.hosted.exlibrisgroup.com/primo-explore/search?tab=default_tab&amp;search_scope=EVERYTHING&amp;vid=01CRU&amp;lang=en_US&amp;offset=0&amp;query=any,contains,991000652119702656","Catalog Record")</f>
        <v/>
      </c>
      <c r="AV1105">
        <f>HYPERLINK("http://www.worldcat.org/oclc/29320531","WorldCat Record")</f>
        <v/>
      </c>
    </row>
    <row r="1106">
      <c r="D1106" t="inlineStr">
        <is>
          <t>QT 260 S763 1991</t>
        </is>
      </c>
      <c r="E1106" t="inlineStr">
        <is>
          <t>0                      QT 0260000S  763         1991</t>
        </is>
      </c>
      <c r="F1106" t="inlineStr">
        <is>
          <t>Sports medicine / Richard H. Strauss, editor.</t>
        </is>
      </c>
      <c r="H1106" t="inlineStr">
        <is>
          <t>No</t>
        </is>
      </c>
      <c r="I1106" t="inlineStr">
        <is>
          <t>1</t>
        </is>
      </c>
      <c r="J1106" t="inlineStr">
        <is>
          <t>No</t>
        </is>
      </c>
      <c r="K1106" t="inlineStr">
        <is>
          <t>No</t>
        </is>
      </c>
      <c r="L1106" t="inlineStr">
        <is>
          <t>0</t>
        </is>
      </c>
      <c r="N1106" t="inlineStr">
        <is>
          <t>Philadelphia : Saunders, c1991.</t>
        </is>
      </c>
      <c r="O1106" t="inlineStr">
        <is>
          <t>1991</t>
        </is>
      </c>
      <c r="P1106" t="inlineStr">
        <is>
          <t>2nd ed.</t>
        </is>
      </c>
      <c r="Q1106" t="inlineStr">
        <is>
          <t>eng</t>
        </is>
      </c>
      <c r="R1106" t="inlineStr">
        <is>
          <t>pau</t>
        </is>
      </c>
      <c r="T1106" t="inlineStr">
        <is>
          <t xml:space="preserve">QT </t>
        </is>
      </c>
      <c r="U1106" t="n">
        <v>8</v>
      </c>
      <c r="V1106" t="n">
        <v>8</v>
      </c>
      <c r="W1106" t="inlineStr">
        <is>
          <t>1993-03-16</t>
        </is>
      </c>
      <c r="X1106" t="inlineStr">
        <is>
          <t>1993-03-16</t>
        </is>
      </c>
      <c r="Y1106" t="inlineStr">
        <is>
          <t>1993-02-23</t>
        </is>
      </c>
      <c r="Z1106" t="inlineStr">
        <is>
          <t>1993-02-23</t>
        </is>
      </c>
      <c r="AA1106" t="n">
        <v>385</v>
      </c>
      <c r="AB1106" t="n">
        <v>312</v>
      </c>
      <c r="AC1106" t="n">
        <v>473</v>
      </c>
      <c r="AD1106" t="n">
        <v>1</v>
      </c>
      <c r="AE1106" t="n">
        <v>1</v>
      </c>
      <c r="AF1106" t="n">
        <v>5</v>
      </c>
      <c r="AG1106" t="n">
        <v>11</v>
      </c>
      <c r="AH1106" t="n">
        <v>3</v>
      </c>
      <c r="AI1106" t="n">
        <v>7</v>
      </c>
      <c r="AJ1106" t="n">
        <v>1</v>
      </c>
      <c r="AK1106" t="n">
        <v>2</v>
      </c>
      <c r="AL1106" t="n">
        <v>2</v>
      </c>
      <c r="AM1106" t="n">
        <v>6</v>
      </c>
      <c r="AN1106" t="n">
        <v>0</v>
      </c>
      <c r="AO1106" t="n">
        <v>0</v>
      </c>
      <c r="AP1106" t="n">
        <v>0</v>
      </c>
      <c r="AQ1106" t="n">
        <v>0</v>
      </c>
      <c r="AR1106" t="inlineStr">
        <is>
          <t>No</t>
        </is>
      </c>
      <c r="AS1106" t="inlineStr">
        <is>
          <t>Yes</t>
        </is>
      </c>
      <c r="AT1106">
        <f>HYPERLINK("http://catalog.hathitrust.org/Record/002477324","HathiTrust Record")</f>
        <v/>
      </c>
      <c r="AU1106">
        <f>HYPERLINK("https://creighton-primo.hosted.exlibrisgroup.com/primo-explore/search?tab=default_tab&amp;search_scope=EVERYTHING&amp;vid=01CRU&amp;lang=en_US&amp;offset=0&amp;query=any,contains,991001431049702656","Catalog Record")</f>
        <v/>
      </c>
      <c r="AV1106">
        <f>HYPERLINK("http://www.worldcat.org/oclc/23583056","WorldCat Record")</f>
        <v/>
      </c>
    </row>
    <row r="1107">
      <c r="D1107" t="inlineStr">
        <is>
          <t>QT 260 S764 1986</t>
        </is>
      </c>
      <c r="E1107" t="inlineStr">
        <is>
          <t>0                      QT 0260000S  764         1986</t>
        </is>
      </c>
      <c r="F1107" t="inlineStr">
        <is>
          <t>Sports injuries and their treatment / edited by Basil Helal, John King and William Grange.</t>
        </is>
      </c>
      <c r="H1107" t="inlineStr">
        <is>
          <t>No</t>
        </is>
      </c>
      <c r="I1107" t="inlineStr">
        <is>
          <t>1</t>
        </is>
      </c>
      <c r="J1107" t="inlineStr">
        <is>
          <t>No</t>
        </is>
      </c>
      <c r="K1107" t="inlineStr">
        <is>
          <t>No</t>
        </is>
      </c>
      <c r="L1107" t="inlineStr">
        <is>
          <t>0</t>
        </is>
      </c>
      <c r="N1107" t="inlineStr">
        <is>
          <t>London : Chapman and Hall, c1986.</t>
        </is>
      </c>
      <c r="O1107" t="inlineStr">
        <is>
          <t>1986</t>
        </is>
      </c>
      <c r="Q1107" t="inlineStr">
        <is>
          <t>eng</t>
        </is>
      </c>
      <c r="R1107" t="inlineStr">
        <is>
          <t>enk</t>
        </is>
      </c>
      <c r="T1107" t="inlineStr">
        <is>
          <t xml:space="preserve">QT </t>
        </is>
      </c>
      <c r="U1107" t="n">
        <v>18</v>
      </c>
      <c r="V1107" t="n">
        <v>18</v>
      </c>
      <c r="W1107" t="inlineStr">
        <is>
          <t>1996-07-27</t>
        </is>
      </c>
      <c r="X1107" t="inlineStr">
        <is>
          <t>1996-07-27</t>
        </is>
      </c>
      <c r="Y1107" t="inlineStr">
        <is>
          <t>1988-05-13</t>
        </is>
      </c>
      <c r="Z1107" t="inlineStr">
        <is>
          <t>1988-05-13</t>
        </is>
      </c>
      <c r="AA1107" t="n">
        <v>267</v>
      </c>
      <c r="AB1107" t="n">
        <v>169</v>
      </c>
      <c r="AC1107" t="n">
        <v>169</v>
      </c>
      <c r="AD1107" t="n">
        <v>2</v>
      </c>
      <c r="AE1107" t="n">
        <v>2</v>
      </c>
      <c r="AF1107" t="n">
        <v>4</v>
      </c>
      <c r="AG1107" t="n">
        <v>4</v>
      </c>
      <c r="AH1107" t="n">
        <v>0</v>
      </c>
      <c r="AI1107" t="n">
        <v>0</v>
      </c>
      <c r="AJ1107" t="n">
        <v>1</v>
      </c>
      <c r="AK1107" t="n">
        <v>1</v>
      </c>
      <c r="AL1107" t="n">
        <v>2</v>
      </c>
      <c r="AM1107" t="n">
        <v>2</v>
      </c>
      <c r="AN1107" t="n">
        <v>1</v>
      </c>
      <c r="AO1107" t="n">
        <v>1</v>
      </c>
      <c r="AP1107" t="n">
        <v>0</v>
      </c>
      <c r="AQ1107" t="n">
        <v>0</v>
      </c>
      <c r="AR1107" t="inlineStr">
        <is>
          <t>No</t>
        </is>
      </c>
      <c r="AS1107" t="inlineStr">
        <is>
          <t>No</t>
        </is>
      </c>
      <c r="AU1107">
        <f>HYPERLINK("https://creighton-primo.hosted.exlibrisgroup.com/primo-explore/search?tab=default_tab&amp;search_scope=EVERYTHING&amp;vid=01CRU&amp;lang=en_US&amp;offset=0&amp;query=any,contains,991001326519702656","Catalog Record")</f>
        <v/>
      </c>
      <c r="AV1107">
        <f>HYPERLINK("http://www.worldcat.org/oclc/20897267","WorldCat Record")</f>
        <v/>
      </c>
    </row>
    <row r="1108">
      <c r="D1108" t="inlineStr">
        <is>
          <t>QT 260 S77017 1985</t>
        </is>
      </c>
      <c r="E1108" t="inlineStr">
        <is>
          <t>0                      QT 0260000S  77017       1985</t>
        </is>
      </c>
      <c r="F1108" t="inlineStr">
        <is>
          <t>Sports injuries : mechanisms, prevention, and treatment / editors, Richard C. Schneider, John C. Kennedy, Marcus L. Plant ; associate editors, Peter J. Fowler, Julian T. Hoff, Larry S. Matthews.</t>
        </is>
      </c>
      <c r="H1108" t="inlineStr">
        <is>
          <t>No</t>
        </is>
      </c>
      <c r="I1108" t="inlineStr">
        <is>
          <t>1</t>
        </is>
      </c>
      <c r="J1108" t="inlineStr">
        <is>
          <t>No</t>
        </is>
      </c>
      <c r="K1108" t="inlineStr">
        <is>
          <t>No</t>
        </is>
      </c>
      <c r="L1108" t="inlineStr">
        <is>
          <t>0</t>
        </is>
      </c>
      <c r="N1108" t="inlineStr">
        <is>
          <t>Baltimore : Williams &amp; Wilkins, c1985.</t>
        </is>
      </c>
      <c r="O1108" t="inlineStr">
        <is>
          <t>1985</t>
        </is>
      </c>
      <c r="Q1108" t="inlineStr">
        <is>
          <t>eng</t>
        </is>
      </c>
      <c r="R1108" t="inlineStr">
        <is>
          <t>xxu</t>
        </is>
      </c>
      <c r="T1108" t="inlineStr">
        <is>
          <t xml:space="preserve">QT </t>
        </is>
      </c>
      <c r="U1108" t="n">
        <v>25</v>
      </c>
      <c r="V1108" t="n">
        <v>25</v>
      </c>
      <c r="W1108" t="inlineStr">
        <is>
          <t>1998-04-26</t>
        </is>
      </c>
      <c r="X1108" t="inlineStr">
        <is>
          <t>1998-04-26</t>
        </is>
      </c>
      <c r="Y1108" t="inlineStr">
        <is>
          <t>1988-01-20</t>
        </is>
      </c>
      <c r="Z1108" t="inlineStr">
        <is>
          <t>1988-01-20</t>
        </is>
      </c>
      <c r="AA1108" t="n">
        <v>260</v>
      </c>
      <c r="AB1108" t="n">
        <v>205</v>
      </c>
      <c r="AC1108" t="n">
        <v>208</v>
      </c>
      <c r="AD1108" t="n">
        <v>1</v>
      </c>
      <c r="AE1108" t="n">
        <v>1</v>
      </c>
      <c r="AF1108" t="n">
        <v>4</v>
      </c>
      <c r="AG1108" t="n">
        <v>4</v>
      </c>
      <c r="AH1108" t="n">
        <v>1</v>
      </c>
      <c r="AI1108" t="n">
        <v>1</v>
      </c>
      <c r="AJ1108" t="n">
        <v>2</v>
      </c>
      <c r="AK1108" t="n">
        <v>2</v>
      </c>
      <c r="AL1108" t="n">
        <v>3</v>
      </c>
      <c r="AM1108" t="n">
        <v>3</v>
      </c>
      <c r="AN1108" t="n">
        <v>0</v>
      </c>
      <c r="AO1108" t="n">
        <v>0</v>
      </c>
      <c r="AP1108" t="n">
        <v>0</v>
      </c>
      <c r="AQ1108" t="n">
        <v>0</v>
      </c>
      <c r="AR1108" t="inlineStr">
        <is>
          <t>No</t>
        </is>
      </c>
      <c r="AS1108" t="inlineStr">
        <is>
          <t>Yes</t>
        </is>
      </c>
      <c r="AT1108">
        <f>HYPERLINK("http://catalog.hathitrust.org/Record/000346517","HathiTrust Record")</f>
        <v/>
      </c>
      <c r="AU1108">
        <f>HYPERLINK("https://creighton-primo.hosted.exlibrisgroup.com/primo-explore/search?tab=default_tab&amp;search_scope=EVERYTHING&amp;vid=01CRU&amp;lang=en_US&amp;offset=0&amp;query=any,contains,991000861509702656","Catalog Record")</f>
        <v/>
      </c>
      <c r="AV1108">
        <f>HYPERLINK("http://www.worldcat.org/oclc/10779683","WorldCat Record")</f>
        <v/>
      </c>
    </row>
    <row r="1109">
      <c r="D1109" t="inlineStr">
        <is>
          <t>QT 260 S7702 1981</t>
        </is>
      </c>
      <c r="E1109" t="inlineStr">
        <is>
          <t>0                      QT 0260000S  7702        1981</t>
        </is>
      </c>
      <c r="F1109" t="inlineStr">
        <is>
          <t>Sports injuries : the unthwarted epidemic / edited by Paul F. Vinger and Earl F. Hoerner.</t>
        </is>
      </c>
      <c r="H1109" t="inlineStr">
        <is>
          <t>No</t>
        </is>
      </c>
      <c r="I1109" t="inlineStr">
        <is>
          <t>1</t>
        </is>
      </c>
      <c r="J1109" t="inlineStr">
        <is>
          <t>Yes</t>
        </is>
      </c>
      <c r="K1109" t="inlineStr">
        <is>
          <t>No</t>
        </is>
      </c>
      <c r="L1109" t="inlineStr">
        <is>
          <t>0</t>
        </is>
      </c>
      <c r="N1109" t="inlineStr">
        <is>
          <t>Littleton, Mass. : PSG Pub. Co., c1981.</t>
        </is>
      </c>
      <c r="O1109" t="inlineStr">
        <is>
          <t>1981</t>
        </is>
      </c>
      <c r="Q1109" t="inlineStr">
        <is>
          <t>eng</t>
        </is>
      </c>
      <c r="R1109" t="inlineStr">
        <is>
          <t>xxu</t>
        </is>
      </c>
      <c r="T1109" t="inlineStr">
        <is>
          <t xml:space="preserve">QT </t>
        </is>
      </c>
      <c r="U1109" t="n">
        <v>18</v>
      </c>
      <c r="V1109" t="n">
        <v>18</v>
      </c>
      <c r="W1109" t="inlineStr">
        <is>
          <t>2000-12-12</t>
        </is>
      </c>
      <c r="X1109" t="inlineStr">
        <is>
          <t>2000-12-12</t>
        </is>
      </c>
      <c r="Y1109" t="inlineStr">
        <is>
          <t>1988-01-20</t>
        </is>
      </c>
      <c r="Z1109" t="inlineStr">
        <is>
          <t>1988-01-20</t>
        </is>
      </c>
      <c r="AA1109" t="n">
        <v>233</v>
      </c>
      <c r="AB1109" t="n">
        <v>199</v>
      </c>
      <c r="AC1109" t="n">
        <v>309</v>
      </c>
      <c r="AD1109" t="n">
        <v>3</v>
      </c>
      <c r="AE1109" t="n">
        <v>3</v>
      </c>
      <c r="AF1109" t="n">
        <v>8</v>
      </c>
      <c r="AG1109" t="n">
        <v>8</v>
      </c>
      <c r="AH1109" t="n">
        <v>4</v>
      </c>
      <c r="AI1109" t="n">
        <v>4</v>
      </c>
      <c r="AJ1109" t="n">
        <v>2</v>
      </c>
      <c r="AK1109" t="n">
        <v>2</v>
      </c>
      <c r="AL1109" t="n">
        <v>3</v>
      </c>
      <c r="AM1109" t="n">
        <v>3</v>
      </c>
      <c r="AN1109" t="n">
        <v>1</v>
      </c>
      <c r="AO1109" t="n">
        <v>1</v>
      </c>
      <c r="AP1109" t="n">
        <v>0</v>
      </c>
      <c r="AQ1109" t="n">
        <v>0</v>
      </c>
      <c r="AR1109" t="inlineStr">
        <is>
          <t>No</t>
        </is>
      </c>
      <c r="AS1109" t="inlineStr">
        <is>
          <t>Yes</t>
        </is>
      </c>
      <c r="AT1109">
        <f>HYPERLINK("http://catalog.hathitrust.org/Record/101966244","HathiTrust Record")</f>
        <v/>
      </c>
      <c r="AU1109">
        <f>HYPERLINK("https://creighton-primo.hosted.exlibrisgroup.com/primo-explore/search?tab=default_tab&amp;search_scope=EVERYTHING&amp;vid=01CRU&amp;lang=en_US&amp;offset=0&amp;query=any,contains,991000861469702656","Catalog Record")</f>
        <v/>
      </c>
      <c r="AV1109">
        <f>HYPERLINK("http://www.worldcat.org/oclc/5494116","WorldCat Record")</f>
        <v/>
      </c>
    </row>
    <row r="1110">
      <c r="D1110" t="inlineStr">
        <is>
          <t>QT 260 S7703 1988</t>
        </is>
      </c>
      <c r="E1110" t="inlineStr">
        <is>
          <t>0                      QT 0260000S  7703        1988</t>
        </is>
      </c>
      <c r="F1110" t="inlineStr">
        <is>
          <t>Sports medicine : fitness, training, injuries / edited by Otto Appenzeller.</t>
        </is>
      </c>
      <c r="H1110" t="inlineStr">
        <is>
          <t>No</t>
        </is>
      </c>
      <c r="I1110" t="inlineStr">
        <is>
          <t>1</t>
        </is>
      </c>
      <c r="J1110" t="inlineStr">
        <is>
          <t>Yes</t>
        </is>
      </c>
      <c r="K1110" t="inlineStr">
        <is>
          <t>Yes</t>
        </is>
      </c>
      <c r="L1110" t="inlineStr">
        <is>
          <t>0</t>
        </is>
      </c>
      <c r="N1110" t="inlineStr">
        <is>
          <t>Baltimore : Urban &amp; Schwarzenberg, c1988.</t>
        </is>
      </c>
      <c r="O1110" t="inlineStr">
        <is>
          <t>1988</t>
        </is>
      </c>
      <c r="P1110" t="inlineStr">
        <is>
          <t>3rd ed.</t>
        </is>
      </c>
      <c r="Q1110" t="inlineStr">
        <is>
          <t>eng</t>
        </is>
      </c>
      <c r="R1110" t="inlineStr">
        <is>
          <t>xxu</t>
        </is>
      </c>
      <c r="T1110" t="inlineStr">
        <is>
          <t xml:space="preserve">QT </t>
        </is>
      </c>
      <c r="U1110" t="n">
        <v>24</v>
      </c>
      <c r="V1110" t="n">
        <v>24</v>
      </c>
      <c r="W1110" t="inlineStr">
        <is>
          <t>1998-01-20</t>
        </is>
      </c>
      <c r="X1110" t="inlineStr">
        <is>
          <t>1998-01-20</t>
        </is>
      </c>
      <c r="Y1110" t="inlineStr">
        <is>
          <t>1989-02-08</t>
        </is>
      </c>
      <c r="Z1110" t="inlineStr">
        <is>
          <t>1989-02-08</t>
        </is>
      </c>
      <c r="AA1110" t="n">
        <v>411</v>
      </c>
      <c r="AB1110" t="n">
        <v>326</v>
      </c>
      <c r="AC1110" t="n">
        <v>581</v>
      </c>
      <c r="AD1110" t="n">
        <v>3</v>
      </c>
      <c r="AE1110" t="n">
        <v>6</v>
      </c>
      <c r="AF1110" t="n">
        <v>7</v>
      </c>
      <c r="AG1110" t="n">
        <v>16</v>
      </c>
      <c r="AH1110" t="n">
        <v>4</v>
      </c>
      <c r="AI1110" t="n">
        <v>8</v>
      </c>
      <c r="AJ1110" t="n">
        <v>1</v>
      </c>
      <c r="AK1110" t="n">
        <v>3</v>
      </c>
      <c r="AL1110" t="n">
        <v>4</v>
      </c>
      <c r="AM1110" t="n">
        <v>5</v>
      </c>
      <c r="AN1110" t="n">
        <v>1</v>
      </c>
      <c r="AO1110" t="n">
        <v>4</v>
      </c>
      <c r="AP1110" t="n">
        <v>0</v>
      </c>
      <c r="AQ1110" t="n">
        <v>0</v>
      </c>
      <c r="AR1110" t="inlineStr">
        <is>
          <t>No</t>
        </is>
      </c>
      <c r="AS1110" t="inlineStr">
        <is>
          <t>Yes</t>
        </is>
      </c>
      <c r="AT1110">
        <f>HYPERLINK("http://catalog.hathitrust.org/Record/000917800","HathiTrust Record")</f>
        <v/>
      </c>
      <c r="AU1110">
        <f>HYPERLINK("https://creighton-primo.hosted.exlibrisgroup.com/primo-explore/search?tab=default_tab&amp;search_scope=EVERYTHING&amp;vid=01CRU&amp;lang=en_US&amp;offset=0&amp;query=any,contains,991001118379702656","Catalog Record")</f>
        <v/>
      </c>
      <c r="AV1110">
        <f>HYPERLINK("http://www.worldcat.org/oclc/17806126","WorldCat Record")</f>
        <v/>
      </c>
    </row>
    <row r="1111">
      <c r="D1111" t="inlineStr">
        <is>
          <t>QT 260 S77045 1984</t>
        </is>
      </c>
      <c r="E1111" t="inlineStr">
        <is>
          <t>0                      QT 0260000S  77045       1984</t>
        </is>
      </c>
      <c r="F1111" t="inlineStr">
        <is>
          <t>Sports medicine for the primary care physician / editor, Richard B. Birrer.</t>
        </is>
      </c>
      <c r="H1111" t="inlineStr">
        <is>
          <t>No</t>
        </is>
      </c>
      <c r="I1111" t="inlineStr">
        <is>
          <t>1</t>
        </is>
      </c>
      <c r="J1111" t="inlineStr">
        <is>
          <t>No</t>
        </is>
      </c>
      <c r="K1111" t="inlineStr">
        <is>
          <t>No</t>
        </is>
      </c>
      <c r="L1111" t="inlineStr">
        <is>
          <t>0</t>
        </is>
      </c>
      <c r="N1111" t="inlineStr">
        <is>
          <t>Norwalk, Conn. : Appleton-Century-Crofts, c1984.</t>
        </is>
      </c>
      <c r="O1111" t="inlineStr">
        <is>
          <t>1984</t>
        </is>
      </c>
      <c r="Q1111" t="inlineStr">
        <is>
          <t>eng</t>
        </is>
      </c>
      <c r="R1111" t="inlineStr">
        <is>
          <t>xxu</t>
        </is>
      </c>
      <c r="T1111" t="inlineStr">
        <is>
          <t xml:space="preserve">QT </t>
        </is>
      </c>
      <c r="U1111" t="n">
        <v>11</v>
      </c>
      <c r="V1111" t="n">
        <v>11</v>
      </c>
      <c r="W1111" t="inlineStr">
        <is>
          <t>1990-07-17</t>
        </is>
      </c>
      <c r="X1111" t="inlineStr">
        <is>
          <t>1990-07-17</t>
        </is>
      </c>
      <c r="Y1111" t="inlineStr">
        <is>
          <t>1988-01-20</t>
        </is>
      </c>
      <c r="Z1111" t="inlineStr">
        <is>
          <t>1988-01-20</t>
        </is>
      </c>
      <c r="AA1111" t="n">
        <v>199</v>
      </c>
      <c r="AB1111" t="n">
        <v>159</v>
      </c>
      <c r="AC1111" t="n">
        <v>432</v>
      </c>
      <c r="AD1111" t="n">
        <v>1</v>
      </c>
      <c r="AE1111" t="n">
        <v>1</v>
      </c>
      <c r="AF1111" t="n">
        <v>1</v>
      </c>
      <c r="AG1111" t="n">
        <v>11</v>
      </c>
      <c r="AH1111" t="n">
        <v>1</v>
      </c>
      <c r="AI1111" t="n">
        <v>7</v>
      </c>
      <c r="AJ1111" t="n">
        <v>0</v>
      </c>
      <c r="AK1111" t="n">
        <v>3</v>
      </c>
      <c r="AL1111" t="n">
        <v>0</v>
      </c>
      <c r="AM1111" t="n">
        <v>4</v>
      </c>
      <c r="AN1111" t="n">
        <v>0</v>
      </c>
      <c r="AO1111" t="n">
        <v>0</v>
      </c>
      <c r="AP1111" t="n">
        <v>0</v>
      </c>
      <c r="AQ1111" t="n">
        <v>0</v>
      </c>
      <c r="AR1111" t="inlineStr">
        <is>
          <t>No</t>
        </is>
      </c>
      <c r="AS1111" t="inlineStr">
        <is>
          <t>Yes</t>
        </is>
      </c>
      <c r="AT1111">
        <f>HYPERLINK("http://catalog.hathitrust.org/Record/000325811","HathiTrust Record")</f>
        <v/>
      </c>
      <c r="AU1111">
        <f>HYPERLINK("https://creighton-primo.hosted.exlibrisgroup.com/primo-explore/search?tab=default_tab&amp;search_scope=EVERYTHING&amp;vid=01CRU&amp;lang=en_US&amp;offset=0&amp;query=any,contains,991000861569702656","Catalog Record")</f>
        <v/>
      </c>
      <c r="AV1111">
        <f>HYPERLINK("http://www.worldcat.org/oclc/9622343","WorldCat Record")</f>
        <v/>
      </c>
    </row>
    <row r="1112">
      <c r="D1112" t="inlineStr">
        <is>
          <t>QT 260 S78576 1987</t>
        </is>
      </c>
      <c r="E1112" t="inlineStr">
        <is>
          <t>0                      QT 0260000S  78576       1987</t>
        </is>
      </c>
      <c r="F1112" t="inlineStr">
        <is>
          <t>Sports ophthalmology / edited by Louis D. Pizzarello and Barrett G. Haik.</t>
        </is>
      </c>
      <c r="H1112" t="inlineStr">
        <is>
          <t>No</t>
        </is>
      </c>
      <c r="I1112" t="inlineStr">
        <is>
          <t>1</t>
        </is>
      </c>
      <c r="J1112" t="inlineStr">
        <is>
          <t>No</t>
        </is>
      </c>
      <c r="K1112" t="inlineStr">
        <is>
          <t>No</t>
        </is>
      </c>
      <c r="L1112" t="inlineStr">
        <is>
          <t>0</t>
        </is>
      </c>
      <c r="N1112" t="inlineStr">
        <is>
          <t>Springfield, Ill. Thomas, c1987.</t>
        </is>
      </c>
      <c r="O1112" t="inlineStr">
        <is>
          <t>1987</t>
        </is>
      </c>
      <c r="Q1112" t="inlineStr">
        <is>
          <t>eng</t>
        </is>
      </c>
      <c r="R1112" t="inlineStr">
        <is>
          <t>xxu</t>
        </is>
      </c>
      <c r="T1112" t="inlineStr">
        <is>
          <t xml:space="preserve">QT </t>
        </is>
      </c>
      <c r="U1112" t="n">
        <v>4</v>
      </c>
      <c r="V1112" t="n">
        <v>4</v>
      </c>
      <c r="W1112" t="inlineStr">
        <is>
          <t>1988-06-14</t>
        </is>
      </c>
      <c r="X1112" t="inlineStr">
        <is>
          <t>1988-06-14</t>
        </is>
      </c>
      <c r="Y1112" t="inlineStr">
        <is>
          <t>1988-05-24</t>
        </is>
      </c>
      <c r="Z1112" t="inlineStr">
        <is>
          <t>1988-05-24</t>
        </is>
      </c>
      <c r="AA1112" t="n">
        <v>141</v>
      </c>
      <c r="AB1112" t="n">
        <v>111</v>
      </c>
      <c r="AC1112" t="n">
        <v>113</v>
      </c>
      <c r="AD1112" t="n">
        <v>1</v>
      </c>
      <c r="AE1112" t="n">
        <v>1</v>
      </c>
      <c r="AF1112" t="n">
        <v>3</v>
      </c>
      <c r="AG1112" t="n">
        <v>3</v>
      </c>
      <c r="AH1112" t="n">
        <v>1</v>
      </c>
      <c r="AI1112" t="n">
        <v>1</v>
      </c>
      <c r="AJ1112" t="n">
        <v>2</v>
      </c>
      <c r="AK1112" t="n">
        <v>2</v>
      </c>
      <c r="AL1112" t="n">
        <v>2</v>
      </c>
      <c r="AM1112" t="n">
        <v>2</v>
      </c>
      <c r="AN1112" t="n">
        <v>0</v>
      </c>
      <c r="AO1112" t="n">
        <v>0</v>
      </c>
      <c r="AP1112" t="n">
        <v>0</v>
      </c>
      <c r="AQ1112" t="n">
        <v>0</v>
      </c>
      <c r="AR1112" t="inlineStr">
        <is>
          <t>No</t>
        </is>
      </c>
      <c r="AS1112" t="inlineStr">
        <is>
          <t>Yes</t>
        </is>
      </c>
      <c r="AT1112">
        <f>HYPERLINK("http://catalog.hathitrust.org/Record/000858562","HathiTrust Record")</f>
        <v/>
      </c>
      <c r="AU1112">
        <f>HYPERLINK("https://creighton-primo.hosted.exlibrisgroup.com/primo-explore/search?tab=default_tab&amp;search_scope=EVERYTHING&amp;vid=01CRU&amp;lang=en_US&amp;offset=0&amp;query=any,contains,991001192499702656","Catalog Record")</f>
        <v/>
      </c>
      <c r="AV1112">
        <f>HYPERLINK("http://www.worldcat.org/oclc/14819509","WorldCat Record")</f>
        <v/>
      </c>
    </row>
    <row r="1113">
      <c r="D1113" t="inlineStr">
        <is>
          <t>QT 260 S7857651 1990</t>
        </is>
      </c>
      <c r="E1113" t="inlineStr">
        <is>
          <t>0                      QT 0260000S  7857651     1990</t>
        </is>
      </c>
      <c r="F1113" t="inlineStr">
        <is>
          <t>Sports physical therapy / [edited by] Barbara Sanders.</t>
        </is>
      </c>
      <c r="H1113" t="inlineStr">
        <is>
          <t>No</t>
        </is>
      </c>
      <c r="I1113" t="inlineStr">
        <is>
          <t>1</t>
        </is>
      </c>
      <c r="J1113" t="inlineStr">
        <is>
          <t>No</t>
        </is>
      </c>
      <c r="K1113" t="inlineStr">
        <is>
          <t>No</t>
        </is>
      </c>
      <c r="L1113" t="inlineStr">
        <is>
          <t>0</t>
        </is>
      </c>
      <c r="N1113" t="inlineStr">
        <is>
          <t>Norwalk, Conn. : Appleton &amp; Lange, c1990.</t>
        </is>
      </c>
      <c r="O1113" t="inlineStr">
        <is>
          <t>1990</t>
        </is>
      </c>
      <c r="Q1113" t="inlineStr">
        <is>
          <t>eng</t>
        </is>
      </c>
      <c r="R1113" t="inlineStr">
        <is>
          <t>xxu</t>
        </is>
      </c>
      <c r="T1113" t="inlineStr">
        <is>
          <t xml:space="preserve">QT </t>
        </is>
      </c>
      <c r="U1113" t="n">
        <v>36</v>
      </c>
      <c r="V1113" t="n">
        <v>36</v>
      </c>
      <c r="W1113" t="inlineStr">
        <is>
          <t>1998-12-03</t>
        </is>
      </c>
      <c r="X1113" t="inlineStr">
        <is>
          <t>1998-12-03</t>
        </is>
      </c>
      <c r="Y1113" t="inlineStr">
        <is>
          <t>1990-11-30</t>
        </is>
      </c>
      <c r="Z1113" t="inlineStr">
        <is>
          <t>1990-11-30</t>
        </is>
      </c>
      <c r="AA1113" t="n">
        <v>233</v>
      </c>
      <c r="AB1113" t="n">
        <v>182</v>
      </c>
      <c r="AC1113" t="n">
        <v>189</v>
      </c>
      <c r="AD1113" t="n">
        <v>2</v>
      </c>
      <c r="AE1113" t="n">
        <v>2</v>
      </c>
      <c r="AF1113" t="n">
        <v>9</v>
      </c>
      <c r="AG1113" t="n">
        <v>9</v>
      </c>
      <c r="AH1113" t="n">
        <v>5</v>
      </c>
      <c r="AI1113" t="n">
        <v>5</v>
      </c>
      <c r="AJ1113" t="n">
        <v>3</v>
      </c>
      <c r="AK1113" t="n">
        <v>3</v>
      </c>
      <c r="AL1113" t="n">
        <v>4</v>
      </c>
      <c r="AM1113" t="n">
        <v>4</v>
      </c>
      <c r="AN1113" t="n">
        <v>1</v>
      </c>
      <c r="AO1113" t="n">
        <v>1</v>
      </c>
      <c r="AP1113" t="n">
        <v>0</v>
      </c>
      <c r="AQ1113" t="n">
        <v>0</v>
      </c>
      <c r="AR1113" t="inlineStr">
        <is>
          <t>No</t>
        </is>
      </c>
      <c r="AS1113" t="inlineStr">
        <is>
          <t>Yes</t>
        </is>
      </c>
      <c r="AT1113">
        <f>HYPERLINK("http://catalog.hathitrust.org/Record/002469353","HathiTrust Record")</f>
        <v/>
      </c>
      <c r="AU1113">
        <f>HYPERLINK("https://creighton-primo.hosted.exlibrisgroup.com/primo-explore/search?tab=default_tab&amp;search_scope=EVERYTHING&amp;vid=01CRU&amp;lang=en_US&amp;offset=0&amp;query=any,contains,991000781469702656","Catalog Record")</f>
        <v/>
      </c>
      <c r="AV1113">
        <f>HYPERLINK("http://www.worldcat.org/oclc/20934293","WorldCat Record")</f>
        <v/>
      </c>
    </row>
    <row r="1114">
      <c r="D1114" t="inlineStr">
        <is>
          <t>QT 260 T398 1999</t>
        </is>
      </c>
      <c r="E1114" t="inlineStr">
        <is>
          <t>0                      QT 0260000T  398         1999</t>
        </is>
      </c>
      <c r="F1114" t="inlineStr">
        <is>
          <t>Therapeutic modalities in sports medicine / [edited by] William E. Prentice.</t>
        </is>
      </c>
      <c r="H1114" t="inlineStr">
        <is>
          <t>No</t>
        </is>
      </c>
      <c r="I1114" t="inlineStr">
        <is>
          <t>1</t>
        </is>
      </c>
      <c r="J1114" t="inlineStr">
        <is>
          <t>No</t>
        </is>
      </c>
      <c r="K1114" t="inlineStr">
        <is>
          <t>Yes</t>
        </is>
      </c>
      <c r="L1114" t="inlineStr">
        <is>
          <t>0</t>
        </is>
      </c>
      <c r="N1114" t="inlineStr">
        <is>
          <t>Boston : WCB/McGraw-Hill, c1999.</t>
        </is>
      </c>
      <c r="O1114" t="inlineStr">
        <is>
          <t>1999</t>
        </is>
      </c>
      <c r="P1114" t="inlineStr">
        <is>
          <t>4th ed.</t>
        </is>
      </c>
      <c r="Q1114" t="inlineStr">
        <is>
          <t>eng</t>
        </is>
      </c>
      <c r="R1114" t="inlineStr">
        <is>
          <t>mau</t>
        </is>
      </c>
      <c r="T1114" t="inlineStr">
        <is>
          <t xml:space="preserve">QT </t>
        </is>
      </c>
      <c r="U1114" t="n">
        <v>13</v>
      </c>
      <c r="V1114" t="n">
        <v>13</v>
      </c>
      <c r="W1114" t="inlineStr">
        <is>
          <t>2003-03-31</t>
        </is>
      </c>
      <c r="X1114" t="inlineStr">
        <is>
          <t>2003-03-31</t>
        </is>
      </c>
      <c r="Y1114" t="inlineStr">
        <is>
          <t>1998-09-10</t>
        </is>
      </c>
      <c r="Z1114" t="inlineStr">
        <is>
          <t>1998-09-10</t>
        </is>
      </c>
      <c r="AA1114" t="n">
        <v>242</v>
      </c>
      <c r="AB1114" t="n">
        <v>204</v>
      </c>
      <c r="AC1114" t="n">
        <v>687</v>
      </c>
      <c r="AD1114" t="n">
        <v>2</v>
      </c>
      <c r="AE1114" t="n">
        <v>8</v>
      </c>
      <c r="AF1114" t="n">
        <v>7</v>
      </c>
      <c r="AG1114" t="n">
        <v>25</v>
      </c>
      <c r="AH1114" t="n">
        <v>3</v>
      </c>
      <c r="AI1114" t="n">
        <v>12</v>
      </c>
      <c r="AJ1114" t="n">
        <v>3</v>
      </c>
      <c r="AK1114" t="n">
        <v>5</v>
      </c>
      <c r="AL1114" t="n">
        <v>2</v>
      </c>
      <c r="AM1114" t="n">
        <v>7</v>
      </c>
      <c r="AN1114" t="n">
        <v>1</v>
      </c>
      <c r="AO1114" t="n">
        <v>6</v>
      </c>
      <c r="AP1114" t="n">
        <v>0</v>
      </c>
      <c r="AQ1114" t="n">
        <v>0</v>
      </c>
      <c r="AR1114" t="inlineStr">
        <is>
          <t>No</t>
        </is>
      </c>
      <c r="AS1114" t="inlineStr">
        <is>
          <t>Yes</t>
        </is>
      </c>
      <c r="AT1114">
        <f>HYPERLINK("http://catalog.hathitrust.org/Record/003270983","HathiTrust Record")</f>
        <v/>
      </c>
      <c r="AU1114">
        <f>HYPERLINK("https://creighton-primo.hosted.exlibrisgroup.com/primo-explore/search?tab=default_tab&amp;search_scope=EVERYTHING&amp;vid=01CRU&amp;lang=en_US&amp;offset=0&amp;query=any,contains,991001569039702656","Catalog Record")</f>
        <v/>
      </c>
      <c r="AV1114">
        <f>HYPERLINK("http://www.worldcat.org/oclc/38311519","WorldCat Record")</f>
        <v/>
      </c>
    </row>
    <row r="1115">
      <c r="D1115" t="inlineStr">
        <is>
          <t>QT 260 V782h 1999</t>
        </is>
      </c>
      <c r="E1115" t="inlineStr">
        <is>
          <t>0                      QT 0260000V  782h        1999</t>
        </is>
      </c>
      <c r="F1115" t="inlineStr">
        <is>
          <t>High angle rescue techniques / Tom Vines, Steve Hudson.</t>
        </is>
      </c>
      <c r="H1115" t="inlineStr">
        <is>
          <t>No</t>
        </is>
      </c>
      <c r="I1115" t="inlineStr">
        <is>
          <t>1</t>
        </is>
      </c>
      <c r="J1115" t="inlineStr">
        <is>
          <t>No</t>
        </is>
      </c>
      <c r="K1115" t="inlineStr">
        <is>
          <t>No</t>
        </is>
      </c>
      <c r="L1115" t="inlineStr">
        <is>
          <t>0</t>
        </is>
      </c>
      <c r="M1115" t="inlineStr">
        <is>
          <t>Vines, Tom.</t>
        </is>
      </c>
      <c r="N1115" t="inlineStr">
        <is>
          <t>St. Louis : Mosby, c1999.</t>
        </is>
      </c>
      <c r="O1115" t="inlineStr">
        <is>
          <t>1999</t>
        </is>
      </c>
      <c r="P1115" t="inlineStr">
        <is>
          <t>2nd ed.</t>
        </is>
      </c>
      <c r="Q1115" t="inlineStr">
        <is>
          <t>eng</t>
        </is>
      </c>
      <c r="R1115" t="inlineStr">
        <is>
          <t>mou</t>
        </is>
      </c>
      <c r="T1115" t="inlineStr">
        <is>
          <t xml:space="preserve">QT </t>
        </is>
      </c>
      <c r="U1115" t="n">
        <v>4</v>
      </c>
      <c r="V1115" t="n">
        <v>4</v>
      </c>
      <c r="W1115" t="inlineStr">
        <is>
          <t>1999-05-03</t>
        </is>
      </c>
      <c r="X1115" t="inlineStr">
        <is>
          <t>1999-05-03</t>
        </is>
      </c>
      <c r="Y1115" t="inlineStr">
        <is>
          <t>1999-03-18</t>
        </is>
      </c>
      <c r="Z1115" t="inlineStr">
        <is>
          <t>1999-03-18</t>
        </is>
      </c>
      <c r="AA1115" t="n">
        <v>78</v>
      </c>
      <c r="AB1115" t="n">
        <v>62</v>
      </c>
      <c r="AC1115" t="n">
        <v>132</v>
      </c>
      <c r="AD1115" t="n">
        <v>2</v>
      </c>
      <c r="AE1115" t="n">
        <v>2</v>
      </c>
      <c r="AF1115" t="n">
        <v>1</v>
      </c>
      <c r="AG1115" t="n">
        <v>1</v>
      </c>
      <c r="AH1115" t="n">
        <v>0</v>
      </c>
      <c r="AI1115" t="n">
        <v>0</v>
      </c>
      <c r="AJ1115" t="n">
        <v>0</v>
      </c>
      <c r="AK1115" t="n">
        <v>0</v>
      </c>
      <c r="AL1115" t="n">
        <v>0</v>
      </c>
      <c r="AM1115" t="n">
        <v>0</v>
      </c>
      <c r="AN1115" t="n">
        <v>1</v>
      </c>
      <c r="AO1115" t="n">
        <v>1</v>
      </c>
      <c r="AP1115" t="n">
        <v>0</v>
      </c>
      <c r="AQ1115" t="n">
        <v>0</v>
      </c>
      <c r="AR1115" t="inlineStr">
        <is>
          <t>No</t>
        </is>
      </c>
      <c r="AS1115" t="inlineStr">
        <is>
          <t>No</t>
        </is>
      </c>
      <c r="AU1115">
        <f>HYPERLINK("https://creighton-primo.hosted.exlibrisgroup.com/primo-explore/search?tab=default_tab&amp;search_scope=EVERYTHING&amp;vid=01CRU&amp;lang=en_US&amp;offset=0&amp;query=any,contains,991001560079702656","Catalog Record")</f>
        <v/>
      </c>
      <c r="AV1115">
        <f>HYPERLINK("http://www.worldcat.org/oclc/40043501","WorldCat Record")</f>
        <v/>
      </c>
    </row>
    <row r="1116">
      <c r="D1116" t="inlineStr">
        <is>
          <t>QT260 W744p 2004</t>
        </is>
      </c>
      <c r="E1116" t="inlineStr">
        <is>
          <t>0                      QT 0260000W  744p        2004</t>
        </is>
      </c>
      <c r="F1116" t="inlineStr">
        <is>
          <t>Physiology of sport and exercise / Jack H. Wilmore, David L. Costill.</t>
        </is>
      </c>
      <c r="H1116" t="inlineStr">
        <is>
          <t>No</t>
        </is>
      </c>
      <c r="I1116" t="inlineStr">
        <is>
          <t>1</t>
        </is>
      </c>
      <c r="J1116" t="inlineStr">
        <is>
          <t>No</t>
        </is>
      </c>
      <c r="K1116" t="inlineStr">
        <is>
          <t>Yes</t>
        </is>
      </c>
      <c r="L1116" t="inlineStr">
        <is>
          <t>0</t>
        </is>
      </c>
      <c r="M1116" t="inlineStr">
        <is>
          <t>Wilmore, Jack H., 1938-2014.</t>
        </is>
      </c>
      <c r="N1116" t="inlineStr">
        <is>
          <t>Champaign, IL : Human Kinetics, c2004.</t>
        </is>
      </c>
      <c r="O1116" t="inlineStr">
        <is>
          <t>2004</t>
        </is>
      </c>
      <c r="P1116" t="inlineStr">
        <is>
          <t>3rd ed.</t>
        </is>
      </c>
      <c r="Q1116" t="inlineStr">
        <is>
          <t>eng</t>
        </is>
      </c>
      <c r="R1116" t="inlineStr">
        <is>
          <t>ilu</t>
        </is>
      </c>
      <c r="T1116" t="inlineStr">
        <is>
          <t xml:space="preserve">QT </t>
        </is>
      </c>
      <c r="U1116" t="n">
        <v>4</v>
      </c>
      <c r="V1116" t="n">
        <v>4</v>
      </c>
      <c r="W1116" t="inlineStr">
        <is>
          <t>2009-10-26</t>
        </is>
      </c>
      <c r="X1116" t="inlineStr">
        <is>
          <t>2009-10-26</t>
        </is>
      </c>
      <c r="Y1116" t="inlineStr">
        <is>
          <t>2007-01-26</t>
        </is>
      </c>
      <c r="Z1116" t="inlineStr">
        <is>
          <t>2007-01-26</t>
        </is>
      </c>
      <c r="AA1116" t="n">
        <v>464</v>
      </c>
      <c r="AB1116" t="n">
        <v>298</v>
      </c>
      <c r="AC1116" t="n">
        <v>999</v>
      </c>
      <c r="AD1116" t="n">
        <v>4</v>
      </c>
      <c r="AE1116" t="n">
        <v>11</v>
      </c>
      <c r="AF1116" t="n">
        <v>10</v>
      </c>
      <c r="AG1116" t="n">
        <v>34</v>
      </c>
      <c r="AH1116" t="n">
        <v>6</v>
      </c>
      <c r="AI1116" t="n">
        <v>16</v>
      </c>
      <c r="AJ1116" t="n">
        <v>1</v>
      </c>
      <c r="AK1116" t="n">
        <v>6</v>
      </c>
      <c r="AL1116" t="n">
        <v>1</v>
      </c>
      <c r="AM1116" t="n">
        <v>10</v>
      </c>
      <c r="AN1116" t="n">
        <v>3</v>
      </c>
      <c r="AO1116" t="n">
        <v>9</v>
      </c>
      <c r="AP1116" t="n">
        <v>0</v>
      </c>
      <c r="AQ1116" t="n">
        <v>0</v>
      </c>
      <c r="AR1116" t="inlineStr">
        <is>
          <t>No</t>
        </is>
      </c>
      <c r="AS1116" t="inlineStr">
        <is>
          <t>Yes</t>
        </is>
      </c>
      <c r="AT1116">
        <f>HYPERLINK("http://catalog.hathitrust.org/Record/004363578","HathiTrust Record")</f>
        <v/>
      </c>
      <c r="AU1116">
        <f>HYPERLINK("https://creighton-primo.hosted.exlibrisgroup.com/primo-explore/search?tab=default_tab&amp;search_scope=EVERYTHING&amp;vid=01CRU&amp;lang=en_US&amp;offset=0&amp;query=any,contains,991000588069702656","Catalog Record")</f>
        <v/>
      </c>
      <c r="AV1116">
        <f>HYPERLINK("http://www.worldcat.org/oclc/52334699","WorldCat Record")</f>
        <v/>
      </c>
    </row>
    <row r="1117">
      <c r="D1117" t="inlineStr">
        <is>
          <t>QT 260 W787 1990</t>
        </is>
      </c>
      <c r="E1117" t="inlineStr">
        <is>
          <t>0                      QT 0260000W  787         1990</t>
        </is>
      </c>
      <c r="F1117" t="inlineStr">
        <is>
          <t>Winter sports medicine / Murray Joseph Casey, editor-in-chief ; Carl Foster, associate editor, Edward G. Hixson, associate editor.</t>
        </is>
      </c>
      <c r="H1117" t="inlineStr">
        <is>
          <t>No</t>
        </is>
      </c>
      <c r="I1117" t="inlineStr">
        <is>
          <t>1</t>
        </is>
      </c>
      <c r="J1117" t="inlineStr">
        <is>
          <t>No</t>
        </is>
      </c>
      <c r="K1117" t="inlineStr">
        <is>
          <t>No</t>
        </is>
      </c>
      <c r="L1117" t="inlineStr">
        <is>
          <t>0</t>
        </is>
      </c>
      <c r="N1117" t="inlineStr">
        <is>
          <t>Philadelphia : F.A. Davis, c1990.</t>
        </is>
      </c>
      <c r="O1117" t="inlineStr">
        <is>
          <t>1990</t>
        </is>
      </c>
      <c r="Q1117" t="inlineStr">
        <is>
          <t>eng</t>
        </is>
      </c>
      <c r="R1117" t="inlineStr">
        <is>
          <t>xxu</t>
        </is>
      </c>
      <c r="S1117" t="inlineStr">
        <is>
          <t>Contemporary exercise and sports medicine series</t>
        </is>
      </c>
      <c r="T1117" t="inlineStr">
        <is>
          <t xml:space="preserve">QT </t>
        </is>
      </c>
      <c r="U1117" t="n">
        <v>10</v>
      </c>
      <c r="V1117" t="n">
        <v>10</v>
      </c>
      <c r="W1117" t="inlineStr">
        <is>
          <t>2003-03-04</t>
        </is>
      </c>
      <c r="X1117" t="inlineStr">
        <is>
          <t>2003-03-04</t>
        </is>
      </c>
      <c r="Y1117" t="inlineStr">
        <is>
          <t>1990-09-12</t>
        </is>
      </c>
      <c r="Z1117" t="inlineStr">
        <is>
          <t>1990-09-12</t>
        </is>
      </c>
      <c r="AA1117" t="n">
        <v>190</v>
      </c>
      <c r="AB1117" t="n">
        <v>152</v>
      </c>
      <c r="AC1117" t="n">
        <v>154</v>
      </c>
      <c r="AD1117" t="n">
        <v>1</v>
      </c>
      <c r="AE1117" t="n">
        <v>1</v>
      </c>
      <c r="AF1117" t="n">
        <v>3</v>
      </c>
      <c r="AG1117" t="n">
        <v>3</v>
      </c>
      <c r="AH1117" t="n">
        <v>1</v>
      </c>
      <c r="AI1117" t="n">
        <v>1</v>
      </c>
      <c r="AJ1117" t="n">
        <v>2</v>
      </c>
      <c r="AK1117" t="n">
        <v>2</v>
      </c>
      <c r="AL1117" t="n">
        <v>2</v>
      </c>
      <c r="AM1117" t="n">
        <v>2</v>
      </c>
      <c r="AN1117" t="n">
        <v>0</v>
      </c>
      <c r="AO1117" t="n">
        <v>0</v>
      </c>
      <c r="AP1117" t="n">
        <v>0</v>
      </c>
      <c r="AQ1117" t="n">
        <v>0</v>
      </c>
      <c r="AR1117" t="inlineStr">
        <is>
          <t>No</t>
        </is>
      </c>
      <c r="AS1117" t="inlineStr">
        <is>
          <t>Yes</t>
        </is>
      </c>
      <c r="AT1117">
        <f>HYPERLINK("http://catalog.hathitrust.org/Record/002059633","HathiTrust Record")</f>
        <v/>
      </c>
      <c r="AU1117">
        <f>HYPERLINK("https://creighton-primo.hosted.exlibrisgroup.com/primo-explore/search?tab=default_tab&amp;search_scope=EVERYTHING&amp;vid=01CRU&amp;lang=en_US&amp;offset=0&amp;query=any,contains,991001454099702656","Catalog Record")</f>
        <v/>
      </c>
      <c r="AV1117">
        <f>HYPERLINK("http://www.worldcat.org/oclc/19741975","WorldCat Record")</f>
        <v/>
      </c>
    </row>
    <row r="1118">
      <c r="D1118" t="inlineStr">
        <is>
          <t>QT260 W787 2004</t>
        </is>
      </c>
      <c r="E1118" t="inlineStr">
        <is>
          <t>0                      QT 0260000W  787         2004</t>
        </is>
      </c>
      <c r="F1118" t="inlineStr">
        <is>
          <t>Winter sports medicine : handbook / [edited by] James L. Moeller, Sami F. Rifat.</t>
        </is>
      </c>
      <c r="H1118" t="inlineStr">
        <is>
          <t>No</t>
        </is>
      </c>
      <c r="I1118" t="inlineStr">
        <is>
          <t>1</t>
        </is>
      </c>
      <c r="J1118" t="inlineStr">
        <is>
          <t>No</t>
        </is>
      </c>
      <c r="K1118" t="inlineStr">
        <is>
          <t>No</t>
        </is>
      </c>
      <c r="L1118" t="inlineStr">
        <is>
          <t>0</t>
        </is>
      </c>
      <c r="N1118" t="inlineStr">
        <is>
          <t>New York : McGraw-Hill, Medical Pub. Division, c2004.</t>
        </is>
      </c>
      <c r="O1118" t="inlineStr">
        <is>
          <t>2004</t>
        </is>
      </c>
      <c r="Q1118" t="inlineStr">
        <is>
          <t>eng</t>
        </is>
      </c>
      <c r="R1118" t="inlineStr">
        <is>
          <t>nyu</t>
        </is>
      </c>
      <c r="T1118" t="inlineStr">
        <is>
          <t xml:space="preserve">QT </t>
        </is>
      </c>
      <c r="U1118" t="n">
        <v>2</v>
      </c>
      <c r="V1118" t="n">
        <v>2</v>
      </c>
      <c r="W1118" t="inlineStr">
        <is>
          <t>2005-10-28</t>
        </is>
      </c>
      <c r="X1118" t="inlineStr">
        <is>
          <t>2005-10-28</t>
        </is>
      </c>
      <c r="Y1118" t="inlineStr">
        <is>
          <t>2004-08-27</t>
        </is>
      </c>
      <c r="Z1118" t="inlineStr">
        <is>
          <t>2004-08-27</t>
        </is>
      </c>
      <c r="AA1118" t="n">
        <v>150</v>
      </c>
      <c r="AB1118" t="n">
        <v>106</v>
      </c>
      <c r="AC1118" t="n">
        <v>108</v>
      </c>
      <c r="AD1118" t="n">
        <v>1</v>
      </c>
      <c r="AE1118" t="n">
        <v>1</v>
      </c>
      <c r="AF1118" t="n">
        <v>7</v>
      </c>
      <c r="AG1118" t="n">
        <v>7</v>
      </c>
      <c r="AH1118" t="n">
        <v>4</v>
      </c>
      <c r="AI1118" t="n">
        <v>4</v>
      </c>
      <c r="AJ1118" t="n">
        <v>3</v>
      </c>
      <c r="AK1118" t="n">
        <v>3</v>
      </c>
      <c r="AL1118" t="n">
        <v>2</v>
      </c>
      <c r="AM1118" t="n">
        <v>2</v>
      </c>
      <c r="AN1118" t="n">
        <v>0</v>
      </c>
      <c r="AO1118" t="n">
        <v>0</v>
      </c>
      <c r="AP1118" t="n">
        <v>0</v>
      </c>
      <c r="AQ1118" t="n">
        <v>0</v>
      </c>
      <c r="AR1118" t="inlineStr">
        <is>
          <t>No</t>
        </is>
      </c>
      <c r="AS1118" t="inlineStr">
        <is>
          <t>Yes</t>
        </is>
      </c>
      <c r="AT1118">
        <f>HYPERLINK("http://catalog.hathitrust.org/Record/004725716","HathiTrust Record")</f>
        <v/>
      </c>
      <c r="AU1118">
        <f>HYPERLINK("https://creighton-primo.hosted.exlibrisgroup.com/primo-explore/search?tab=default_tab&amp;search_scope=EVERYTHING&amp;vid=01CRU&amp;lang=en_US&amp;offset=0&amp;query=any,contains,991000380639702656","Catalog Record")</f>
        <v/>
      </c>
      <c r="AV1118">
        <f>HYPERLINK("http://www.worldcat.org/oclc/53083898","WorldCat Record")</f>
        <v/>
      </c>
    </row>
    <row r="1119">
      <c r="D1119" t="inlineStr">
        <is>
          <t>QT260.5.S7 F687 2003</t>
        </is>
      </c>
      <c r="E1119" t="inlineStr">
        <is>
          <t>0                      QT 0260500S  7                  F  687         2003</t>
        </is>
      </c>
      <c r="F1119" t="inlineStr">
        <is>
          <t>Football medicine / edited by Jan Ekstrand, Jon Karlsson, Alan Hodson.</t>
        </is>
      </c>
      <c r="H1119" t="inlineStr">
        <is>
          <t>No</t>
        </is>
      </c>
      <c r="I1119" t="inlineStr">
        <is>
          <t>1</t>
        </is>
      </c>
      <c r="J1119" t="inlineStr">
        <is>
          <t>No</t>
        </is>
      </c>
      <c r="K1119" t="inlineStr">
        <is>
          <t>No</t>
        </is>
      </c>
      <c r="L1119" t="inlineStr">
        <is>
          <t>0</t>
        </is>
      </c>
      <c r="N1119" t="inlineStr">
        <is>
          <t>London : Martin Dunitz ; Independence, KY : Distributed by Fulfillment Center, Taylor &amp; Francis, 2003.</t>
        </is>
      </c>
      <c r="O1119" t="inlineStr">
        <is>
          <t>2003</t>
        </is>
      </c>
      <c r="P1119" t="inlineStr">
        <is>
          <t>Rev. ed.</t>
        </is>
      </c>
      <c r="Q1119" t="inlineStr">
        <is>
          <t>eng</t>
        </is>
      </c>
      <c r="R1119" t="inlineStr">
        <is>
          <t>enk</t>
        </is>
      </c>
      <c r="T1119" t="inlineStr">
        <is>
          <t xml:space="preserve">QT </t>
        </is>
      </c>
      <c r="U1119" t="n">
        <v>0</v>
      </c>
      <c r="V1119" t="n">
        <v>0</v>
      </c>
      <c r="W1119" t="inlineStr">
        <is>
          <t>2005-11-11</t>
        </is>
      </c>
      <c r="X1119" t="inlineStr">
        <is>
          <t>2005-11-11</t>
        </is>
      </c>
      <c r="Y1119" t="inlineStr">
        <is>
          <t>2005-11-04</t>
        </is>
      </c>
      <c r="Z1119" t="inlineStr">
        <is>
          <t>2005-11-04</t>
        </is>
      </c>
      <c r="AA1119" t="n">
        <v>97</v>
      </c>
      <c r="AB1119" t="n">
        <v>55</v>
      </c>
      <c r="AC1119" t="n">
        <v>62</v>
      </c>
      <c r="AD1119" t="n">
        <v>1</v>
      </c>
      <c r="AE1119" t="n">
        <v>1</v>
      </c>
      <c r="AF1119" t="n">
        <v>2</v>
      </c>
      <c r="AG1119" t="n">
        <v>2</v>
      </c>
      <c r="AH1119" t="n">
        <v>0</v>
      </c>
      <c r="AI1119" t="n">
        <v>0</v>
      </c>
      <c r="AJ1119" t="n">
        <v>1</v>
      </c>
      <c r="AK1119" t="n">
        <v>1</v>
      </c>
      <c r="AL1119" t="n">
        <v>2</v>
      </c>
      <c r="AM1119" t="n">
        <v>2</v>
      </c>
      <c r="AN1119" t="n">
        <v>0</v>
      </c>
      <c r="AO1119" t="n">
        <v>0</v>
      </c>
      <c r="AP1119" t="n">
        <v>0</v>
      </c>
      <c r="AQ1119" t="n">
        <v>0</v>
      </c>
      <c r="AR1119" t="inlineStr">
        <is>
          <t>No</t>
        </is>
      </c>
      <c r="AS1119" t="inlineStr">
        <is>
          <t>No</t>
        </is>
      </c>
      <c r="AU1119">
        <f>HYPERLINK("https://creighton-primo.hosted.exlibrisgroup.com/primo-explore/search?tab=default_tab&amp;search_scope=EVERYTHING&amp;vid=01CRU&amp;lang=en_US&amp;offset=0&amp;query=any,contains,991000447489702656","Catalog Record")</f>
        <v/>
      </c>
      <c r="AV1119">
        <f>HYPERLINK("http://www.worldcat.org/oclc/52896048","WorldCat Record")</f>
        <v/>
      </c>
    </row>
    <row r="1120">
      <c r="D1120" t="inlineStr">
        <is>
          <t>QT260.5.W4 2005</t>
        </is>
      </c>
      <c r="E1120" t="inlineStr">
        <is>
          <t>0                      QT 0260500W  4           2005</t>
        </is>
      </c>
      <c r="F1120" t="inlineStr">
        <is>
          <t>Fitness weight training / Thomas R. Baechle, Roger W. Earle.</t>
        </is>
      </c>
      <c r="H1120" t="inlineStr">
        <is>
          <t>No</t>
        </is>
      </c>
      <c r="I1120" t="inlineStr">
        <is>
          <t>1</t>
        </is>
      </c>
      <c r="J1120" t="inlineStr">
        <is>
          <t>No</t>
        </is>
      </c>
      <c r="K1120" t="inlineStr">
        <is>
          <t>Yes</t>
        </is>
      </c>
      <c r="L1120" t="inlineStr">
        <is>
          <t>0</t>
        </is>
      </c>
      <c r="M1120" t="inlineStr">
        <is>
          <t>Baechle, Thomas R., 1943-</t>
        </is>
      </c>
      <c r="N1120" t="inlineStr">
        <is>
          <t>Champaign, IL : Human Kinetics, c2005.</t>
        </is>
      </c>
      <c r="O1120" t="inlineStr">
        <is>
          <t>2005</t>
        </is>
      </c>
      <c r="P1120" t="inlineStr">
        <is>
          <t>2nd ed.</t>
        </is>
      </c>
      <c r="Q1120" t="inlineStr">
        <is>
          <t>eng</t>
        </is>
      </c>
      <c r="R1120" t="inlineStr">
        <is>
          <t>ilu</t>
        </is>
      </c>
      <c r="T1120" t="inlineStr">
        <is>
          <t xml:space="preserve">QT </t>
        </is>
      </c>
      <c r="U1120" t="n">
        <v>1</v>
      </c>
      <c r="V1120" t="n">
        <v>1</v>
      </c>
      <c r="W1120" t="inlineStr">
        <is>
          <t>2005-07-08</t>
        </is>
      </c>
      <c r="X1120" t="inlineStr">
        <is>
          <t>2005-07-08</t>
        </is>
      </c>
      <c r="Y1120" t="inlineStr">
        <is>
          <t>2005-04-20</t>
        </is>
      </c>
      <c r="Z1120" t="inlineStr">
        <is>
          <t>2005-04-20</t>
        </is>
      </c>
      <c r="AA1120" t="n">
        <v>500</v>
      </c>
      <c r="AB1120" t="n">
        <v>390</v>
      </c>
      <c r="AC1120" t="n">
        <v>1393</v>
      </c>
      <c r="AD1120" t="n">
        <v>1</v>
      </c>
      <c r="AE1120" t="n">
        <v>9</v>
      </c>
      <c r="AF1120" t="n">
        <v>1</v>
      </c>
      <c r="AG1120" t="n">
        <v>15</v>
      </c>
      <c r="AH1120" t="n">
        <v>1</v>
      </c>
      <c r="AI1120" t="n">
        <v>8</v>
      </c>
      <c r="AJ1120" t="n">
        <v>0</v>
      </c>
      <c r="AK1120" t="n">
        <v>1</v>
      </c>
      <c r="AL1120" t="n">
        <v>1</v>
      </c>
      <c r="AM1120" t="n">
        <v>3</v>
      </c>
      <c r="AN1120" t="n">
        <v>0</v>
      </c>
      <c r="AO1120" t="n">
        <v>6</v>
      </c>
      <c r="AP1120" t="n">
        <v>0</v>
      </c>
      <c r="AQ1120" t="n">
        <v>0</v>
      </c>
      <c r="AR1120" t="inlineStr">
        <is>
          <t>No</t>
        </is>
      </c>
      <c r="AS1120" t="inlineStr">
        <is>
          <t>No</t>
        </is>
      </c>
      <c r="AU1120">
        <f>HYPERLINK("https://creighton-primo.hosted.exlibrisgroup.com/primo-explore/search?tab=default_tab&amp;search_scope=EVERYTHING&amp;vid=01CRU&amp;lang=en_US&amp;offset=0&amp;query=any,contains,991000437029702656","Catalog Record")</f>
        <v/>
      </c>
      <c r="AV1120">
        <f>HYPERLINK("http://www.worldcat.org/oclc/56840520","WorldCat Record")</f>
        <v/>
      </c>
    </row>
    <row r="1121">
      <c r="D1121" t="inlineStr">
        <is>
          <t>QT261 A8718 2006</t>
        </is>
      </c>
      <c r="E1121" t="inlineStr">
        <is>
          <t>0                      QT 0261000A  8718        2006</t>
        </is>
      </c>
      <c r="F1121" t="inlineStr">
        <is>
          <t>Athletic training and sports medicine / Chad Starkey, Glen Johnson, editors ; American Academy of Orthopedic Surgeons.</t>
        </is>
      </c>
      <c r="H1121" t="inlineStr">
        <is>
          <t>No</t>
        </is>
      </c>
      <c r="I1121" t="inlineStr">
        <is>
          <t>1</t>
        </is>
      </c>
      <c r="J1121" t="inlineStr">
        <is>
          <t>No</t>
        </is>
      </c>
      <c r="K1121" t="inlineStr">
        <is>
          <t>No</t>
        </is>
      </c>
      <c r="L1121" t="inlineStr">
        <is>
          <t>0</t>
        </is>
      </c>
      <c r="N1121" t="inlineStr">
        <is>
          <t>Sudbury, Mass. : Jones and Bartlett Publishers, c2006.</t>
        </is>
      </c>
      <c r="O1121" t="inlineStr">
        <is>
          <t>2006</t>
        </is>
      </c>
      <c r="P1121" t="inlineStr">
        <is>
          <t>4th ed.</t>
        </is>
      </c>
      <c r="Q1121" t="inlineStr">
        <is>
          <t>eng</t>
        </is>
      </c>
      <c r="R1121" t="inlineStr">
        <is>
          <t>mau</t>
        </is>
      </c>
      <c r="T1121" t="inlineStr">
        <is>
          <t xml:space="preserve">QT </t>
        </is>
      </c>
      <c r="U1121" t="n">
        <v>4</v>
      </c>
      <c r="V1121" t="n">
        <v>4</v>
      </c>
      <c r="W1121" t="inlineStr">
        <is>
          <t>2009-03-07</t>
        </is>
      </c>
      <c r="X1121" t="inlineStr">
        <is>
          <t>2009-03-07</t>
        </is>
      </c>
      <c r="Y1121" t="inlineStr">
        <is>
          <t>2007-04-26</t>
        </is>
      </c>
      <c r="Z1121" t="inlineStr">
        <is>
          <t>2007-04-26</t>
        </is>
      </c>
      <c r="AA1121" t="n">
        <v>315</v>
      </c>
      <c r="AB1121" t="n">
        <v>244</v>
      </c>
      <c r="AC1121" t="n">
        <v>645</v>
      </c>
      <c r="AD1121" t="n">
        <v>2</v>
      </c>
      <c r="AE1121" t="n">
        <v>9</v>
      </c>
      <c r="AF1121" t="n">
        <v>8</v>
      </c>
      <c r="AG1121" t="n">
        <v>23</v>
      </c>
      <c r="AH1121" t="n">
        <v>5</v>
      </c>
      <c r="AI1121" t="n">
        <v>11</v>
      </c>
      <c r="AJ1121" t="n">
        <v>2</v>
      </c>
      <c r="AK1121" t="n">
        <v>4</v>
      </c>
      <c r="AL1121" t="n">
        <v>3</v>
      </c>
      <c r="AM1121" t="n">
        <v>5</v>
      </c>
      <c r="AN1121" t="n">
        <v>1</v>
      </c>
      <c r="AO1121" t="n">
        <v>8</v>
      </c>
      <c r="AP1121" t="n">
        <v>0</v>
      </c>
      <c r="AQ1121" t="n">
        <v>0</v>
      </c>
      <c r="AR1121" t="inlineStr">
        <is>
          <t>No</t>
        </is>
      </c>
      <c r="AS1121" t="inlineStr">
        <is>
          <t>Yes</t>
        </is>
      </c>
      <c r="AT1121">
        <f>HYPERLINK("http://catalog.hathitrust.org/Record/005035083","HathiTrust Record")</f>
        <v/>
      </c>
      <c r="AU1121">
        <f>HYPERLINK("https://creighton-primo.hosted.exlibrisgroup.com/primo-explore/search?tab=default_tab&amp;search_scope=EVERYTHING&amp;vid=01CRU&amp;lang=en_US&amp;offset=0&amp;query=any,contains,991000616659702656","Catalog Record")</f>
        <v/>
      </c>
      <c r="AV1121">
        <f>HYPERLINK("http://www.worldcat.org/oclc/58431689","WorldCat Record")</f>
        <v/>
      </c>
    </row>
    <row r="1122">
      <c r="D1122" t="inlineStr">
        <is>
          <t>QT261 F3291 2002</t>
        </is>
      </c>
      <c r="E1122" t="inlineStr">
        <is>
          <t>0                      QT 0261000F  3291        2002</t>
        </is>
      </c>
      <c r="F1122" t="inlineStr">
        <is>
          <t>The female athlete / [edited by] Mary Lloyd Ireland, Aurelia Nattiv.</t>
        </is>
      </c>
      <c r="H1122" t="inlineStr">
        <is>
          <t>No</t>
        </is>
      </c>
      <c r="I1122" t="inlineStr">
        <is>
          <t>1</t>
        </is>
      </c>
      <c r="J1122" t="inlineStr">
        <is>
          <t>No</t>
        </is>
      </c>
      <c r="K1122" t="inlineStr">
        <is>
          <t>No</t>
        </is>
      </c>
      <c r="L1122" t="inlineStr">
        <is>
          <t>0</t>
        </is>
      </c>
      <c r="N1122" t="inlineStr">
        <is>
          <t>Philadelphia : W.B. Saunders, c2002.</t>
        </is>
      </c>
      <c r="O1122" t="inlineStr">
        <is>
          <t>2002</t>
        </is>
      </c>
      <c r="Q1122" t="inlineStr">
        <is>
          <t>eng</t>
        </is>
      </c>
      <c r="R1122" t="inlineStr">
        <is>
          <t>pau</t>
        </is>
      </c>
      <c r="T1122" t="inlineStr">
        <is>
          <t xml:space="preserve">QT </t>
        </is>
      </c>
      <c r="U1122" t="n">
        <v>4</v>
      </c>
      <c r="V1122" t="n">
        <v>4</v>
      </c>
      <c r="W1122" t="inlineStr">
        <is>
          <t>2006-02-17</t>
        </is>
      </c>
      <c r="X1122" t="inlineStr">
        <is>
          <t>2006-02-17</t>
        </is>
      </c>
      <c r="Y1122" t="inlineStr">
        <is>
          <t>2005-12-14</t>
        </is>
      </c>
      <c r="Z1122" t="inlineStr">
        <is>
          <t>2005-12-14</t>
        </is>
      </c>
      <c r="AA1122" t="n">
        <v>327</v>
      </c>
      <c r="AB1122" t="n">
        <v>253</v>
      </c>
      <c r="AC1122" t="n">
        <v>255</v>
      </c>
      <c r="AD1122" t="n">
        <v>3</v>
      </c>
      <c r="AE1122" t="n">
        <v>3</v>
      </c>
      <c r="AF1122" t="n">
        <v>8</v>
      </c>
      <c r="AG1122" t="n">
        <v>8</v>
      </c>
      <c r="AH1122" t="n">
        <v>3</v>
      </c>
      <c r="AI1122" t="n">
        <v>3</v>
      </c>
      <c r="AJ1122" t="n">
        <v>3</v>
      </c>
      <c r="AK1122" t="n">
        <v>3</v>
      </c>
      <c r="AL1122" t="n">
        <v>3</v>
      </c>
      <c r="AM1122" t="n">
        <v>3</v>
      </c>
      <c r="AN1122" t="n">
        <v>2</v>
      </c>
      <c r="AO1122" t="n">
        <v>2</v>
      </c>
      <c r="AP1122" t="n">
        <v>0</v>
      </c>
      <c r="AQ1122" t="n">
        <v>0</v>
      </c>
      <c r="AR1122" t="inlineStr">
        <is>
          <t>No</t>
        </is>
      </c>
      <c r="AS1122" t="inlineStr">
        <is>
          <t>Yes</t>
        </is>
      </c>
      <c r="AT1122">
        <f>HYPERLINK("http://catalog.hathitrust.org/Record/004302994","HathiTrust Record")</f>
        <v/>
      </c>
      <c r="AU1122">
        <f>HYPERLINK("https://creighton-primo.hosted.exlibrisgroup.com/primo-explore/search?tab=default_tab&amp;search_scope=EVERYTHING&amp;vid=01CRU&amp;lang=en_US&amp;offset=0&amp;query=any,contains,991000453969702656","Catalog Record")</f>
        <v/>
      </c>
      <c r="AV1122">
        <f>HYPERLINK("http://www.worldcat.org/oclc/50002716","WorldCat Record")</f>
        <v/>
      </c>
    </row>
    <row r="1123">
      <c r="D1123" t="inlineStr">
        <is>
          <t>QT 261 H236 1999</t>
        </is>
      </c>
      <c r="E1123" t="inlineStr">
        <is>
          <t>0                      QT 0261000H  236         1999</t>
        </is>
      </c>
      <c r="F1123" t="inlineStr">
        <is>
          <t>Handbook of sports injuries / editor, R. Charles Bull.</t>
        </is>
      </c>
      <c r="H1123" t="inlineStr">
        <is>
          <t>No</t>
        </is>
      </c>
      <c r="I1123" t="inlineStr">
        <is>
          <t>1</t>
        </is>
      </c>
      <c r="J1123" t="inlineStr">
        <is>
          <t>No</t>
        </is>
      </c>
      <c r="K1123" t="inlineStr">
        <is>
          <t>No</t>
        </is>
      </c>
      <c r="L1123" t="inlineStr">
        <is>
          <t>0</t>
        </is>
      </c>
      <c r="N1123" t="inlineStr">
        <is>
          <t>New York : McGraw-Hill, Health Professions Division, c1999.</t>
        </is>
      </c>
      <c r="O1123" t="inlineStr">
        <is>
          <t>1999</t>
        </is>
      </c>
      <c r="P1123" t="inlineStr">
        <is>
          <t>1st ed.</t>
        </is>
      </c>
      <c r="Q1123" t="inlineStr">
        <is>
          <t>eng</t>
        </is>
      </c>
      <c r="R1123" t="inlineStr">
        <is>
          <t>nyu</t>
        </is>
      </c>
      <c r="T1123" t="inlineStr">
        <is>
          <t xml:space="preserve">QT </t>
        </is>
      </c>
      <c r="U1123" t="n">
        <v>8</v>
      </c>
      <c r="V1123" t="n">
        <v>8</v>
      </c>
      <c r="W1123" t="inlineStr">
        <is>
          <t>2007-10-11</t>
        </is>
      </c>
      <c r="X1123" t="inlineStr">
        <is>
          <t>2007-10-11</t>
        </is>
      </c>
      <c r="Y1123" t="inlineStr">
        <is>
          <t>1999-07-09</t>
        </is>
      </c>
      <c r="Z1123" t="inlineStr">
        <is>
          <t>1999-07-09</t>
        </is>
      </c>
      <c r="AA1123" t="n">
        <v>212</v>
      </c>
      <c r="AB1123" t="n">
        <v>132</v>
      </c>
      <c r="AC1123" t="n">
        <v>134</v>
      </c>
      <c r="AD1123" t="n">
        <v>2</v>
      </c>
      <c r="AE1123" t="n">
        <v>2</v>
      </c>
      <c r="AF1123" t="n">
        <v>6</v>
      </c>
      <c r="AG1123" t="n">
        <v>6</v>
      </c>
      <c r="AH1123" t="n">
        <v>4</v>
      </c>
      <c r="AI1123" t="n">
        <v>4</v>
      </c>
      <c r="AJ1123" t="n">
        <v>0</v>
      </c>
      <c r="AK1123" t="n">
        <v>0</v>
      </c>
      <c r="AL1123" t="n">
        <v>3</v>
      </c>
      <c r="AM1123" t="n">
        <v>3</v>
      </c>
      <c r="AN1123" t="n">
        <v>1</v>
      </c>
      <c r="AO1123" t="n">
        <v>1</v>
      </c>
      <c r="AP1123" t="n">
        <v>0</v>
      </c>
      <c r="AQ1123" t="n">
        <v>0</v>
      </c>
      <c r="AR1123" t="inlineStr">
        <is>
          <t>No</t>
        </is>
      </c>
      <c r="AS1123" t="inlineStr">
        <is>
          <t>No</t>
        </is>
      </c>
      <c r="AU1123">
        <f>HYPERLINK("https://creighton-primo.hosted.exlibrisgroup.com/primo-explore/search?tab=default_tab&amp;search_scope=EVERYTHING&amp;vid=01CRU&amp;lang=en_US&amp;offset=0&amp;query=any,contains,991001567819702656","Catalog Record")</f>
        <v/>
      </c>
      <c r="AV1123">
        <f>HYPERLINK("http://www.worldcat.org/oclc/39533443","WorldCat Record")</f>
        <v/>
      </c>
    </row>
    <row r="1124">
      <c r="D1124" t="inlineStr">
        <is>
          <t>QT 261 I21 2004a</t>
        </is>
      </c>
      <c r="E1124" t="inlineStr">
        <is>
          <t>0                      QT 0261000I  21          2004a</t>
        </is>
      </c>
      <c r="F1124" t="inlineStr">
        <is>
          <t>Clinical guide to sports injuries / Roald Bahr, Sverre Mæhlum, editors ; Tommy Bolic, medical illustrator.</t>
        </is>
      </c>
      <c r="H1124" t="inlineStr">
        <is>
          <t>No</t>
        </is>
      </c>
      <c r="I1124" t="inlineStr">
        <is>
          <t>1</t>
        </is>
      </c>
      <c r="J1124" t="inlineStr">
        <is>
          <t>No</t>
        </is>
      </c>
      <c r="K1124" t="inlineStr">
        <is>
          <t>No</t>
        </is>
      </c>
      <c r="L1124" t="inlineStr">
        <is>
          <t>0</t>
        </is>
      </c>
      <c r="M1124" t="inlineStr">
        <is>
          <t>Idrettsskader. English.</t>
        </is>
      </c>
      <c r="N1124" t="inlineStr">
        <is>
          <t>Champaign, IL : Human Kinetics, c2004.</t>
        </is>
      </c>
      <c r="O1124" t="inlineStr">
        <is>
          <t>2004</t>
        </is>
      </c>
      <c r="Q1124" t="inlineStr">
        <is>
          <t>eng</t>
        </is>
      </c>
      <c r="R1124" t="inlineStr">
        <is>
          <t>ilu</t>
        </is>
      </c>
      <c r="T1124" t="inlineStr">
        <is>
          <t xml:space="preserve">QT </t>
        </is>
      </c>
      <c r="U1124" t="n">
        <v>3</v>
      </c>
      <c r="V1124" t="n">
        <v>3</v>
      </c>
      <c r="W1124" t="inlineStr">
        <is>
          <t>2008-02-21</t>
        </is>
      </c>
      <c r="X1124" t="inlineStr">
        <is>
          <t>2008-02-21</t>
        </is>
      </c>
      <c r="Y1124" t="inlineStr">
        <is>
          <t>2004-09-22</t>
        </is>
      </c>
      <c r="Z1124" t="inlineStr">
        <is>
          <t>2004-09-22</t>
        </is>
      </c>
      <c r="AA1124" t="n">
        <v>315</v>
      </c>
      <c r="AB1124" t="n">
        <v>216</v>
      </c>
      <c r="AC1124" t="n">
        <v>225</v>
      </c>
      <c r="AD1124" t="n">
        <v>3</v>
      </c>
      <c r="AE1124" t="n">
        <v>3</v>
      </c>
      <c r="AF1124" t="n">
        <v>10</v>
      </c>
      <c r="AG1124" t="n">
        <v>10</v>
      </c>
      <c r="AH1124" t="n">
        <v>5</v>
      </c>
      <c r="AI1124" t="n">
        <v>5</v>
      </c>
      <c r="AJ1124" t="n">
        <v>3</v>
      </c>
      <c r="AK1124" t="n">
        <v>3</v>
      </c>
      <c r="AL1124" t="n">
        <v>2</v>
      </c>
      <c r="AM1124" t="n">
        <v>2</v>
      </c>
      <c r="AN1124" t="n">
        <v>2</v>
      </c>
      <c r="AO1124" t="n">
        <v>2</v>
      </c>
      <c r="AP1124" t="n">
        <v>0</v>
      </c>
      <c r="AQ1124" t="n">
        <v>0</v>
      </c>
      <c r="AR1124" t="inlineStr">
        <is>
          <t>No</t>
        </is>
      </c>
      <c r="AS1124" t="inlineStr">
        <is>
          <t>Yes</t>
        </is>
      </c>
      <c r="AT1124">
        <f>HYPERLINK("http://catalog.hathitrust.org/Record/003885237","HathiTrust Record")</f>
        <v/>
      </c>
      <c r="AU1124">
        <f>HYPERLINK("https://creighton-primo.hosted.exlibrisgroup.com/primo-explore/search?tab=default_tab&amp;search_scope=EVERYTHING&amp;vid=01CRU&amp;lang=en_US&amp;offset=0&amp;query=any,contains,991000395059702656","Catalog Record")</f>
        <v/>
      </c>
      <c r="AV1124">
        <f>HYPERLINK("http://www.worldcat.org/oclc/52424637","WorldCat Record")</f>
        <v/>
      </c>
    </row>
    <row r="1125">
      <c r="D1125" t="inlineStr">
        <is>
          <t>QT261 K18p 2005</t>
        </is>
      </c>
      <c r="E1125" t="inlineStr">
        <is>
          <t>0                      QT 0261000K  18p         2005</t>
        </is>
      </c>
      <c r="F1125" t="inlineStr">
        <is>
          <t>Principles of manual sports medicine / Steven J. Karageanes.</t>
        </is>
      </c>
      <c r="H1125" t="inlineStr">
        <is>
          <t>No</t>
        </is>
      </c>
      <c r="I1125" t="inlineStr">
        <is>
          <t>1</t>
        </is>
      </c>
      <c r="J1125" t="inlineStr">
        <is>
          <t>No</t>
        </is>
      </c>
      <c r="K1125" t="inlineStr">
        <is>
          <t>No</t>
        </is>
      </c>
      <c r="L1125" t="inlineStr">
        <is>
          <t>0</t>
        </is>
      </c>
      <c r="M1125" t="inlineStr">
        <is>
          <t>Karageanes, Steven J.</t>
        </is>
      </c>
      <c r="N1125" t="inlineStr">
        <is>
          <t>Philadelphia : Lippincott Williams &amp; Wilkins, c2005.</t>
        </is>
      </c>
      <c r="O1125" t="inlineStr">
        <is>
          <t>2005</t>
        </is>
      </c>
      <c r="Q1125" t="inlineStr">
        <is>
          <t>eng</t>
        </is>
      </c>
      <c r="R1125" t="inlineStr">
        <is>
          <t>pau</t>
        </is>
      </c>
      <c r="T1125" t="inlineStr">
        <is>
          <t xml:space="preserve">QT </t>
        </is>
      </c>
      <c r="U1125" t="n">
        <v>3</v>
      </c>
      <c r="V1125" t="n">
        <v>3</v>
      </c>
      <c r="W1125" t="inlineStr">
        <is>
          <t>2008-02-20</t>
        </is>
      </c>
      <c r="X1125" t="inlineStr">
        <is>
          <t>2008-02-20</t>
        </is>
      </c>
      <c r="Y1125" t="inlineStr">
        <is>
          <t>2006-02-02</t>
        </is>
      </c>
      <c r="Z1125" t="inlineStr">
        <is>
          <t>2006-02-02</t>
        </is>
      </c>
      <c r="AA1125" t="n">
        <v>244</v>
      </c>
      <c r="AB1125" t="n">
        <v>167</v>
      </c>
      <c r="AC1125" t="n">
        <v>551</v>
      </c>
      <c r="AD1125" t="n">
        <v>1</v>
      </c>
      <c r="AE1125" t="n">
        <v>5</v>
      </c>
      <c r="AF1125" t="n">
        <v>4</v>
      </c>
      <c r="AG1125" t="n">
        <v>24</v>
      </c>
      <c r="AH1125" t="n">
        <v>0</v>
      </c>
      <c r="AI1125" t="n">
        <v>7</v>
      </c>
      <c r="AJ1125" t="n">
        <v>3</v>
      </c>
      <c r="AK1125" t="n">
        <v>8</v>
      </c>
      <c r="AL1125" t="n">
        <v>2</v>
      </c>
      <c r="AM1125" t="n">
        <v>7</v>
      </c>
      <c r="AN1125" t="n">
        <v>0</v>
      </c>
      <c r="AO1125" t="n">
        <v>4</v>
      </c>
      <c r="AP1125" t="n">
        <v>0</v>
      </c>
      <c r="AQ1125" t="n">
        <v>1</v>
      </c>
      <c r="AR1125" t="inlineStr">
        <is>
          <t>No</t>
        </is>
      </c>
      <c r="AS1125" t="inlineStr">
        <is>
          <t>No</t>
        </is>
      </c>
      <c r="AU1125">
        <f>HYPERLINK("https://creighton-primo.hosted.exlibrisgroup.com/primo-explore/search?tab=default_tab&amp;search_scope=EVERYTHING&amp;vid=01CRU&amp;lang=en_US&amp;offset=0&amp;query=any,contains,991000462169702656","Catalog Record")</f>
        <v/>
      </c>
      <c r="AV1125">
        <f>HYPERLINK("http://www.worldcat.org/oclc/56324214","WorldCat Record")</f>
        <v/>
      </c>
    </row>
    <row r="1126">
      <c r="D1126" t="inlineStr">
        <is>
          <t>QT 261 M596s 2008</t>
        </is>
      </c>
      <c r="E1126" t="inlineStr">
        <is>
          <t>0                      QT 0261000M  596s        2008</t>
        </is>
      </c>
      <c r="F1126" t="inlineStr">
        <is>
          <t>Sports medicine in the pediatric office : a multimedia case-based text with video / Jordan D. Metzl with David Bernhardt ... [et al.] ; with foreword by Lewis R. First.</t>
        </is>
      </c>
      <c r="H1126" t="inlineStr">
        <is>
          <t>No</t>
        </is>
      </c>
      <c r="I1126" t="inlineStr">
        <is>
          <t>1</t>
        </is>
      </c>
      <c r="J1126" t="inlineStr">
        <is>
          <t>No</t>
        </is>
      </c>
      <c r="K1126" t="inlineStr">
        <is>
          <t>No</t>
        </is>
      </c>
      <c r="L1126" t="inlineStr">
        <is>
          <t>2</t>
        </is>
      </c>
      <c r="M1126" t="inlineStr">
        <is>
          <t>Metzl, Jordan D., 1966-</t>
        </is>
      </c>
      <c r="N1126" t="inlineStr">
        <is>
          <t>Elk Grove Village, IL : American Academy of Pediatrics, c2008.</t>
        </is>
      </c>
      <c r="O1126" t="inlineStr">
        <is>
          <t>2008</t>
        </is>
      </c>
      <c r="Q1126" t="inlineStr">
        <is>
          <t>eng</t>
        </is>
      </c>
      <c r="R1126" t="inlineStr">
        <is>
          <t>ilu</t>
        </is>
      </c>
      <c r="T1126" t="inlineStr">
        <is>
          <t xml:space="preserve">QT </t>
        </is>
      </c>
      <c r="U1126" t="n">
        <v>0</v>
      </c>
      <c r="V1126" t="n">
        <v>0</v>
      </c>
      <c r="W1126" t="inlineStr">
        <is>
          <t>2009-10-08</t>
        </is>
      </c>
      <c r="X1126" t="inlineStr">
        <is>
          <t>2009-10-08</t>
        </is>
      </c>
      <c r="Y1126" t="inlineStr">
        <is>
          <t>2009-10-08</t>
        </is>
      </c>
      <c r="Z1126" t="inlineStr">
        <is>
          <t>2009-10-08</t>
        </is>
      </c>
      <c r="AA1126" t="n">
        <v>87</v>
      </c>
      <c r="AB1126" t="n">
        <v>63</v>
      </c>
      <c r="AC1126" t="n">
        <v>825</v>
      </c>
      <c r="AD1126" t="n">
        <v>1</v>
      </c>
      <c r="AE1126" t="n">
        <v>13</v>
      </c>
      <c r="AF1126" t="n">
        <v>2</v>
      </c>
      <c r="AG1126" t="n">
        <v>40</v>
      </c>
      <c r="AH1126" t="n">
        <v>1</v>
      </c>
      <c r="AI1126" t="n">
        <v>13</v>
      </c>
      <c r="AJ1126" t="n">
        <v>1</v>
      </c>
      <c r="AK1126" t="n">
        <v>10</v>
      </c>
      <c r="AL1126" t="n">
        <v>0</v>
      </c>
      <c r="AM1126" t="n">
        <v>11</v>
      </c>
      <c r="AN1126" t="n">
        <v>0</v>
      </c>
      <c r="AO1126" t="n">
        <v>11</v>
      </c>
      <c r="AP1126" t="n">
        <v>0</v>
      </c>
      <c r="AQ1126" t="n">
        <v>1</v>
      </c>
      <c r="AR1126" t="inlineStr">
        <is>
          <t>No</t>
        </is>
      </c>
      <c r="AS1126" t="inlineStr">
        <is>
          <t>No</t>
        </is>
      </c>
      <c r="AU1126">
        <f>HYPERLINK("https://creighton-primo.hosted.exlibrisgroup.com/primo-explore/search?tab=default_tab&amp;search_scope=EVERYTHING&amp;vid=01CRU&amp;lang=en_US&amp;offset=0&amp;query=any,contains,991001497919702656","Catalog Record")</f>
        <v/>
      </c>
      <c r="AV1126">
        <f>HYPERLINK("http://www.worldcat.org/oclc/275856893","WorldCat Record")</f>
        <v/>
      </c>
    </row>
    <row r="1127">
      <c r="D1127" t="inlineStr">
        <is>
          <t>QT261 O77 2004</t>
        </is>
      </c>
      <c r="E1127" t="inlineStr">
        <is>
          <t>0                      QT 0261000O  77          2004</t>
        </is>
      </c>
      <c r="F1127" t="inlineStr">
        <is>
          <t>OKU orthopaedic knowledge update. Sports medicine 3 / edited by James G. Garrick.</t>
        </is>
      </c>
      <c r="H1127" t="inlineStr">
        <is>
          <t>No</t>
        </is>
      </c>
      <c r="I1127" t="inlineStr">
        <is>
          <t>1</t>
        </is>
      </c>
      <c r="J1127" t="inlineStr">
        <is>
          <t>No</t>
        </is>
      </c>
      <c r="K1127" t="inlineStr">
        <is>
          <t>No</t>
        </is>
      </c>
      <c r="L1127" t="inlineStr">
        <is>
          <t>0</t>
        </is>
      </c>
      <c r="N1127" t="inlineStr">
        <is>
          <t>Rosemont, IL : American Academy of Orthopaedic Surgeons, 2004.</t>
        </is>
      </c>
      <c r="O1127" t="inlineStr">
        <is>
          <t>2004</t>
        </is>
      </c>
      <c r="P1127" t="inlineStr">
        <is>
          <t>3rd ed.</t>
        </is>
      </c>
      <c r="Q1127" t="inlineStr">
        <is>
          <t>eng</t>
        </is>
      </c>
      <c r="R1127" t="inlineStr">
        <is>
          <t>ilu</t>
        </is>
      </c>
      <c r="T1127" t="inlineStr">
        <is>
          <t xml:space="preserve">QT </t>
        </is>
      </c>
      <c r="U1127" t="n">
        <v>0</v>
      </c>
      <c r="V1127" t="n">
        <v>0</v>
      </c>
      <c r="W1127" t="inlineStr">
        <is>
          <t>2007-08-15</t>
        </is>
      </c>
      <c r="X1127" t="inlineStr">
        <is>
          <t>2007-08-15</t>
        </is>
      </c>
      <c r="Y1127" t="inlineStr">
        <is>
          <t>2007-04-26</t>
        </is>
      </c>
      <c r="Z1127" t="inlineStr">
        <is>
          <t>2007-04-26</t>
        </is>
      </c>
      <c r="AA1127" t="n">
        <v>69</v>
      </c>
      <c r="AB1127" t="n">
        <v>59</v>
      </c>
      <c r="AC1127" t="n">
        <v>62</v>
      </c>
      <c r="AD1127" t="n">
        <v>1</v>
      </c>
      <c r="AE1127" t="n">
        <v>1</v>
      </c>
      <c r="AF1127" t="n">
        <v>0</v>
      </c>
      <c r="AG1127" t="n">
        <v>0</v>
      </c>
      <c r="AH1127" t="n">
        <v>0</v>
      </c>
      <c r="AI1127" t="n">
        <v>0</v>
      </c>
      <c r="AJ1127" t="n">
        <v>0</v>
      </c>
      <c r="AK1127" t="n">
        <v>0</v>
      </c>
      <c r="AL1127" t="n">
        <v>0</v>
      </c>
      <c r="AM1127" t="n">
        <v>0</v>
      </c>
      <c r="AN1127" t="n">
        <v>0</v>
      </c>
      <c r="AO1127" t="n">
        <v>0</v>
      </c>
      <c r="AP1127" t="n">
        <v>0</v>
      </c>
      <c r="AQ1127" t="n">
        <v>0</v>
      </c>
      <c r="AR1127" t="inlineStr">
        <is>
          <t>No</t>
        </is>
      </c>
      <c r="AS1127" t="inlineStr">
        <is>
          <t>Yes</t>
        </is>
      </c>
      <c r="AT1127">
        <f>HYPERLINK("http://catalog.hathitrust.org/Record/004768052","HathiTrust Record")</f>
        <v/>
      </c>
      <c r="AU1127">
        <f>HYPERLINK("https://creighton-primo.hosted.exlibrisgroup.com/primo-explore/search?tab=default_tab&amp;search_scope=EVERYTHING&amp;vid=01CRU&amp;lang=en_US&amp;offset=0&amp;query=any,contains,991000616699702656","Catalog Record")</f>
        <v/>
      </c>
      <c r="AV1127">
        <f>HYPERLINK("http://www.worldcat.org/oclc/56672473","WorldCat Record")</f>
        <v/>
      </c>
    </row>
    <row r="1128">
      <c r="D1128" t="inlineStr">
        <is>
          <t>QT 261 P528c 2008</t>
        </is>
      </c>
      <c r="E1128" t="inlineStr">
        <is>
          <t>0                      QT 0261000P  528c        2008</t>
        </is>
      </c>
      <c r="F1128" t="inlineStr">
        <is>
          <t>Concepts of athletic training / Ronald P. Pfeiffer, Brent C. Mangus.</t>
        </is>
      </c>
      <c r="H1128" t="inlineStr">
        <is>
          <t>No</t>
        </is>
      </c>
      <c r="I1128" t="inlineStr">
        <is>
          <t>1</t>
        </is>
      </c>
      <c r="J1128" t="inlineStr">
        <is>
          <t>No</t>
        </is>
      </c>
      <c r="K1128" t="inlineStr">
        <is>
          <t>Yes</t>
        </is>
      </c>
      <c r="L1128" t="inlineStr">
        <is>
          <t>0</t>
        </is>
      </c>
      <c r="M1128" t="inlineStr">
        <is>
          <t>Pfeiffer, Ronald P.</t>
        </is>
      </c>
      <c r="N1128" t="inlineStr">
        <is>
          <t>Sudbury, Mass. : Jones and Bartlett Publishers, c2008.</t>
        </is>
      </c>
      <c r="O1128" t="inlineStr">
        <is>
          <t>2008</t>
        </is>
      </c>
      <c r="P1128" t="inlineStr">
        <is>
          <t>5th ed.</t>
        </is>
      </c>
      <c r="Q1128" t="inlineStr">
        <is>
          <t>eng</t>
        </is>
      </c>
      <c r="R1128" t="inlineStr">
        <is>
          <t>mau</t>
        </is>
      </c>
      <c r="T1128" t="inlineStr">
        <is>
          <t xml:space="preserve">QT </t>
        </is>
      </c>
      <c r="U1128" t="n">
        <v>1</v>
      </c>
      <c r="V1128" t="n">
        <v>1</v>
      </c>
      <c r="W1128" t="inlineStr">
        <is>
          <t>2009-07-21</t>
        </is>
      </c>
      <c r="X1128" t="inlineStr">
        <is>
          <t>2009-07-21</t>
        </is>
      </c>
      <c r="Y1128" t="inlineStr">
        <is>
          <t>2008-08-20</t>
        </is>
      </c>
      <c r="Z1128" t="inlineStr">
        <is>
          <t>2008-08-20</t>
        </is>
      </c>
      <c r="AA1128" t="n">
        <v>192</v>
      </c>
      <c r="AB1128" t="n">
        <v>154</v>
      </c>
      <c r="AC1128" t="n">
        <v>1285</v>
      </c>
      <c r="AD1128" t="n">
        <v>2</v>
      </c>
      <c r="AE1128" t="n">
        <v>10</v>
      </c>
      <c r="AF1128" t="n">
        <v>8</v>
      </c>
      <c r="AG1128" t="n">
        <v>35</v>
      </c>
      <c r="AH1128" t="n">
        <v>3</v>
      </c>
      <c r="AI1128" t="n">
        <v>19</v>
      </c>
      <c r="AJ1128" t="n">
        <v>2</v>
      </c>
      <c r="AK1128" t="n">
        <v>7</v>
      </c>
      <c r="AL1128" t="n">
        <v>4</v>
      </c>
      <c r="AM1128" t="n">
        <v>11</v>
      </c>
      <c r="AN1128" t="n">
        <v>1</v>
      </c>
      <c r="AO1128" t="n">
        <v>7</v>
      </c>
      <c r="AP1128" t="n">
        <v>0</v>
      </c>
      <c r="AQ1128" t="n">
        <v>0</v>
      </c>
      <c r="AR1128" t="inlineStr">
        <is>
          <t>No</t>
        </is>
      </c>
      <c r="AS1128" t="inlineStr">
        <is>
          <t>No</t>
        </is>
      </c>
      <c r="AU1128">
        <f>HYPERLINK("https://creighton-primo.hosted.exlibrisgroup.com/primo-explore/search?tab=default_tab&amp;search_scope=EVERYTHING&amp;vid=01CRU&amp;lang=en_US&amp;offset=0&amp;query=any,contains,991000911139702656","Catalog Record")</f>
        <v/>
      </c>
      <c r="AV1128">
        <f>HYPERLINK("http://www.worldcat.org/oclc/86109933","WorldCat Record")</f>
        <v/>
      </c>
    </row>
    <row r="1129">
      <c r="D1129" t="inlineStr">
        <is>
          <t>QT261 P578 2004</t>
        </is>
      </c>
      <c r="E1129" t="inlineStr">
        <is>
          <t>0                      QT 0261000P  578         2004</t>
        </is>
      </c>
      <c r="F1129" t="inlineStr">
        <is>
          <t>Physical rehabilitation of the injured athlete / [edited by] James R. Andrews, Gary L. Harrelson, Kevin E. Wilk.</t>
        </is>
      </c>
      <c r="H1129" t="inlineStr">
        <is>
          <t>No</t>
        </is>
      </c>
      <c r="I1129" t="inlineStr">
        <is>
          <t>1</t>
        </is>
      </c>
      <c r="J1129" t="inlineStr">
        <is>
          <t>No</t>
        </is>
      </c>
      <c r="K1129" t="inlineStr">
        <is>
          <t>Yes</t>
        </is>
      </c>
      <c r="L1129" t="inlineStr">
        <is>
          <t>1</t>
        </is>
      </c>
      <c r="N1129" t="inlineStr">
        <is>
          <t>Philadelphia, PA : Saunders, c2004.</t>
        </is>
      </c>
      <c r="O1129" t="inlineStr">
        <is>
          <t>2004</t>
        </is>
      </c>
      <c r="P1129" t="inlineStr">
        <is>
          <t>3rd ed.</t>
        </is>
      </c>
      <c r="Q1129" t="inlineStr">
        <is>
          <t>eng</t>
        </is>
      </c>
      <c r="R1129" t="inlineStr">
        <is>
          <t>pau</t>
        </is>
      </c>
      <c r="T1129" t="inlineStr">
        <is>
          <t xml:space="preserve">QT </t>
        </is>
      </c>
      <c r="U1129" t="n">
        <v>2</v>
      </c>
      <c r="V1129" t="n">
        <v>2</v>
      </c>
      <c r="W1129" t="inlineStr">
        <is>
          <t>2008-11-12</t>
        </is>
      </c>
      <c r="X1129" t="inlineStr">
        <is>
          <t>2008-11-12</t>
        </is>
      </c>
      <c r="Y1129" t="inlineStr">
        <is>
          <t>2004-10-25</t>
        </is>
      </c>
      <c r="Z1129" t="inlineStr">
        <is>
          <t>2004-10-25</t>
        </is>
      </c>
      <c r="AA1129" t="n">
        <v>371</v>
      </c>
      <c r="AB1129" t="n">
        <v>270</v>
      </c>
      <c r="AC1129" t="n">
        <v>780</v>
      </c>
      <c r="AD1129" t="n">
        <v>2</v>
      </c>
      <c r="AE1129" t="n">
        <v>9</v>
      </c>
      <c r="AF1129" t="n">
        <v>7</v>
      </c>
      <c r="AG1129" t="n">
        <v>32</v>
      </c>
      <c r="AH1129" t="n">
        <v>3</v>
      </c>
      <c r="AI1129" t="n">
        <v>15</v>
      </c>
      <c r="AJ1129" t="n">
        <v>2</v>
      </c>
      <c r="AK1129" t="n">
        <v>6</v>
      </c>
      <c r="AL1129" t="n">
        <v>3</v>
      </c>
      <c r="AM1129" t="n">
        <v>11</v>
      </c>
      <c r="AN1129" t="n">
        <v>1</v>
      </c>
      <c r="AO1129" t="n">
        <v>7</v>
      </c>
      <c r="AP1129" t="n">
        <v>0</v>
      </c>
      <c r="AQ1129" t="n">
        <v>0</v>
      </c>
      <c r="AR1129" t="inlineStr">
        <is>
          <t>No</t>
        </is>
      </c>
      <c r="AS1129" t="inlineStr">
        <is>
          <t>Yes</t>
        </is>
      </c>
      <c r="AT1129">
        <f>HYPERLINK("http://catalog.hathitrust.org/Record/004377850","HathiTrust Record")</f>
        <v/>
      </c>
      <c r="AU1129">
        <f>HYPERLINK("https://creighton-primo.hosted.exlibrisgroup.com/primo-explore/search?tab=default_tab&amp;search_scope=EVERYTHING&amp;vid=01CRU&amp;lang=en_US&amp;offset=0&amp;query=any,contains,991000404209702656","Catalog Record")</f>
        <v/>
      </c>
      <c r="AV1129">
        <f>HYPERLINK("http://www.worldcat.org/oclc/52301796","WorldCat Record")</f>
        <v/>
      </c>
    </row>
    <row r="1130">
      <c r="D1130" t="inlineStr">
        <is>
          <t>QT 261 R3445 1998</t>
        </is>
      </c>
      <c r="E1130" t="inlineStr">
        <is>
          <t>0                      QT 0261000R  3445        1998</t>
        </is>
      </c>
      <c r="F1130" t="inlineStr">
        <is>
          <t>Rehabilitation in sports medicine : a comprehensive guide / [edited by] Paul K. Canavan.</t>
        </is>
      </c>
      <c r="H1130" t="inlineStr">
        <is>
          <t>No</t>
        </is>
      </c>
      <c r="I1130" t="inlineStr">
        <is>
          <t>1</t>
        </is>
      </c>
      <c r="J1130" t="inlineStr">
        <is>
          <t>No</t>
        </is>
      </c>
      <c r="K1130" t="inlineStr">
        <is>
          <t>No</t>
        </is>
      </c>
      <c r="L1130" t="inlineStr">
        <is>
          <t>0</t>
        </is>
      </c>
      <c r="N1130" t="inlineStr">
        <is>
          <t>Stamford, Conn. : Appleton &amp; Lange, c1998.</t>
        </is>
      </c>
      <c r="O1130" t="inlineStr">
        <is>
          <t>1998</t>
        </is>
      </c>
      <c r="Q1130" t="inlineStr">
        <is>
          <t>eng</t>
        </is>
      </c>
      <c r="R1130" t="inlineStr">
        <is>
          <t>ctu</t>
        </is>
      </c>
      <c r="T1130" t="inlineStr">
        <is>
          <t xml:space="preserve">QT </t>
        </is>
      </c>
      <c r="U1130" t="n">
        <v>14</v>
      </c>
      <c r="V1130" t="n">
        <v>14</v>
      </c>
      <c r="W1130" t="inlineStr">
        <is>
          <t>2006-02-01</t>
        </is>
      </c>
      <c r="X1130" t="inlineStr">
        <is>
          <t>2006-02-01</t>
        </is>
      </c>
      <c r="Y1130" t="inlineStr">
        <is>
          <t>2000-02-10</t>
        </is>
      </c>
      <c r="Z1130" t="inlineStr">
        <is>
          <t>2000-02-10</t>
        </is>
      </c>
      <c r="AA1130" t="n">
        <v>242</v>
      </c>
      <c r="AB1130" t="n">
        <v>184</v>
      </c>
      <c r="AC1130" t="n">
        <v>186</v>
      </c>
      <c r="AD1130" t="n">
        <v>3</v>
      </c>
      <c r="AE1130" t="n">
        <v>3</v>
      </c>
      <c r="AF1130" t="n">
        <v>8</v>
      </c>
      <c r="AG1130" t="n">
        <v>8</v>
      </c>
      <c r="AH1130" t="n">
        <v>3</v>
      </c>
      <c r="AI1130" t="n">
        <v>3</v>
      </c>
      <c r="AJ1130" t="n">
        <v>3</v>
      </c>
      <c r="AK1130" t="n">
        <v>3</v>
      </c>
      <c r="AL1130" t="n">
        <v>2</v>
      </c>
      <c r="AM1130" t="n">
        <v>2</v>
      </c>
      <c r="AN1130" t="n">
        <v>2</v>
      </c>
      <c r="AO1130" t="n">
        <v>2</v>
      </c>
      <c r="AP1130" t="n">
        <v>0</v>
      </c>
      <c r="AQ1130" t="n">
        <v>0</v>
      </c>
      <c r="AR1130" t="inlineStr">
        <is>
          <t>No</t>
        </is>
      </c>
      <c r="AS1130" t="inlineStr">
        <is>
          <t>Yes</t>
        </is>
      </c>
      <c r="AT1130">
        <f>HYPERLINK("http://catalog.hathitrust.org/Record/003244860","HathiTrust Record")</f>
        <v/>
      </c>
      <c r="AU1130">
        <f>HYPERLINK("https://creighton-primo.hosted.exlibrisgroup.com/primo-explore/search?tab=default_tab&amp;search_scope=EVERYTHING&amp;vid=01CRU&amp;lang=en_US&amp;offset=0&amp;query=any,contains,991001411659702656","Catalog Record")</f>
        <v/>
      </c>
      <c r="AV1130">
        <f>HYPERLINK("http://www.worldcat.org/oclc/36877397","WorldCat Record")</f>
        <v/>
      </c>
    </row>
    <row r="1131">
      <c r="D1131" t="inlineStr">
        <is>
          <t>QT 261 R345 1999</t>
        </is>
      </c>
      <c r="E1131" t="inlineStr">
        <is>
          <t>0                      QT 0261000R  345         1999</t>
        </is>
      </c>
      <c r="F1131" t="inlineStr">
        <is>
          <t>Rehabilitation techniques in sports medicine / [edited by] William E. Prentice.</t>
        </is>
      </c>
      <c r="H1131" t="inlineStr">
        <is>
          <t>No</t>
        </is>
      </c>
      <c r="I1131" t="inlineStr">
        <is>
          <t>1</t>
        </is>
      </c>
      <c r="J1131" t="inlineStr">
        <is>
          <t>No</t>
        </is>
      </c>
      <c r="K1131" t="inlineStr">
        <is>
          <t>Yes</t>
        </is>
      </c>
      <c r="L1131" t="inlineStr">
        <is>
          <t>0</t>
        </is>
      </c>
      <c r="N1131" t="inlineStr">
        <is>
          <t>Boston, Mass. : WCB/McGraw-Hill, c1999.</t>
        </is>
      </c>
      <c r="O1131" t="inlineStr">
        <is>
          <t>1999</t>
        </is>
      </c>
      <c r="P1131" t="inlineStr">
        <is>
          <t>3rd ed.</t>
        </is>
      </c>
      <c r="Q1131" t="inlineStr">
        <is>
          <t>eng</t>
        </is>
      </c>
      <c r="R1131" t="inlineStr">
        <is>
          <t>mau</t>
        </is>
      </c>
      <c r="T1131" t="inlineStr">
        <is>
          <t xml:space="preserve">QT </t>
        </is>
      </c>
      <c r="U1131" t="n">
        <v>10</v>
      </c>
      <c r="V1131" t="n">
        <v>10</v>
      </c>
      <c r="W1131" t="inlineStr">
        <is>
          <t>2004-10-27</t>
        </is>
      </c>
      <c r="X1131" t="inlineStr">
        <is>
          <t>2004-10-27</t>
        </is>
      </c>
      <c r="Y1131" t="inlineStr">
        <is>
          <t>1999-09-03</t>
        </is>
      </c>
      <c r="Z1131" t="inlineStr">
        <is>
          <t>1999-09-03</t>
        </is>
      </c>
      <c r="AA1131" t="n">
        <v>295</v>
      </c>
      <c r="AB1131" t="n">
        <v>223</v>
      </c>
      <c r="AC1131" t="n">
        <v>589</v>
      </c>
      <c r="AD1131" t="n">
        <v>4</v>
      </c>
      <c r="AE1131" t="n">
        <v>7</v>
      </c>
      <c r="AF1131" t="n">
        <v>11</v>
      </c>
      <c r="AG1131" t="n">
        <v>21</v>
      </c>
      <c r="AH1131" t="n">
        <v>4</v>
      </c>
      <c r="AI1131" t="n">
        <v>12</v>
      </c>
      <c r="AJ1131" t="n">
        <v>2</v>
      </c>
      <c r="AK1131" t="n">
        <v>3</v>
      </c>
      <c r="AL1131" t="n">
        <v>6</v>
      </c>
      <c r="AM1131" t="n">
        <v>8</v>
      </c>
      <c r="AN1131" t="n">
        <v>3</v>
      </c>
      <c r="AO1131" t="n">
        <v>5</v>
      </c>
      <c r="AP1131" t="n">
        <v>0</v>
      </c>
      <c r="AQ1131" t="n">
        <v>0</v>
      </c>
      <c r="AR1131" t="inlineStr">
        <is>
          <t>No</t>
        </is>
      </c>
      <c r="AS1131" t="inlineStr">
        <is>
          <t>Yes</t>
        </is>
      </c>
      <c r="AT1131">
        <f>HYPERLINK("http://catalog.hathitrust.org/Record/004239944","HathiTrust Record")</f>
        <v/>
      </c>
      <c r="AU1131">
        <f>HYPERLINK("https://creighton-primo.hosted.exlibrisgroup.com/primo-explore/search?tab=default_tab&amp;search_scope=EVERYTHING&amp;vid=01CRU&amp;lang=en_US&amp;offset=0&amp;query=any,contains,991000797349702656","Catalog Record")</f>
        <v/>
      </c>
      <c r="AV1131">
        <f>HYPERLINK("http://www.worldcat.org/oclc/38603040","WorldCat Record")</f>
        <v/>
      </c>
    </row>
    <row r="1132">
      <c r="D1132" t="inlineStr">
        <is>
          <t>QT 261 S763 1995</t>
        </is>
      </c>
      <c r="E1132" t="inlineStr">
        <is>
          <t>0                      QT 0261000S  763         1995</t>
        </is>
      </c>
      <c r="F1132" t="inlineStr">
        <is>
          <t>Physical therapy for sports / [edited by] Werner Kuprian, with the collaboration of Doris Eitner, Lutz Meissner, Helmut Ork ; translated by Todd Konjte and Lynn Braunsdorf.</t>
        </is>
      </c>
      <c r="H1132" t="inlineStr">
        <is>
          <t>No</t>
        </is>
      </c>
      <c r="I1132" t="inlineStr">
        <is>
          <t>1</t>
        </is>
      </c>
      <c r="J1132" t="inlineStr">
        <is>
          <t>No</t>
        </is>
      </c>
      <c r="K1132" t="inlineStr">
        <is>
          <t>Yes</t>
        </is>
      </c>
      <c r="L1132" t="inlineStr">
        <is>
          <t>0</t>
        </is>
      </c>
      <c r="M1132" t="inlineStr">
        <is>
          <t>Sport-Physiotherapie. English.</t>
        </is>
      </c>
      <c r="N1132" t="inlineStr">
        <is>
          <t>Philadelphia : W.B. Saunders, c1995.</t>
        </is>
      </c>
      <c r="O1132" t="inlineStr">
        <is>
          <t>1995</t>
        </is>
      </c>
      <c r="P1132" t="inlineStr">
        <is>
          <t>2nd ed.</t>
        </is>
      </c>
      <c r="Q1132" t="inlineStr">
        <is>
          <t>eng</t>
        </is>
      </c>
      <c r="R1132" t="inlineStr">
        <is>
          <t>pau</t>
        </is>
      </c>
      <c r="T1132" t="inlineStr">
        <is>
          <t xml:space="preserve">QT </t>
        </is>
      </c>
      <c r="U1132" t="n">
        <v>16</v>
      </c>
      <c r="V1132" t="n">
        <v>16</v>
      </c>
      <c r="W1132" t="inlineStr">
        <is>
          <t>1996-11-15</t>
        </is>
      </c>
      <c r="X1132" t="inlineStr">
        <is>
          <t>1996-11-15</t>
        </is>
      </c>
      <c r="Y1132" t="inlineStr">
        <is>
          <t>1995-06-22</t>
        </is>
      </c>
      <c r="Z1132" t="inlineStr">
        <is>
          <t>1995-06-22</t>
        </is>
      </c>
      <c r="AA1132" t="n">
        <v>261</v>
      </c>
      <c r="AB1132" t="n">
        <v>201</v>
      </c>
      <c r="AC1132" t="n">
        <v>390</v>
      </c>
      <c r="AD1132" t="n">
        <v>3</v>
      </c>
      <c r="AE1132" t="n">
        <v>6</v>
      </c>
      <c r="AF1132" t="n">
        <v>6</v>
      </c>
      <c r="AG1132" t="n">
        <v>10</v>
      </c>
      <c r="AH1132" t="n">
        <v>3</v>
      </c>
      <c r="AI1132" t="n">
        <v>4</v>
      </c>
      <c r="AJ1132" t="n">
        <v>0</v>
      </c>
      <c r="AK1132" t="n">
        <v>1</v>
      </c>
      <c r="AL1132" t="n">
        <v>1</v>
      </c>
      <c r="AM1132" t="n">
        <v>1</v>
      </c>
      <c r="AN1132" t="n">
        <v>2</v>
      </c>
      <c r="AO1132" t="n">
        <v>4</v>
      </c>
      <c r="AP1132" t="n">
        <v>0</v>
      </c>
      <c r="AQ1132" t="n">
        <v>0</v>
      </c>
      <c r="AR1132" t="inlineStr">
        <is>
          <t>No</t>
        </is>
      </c>
      <c r="AS1132" t="inlineStr">
        <is>
          <t>No</t>
        </is>
      </c>
      <c r="AU1132">
        <f>HYPERLINK("https://creighton-primo.hosted.exlibrisgroup.com/primo-explore/search?tab=default_tab&amp;search_scope=EVERYTHING&amp;vid=01CRU&amp;lang=en_US&amp;offset=0&amp;query=any,contains,991001401549702656","Catalog Record")</f>
        <v/>
      </c>
      <c r="AV1132">
        <f>HYPERLINK("http://www.worldcat.org/oclc/29954970","WorldCat Record")</f>
        <v/>
      </c>
    </row>
    <row r="1133">
      <c r="D1133" t="inlineStr">
        <is>
          <t>QT261 S7655 2005</t>
        </is>
      </c>
      <c r="E1133" t="inlineStr">
        <is>
          <t>0                      QT 0261000S  7655        2005</t>
        </is>
      </c>
      <c r="F1133" t="inlineStr">
        <is>
          <t>Sports medicine : a comprehensive approach / [edited by] Giles R. Scuderi, Peter D. McCann.</t>
        </is>
      </c>
      <c r="H1133" t="inlineStr">
        <is>
          <t>No</t>
        </is>
      </c>
      <c r="I1133" t="inlineStr">
        <is>
          <t>1</t>
        </is>
      </c>
      <c r="J1133" t="inlineStr">
        <is>
          <t>No</t>
        </is>
      </c>
      <c r="K1133" t="inlineStr">
        <is>
          <t>No</t>
        </is>
      </c>
      <c r="L1133" t="inlineStr">
        <is>
          <t>0</t>
        </is>
      </c>
      <c r="N1133" t="inlineStr">
        <is>
          <t>Philadelphia : Mosby-Elsevier, c2005.</t>
        </is>
      </c>
      <c r="O1133" t="inlineStr">
        <is>
          <t>2005</t>
        </is>
      </c>
      <c r="P1133" t="inlineStr">
        <is>
          <t>2nd ed.</t>
        </is>
      </c>
      <c r="Q1133" t="inlineStr">
        <is>
          <t>eng</t>
        </is>
      </c>
      <c r="R1133" t="inlineStr">
        <is>
          <t>pau</t>
        </is>
      </c>
      <c r="T1133" t="inlineStr">
        <is>
          <t xml:space="preserve">QT </t>
        </is>
      </c>
      <c r="U1133" t="n">
        <v>2</v>
      </c>
      <c r="V1133" t="n">
        <v>2</v>
      </c>
      <c r="W1133" t="inlineStr">
        <is>
          <t>2006-01-30</t>
        </is>
      </c>
      <c r="X1133" t="inlineStr">
        <is>
          <t>2006-01-30</t>
        </is>
      </c>
      <c r="Y1133" t="inlineStr">
        <is>
          <t>2006-01-19</t>
        </is>
      </c>
      <c r="Z1133" t="inlineStr">
        <is>
          <t>2006-01-19</t>
        </is>
      </c>
      <c r="AA1133" t="n">
        <v>216</v>
      </c>
      <c r="AB1133" t="n">
        <v>151</v>
      </c>
      <c r="AC1133" t="n">
        <v>174</v>
      </c>
      <c r="AD1133" t="n">
        <v>2</v>
      </c>
      <c r="AE1133" t="n">
        <v>2</v>
      </c>
      <c r="AF1133" t="n">
        <v>6</v>
      </c>
      <c r="AG1133" t="n">
        <v>8</v>
      </c>
      <c r="AH1133" t="n">
        <v>2</v>
      </c>
      <c r="AI1133" t="n">
        <v>2</v>
      </c>
      <c r="AJ1133" t="n">
        <v>2</v>
      </c>
      <c r="AK1133" t="n">
        <v>3</v>
      </c>
      <c r="AL1133" t="n">
        <v>2</v>
      </c>
      <c r="AM1133" t="n">
        <v>3</v>
      </c>
      <c r="AN1133" t="n">
        <v>1</v>
      </c>
      <c r="AO1133" t="n">
        <v>1</v>
      </c>
      <c r="AP1133" t="n">
        <v>0</v>
      </c>
      <c r="AQ1133" t="n">
        <v>0</v>
      </c>
      <c r="AR1133" t="inlineStr">
        <is>
          <t>No</t>
        </is>
      </c>
      <c r="AS1133" t="inlineStr">
        <is>
          <t>Yes</t>
        </is>
      </c>
      <c r="AT1133">
        <f>HYPERLINK("http://catalog.hathitrust.org/Record/004766430","HathiTrust Record")</f>
        <v/>
      </c>
      <c r="AU1133">
        <f>HYPERLINK("https://creighton-primo.hosted.exlibrisgroup.com/primo-explore/search?tab=default_tab&amp;search_scope=EVERYTHING&amp;vid=01CRU&amp;lang=en_US&amp;offset=0&amp;query=any,contains,991000455929702656","Catalog Record")</f>
        <v/>
      </c>
      <c r="AV1133">
        <f>HYPERLINK("http://www.worldcat.org/oclc/54914260","WorldCat Record")</f>
        <v/>
      </c>
    </row>
    <row r="1134">
      <c r="D1134" t="inlineStr">
        <is>
          <t>QT261 S768 2007</t>
        </is>
      </c>
      <c r="E1134" t="inlineStr">
        <is>
          <t>0                      QT 0261000S  768         2007</t>
        </is>
      </c>
      <c r="F1134" t="inlineStr">
        <is>
          <t>Sports-specific rehabilitation / [edited by] Robert Donatelli.</t>
        </is>
      </c>
      <c r="H1134" t="inlineStr">
        <is>
          <t>No</t>
        </is>
      </c>
      <c r="I1134" t="inlineStr">
        <is>
          <t>1</t>
        </is>
      </c>
      <c r="J1134" t="inlineStr">
        <is>
          <t>No</t>
        </is>
      </c>
      <c r="K1134" t="inlineStr">
        <is>
          <t>No</t>
        </is>
      </c>
      <c r="L1134" t="inlineStr">
        <is>
          <t>0</t>
        </is>
      </c>
      <c r="N1134" t="inlineStr">
        <is>
          <t>St. Louis, Mo. : Churchill Livingstone/Elsevier, c2007.</t>
        </is>
      </c>
      <c r="O1134" t="inlineStr">
        <is>
          <t>2007</t>
        </is>
      </c>
      <c r="Q1134" t="inlineStr">
        <is>
          <t>eng</t>
        </is>
      </c>
      <c r="R1134" t="inlineStr">
        <is>
          <t>mou</t>
        </is>
      </c>
      <c r="T1134" t="inlineStr">
        <is>
          <t xml:space="preserve">QT </t>
        </is>
      </c>
      <c r="U1134" t="n">
        <v>5</v>
      </c>
      <c r="V1134" t="n">
        <v>5</v>
      </c>
      <c r="W1134" t="inlineStr">
        <is>
          <t>2008-05-16</t>
        </is>
      </c>
      <c r="X1134" t="inlineStr">
        <is>
          <t>2008-05-16</t>
        </is>
      </c>
      <c r="Y1134" t="inlineStr">
        <is>
          <t>2007-12-13</t>
        </is>
      </c>
      <c r="Z1134" t="inlineStr">
        <is>
          <t>2007-12-13</t>
        </is>
      </c>
      <c r="AA1134" t="n">
        <v>261</v>
      </c>
      <c r="AB1134" t="n">
        <v>177</v>
      </c>
      <c r="AC1134" t="n">
        <v>232</v>
      </c>
      <c r="AD1134" t="n">
        <v>2</v>
      </c>
      <c r="AE1134" t="n">
        <v>2</v>
      </c>
      <c r="AF1134" t="n">
        <v>8</v>
      </c>
      <c r="AG1134" t="n">
        <v>9</v>
      </c>
      <c r="AH1134" t="n">
        <v>5</v>
      </c>
      <c r="AI1134" t="n">
        <v>5</v>
      </c>
      <c r="AJ1134" t="n">
        <v>1</v>
      </c>
      <c r="AK1134" t="n">
        <v>2</v>
      </c>
      <c r="AL1134" t="n">
        <v>2</v>
      </c>
      <c r="AM1134" t="n">
        <v>2</v>
      </c>
      <c r="AN1134" t="n">
        <v>1</v>
      </c>
      <c r="AO1134" t="n">
        <v>1</v>
      </c>
      <c r="AP1134" t="n">
        <v>0</v>
      </c>
      <c r="AQ1134" t="n">
        <v>0</v>
      </c>
      <c r="AR1134" t="inlineStr">
        <is>
          <t>No</t>
        </is>
      </c>
      <c r="AS1134" t="inlineStr">
        <is>
          <t>Yes</t>
        </is>
      </c>
      <c r="AT1134">
        <f>HYPERLINK("http://catalog.hathitrust.org/Record/005675330","HathiTrust Record")</f>
        <v/>
      </c>
      <c r="AU1134">
        <f>HYPERLINK("https://creighton-primo.hosted.exlibrisgroup.com/primo-explore/search?tab=default_tab&amp;search_scope=EVERYTHING&amp;vid=01CRU&amp;lang=en_US&amp;offset=0&amp;query=any,contains,991000666259702656","Catalog Record")</f>
        <v/>
      </c>
      <c r="AV1134">
        <f>HYPERLINK("http://www.worldcat.org/oclc/76805471","WorldCat Record")</f>
        <v/>
      </c>
    </row>
    <row r="1135">
      <c r="D1135" t="inlineStr">
        <is>
          <t>QT261 S795e 2002</t>
        </is>
      </c>
      <c r="E1135" t="inlineStr">
        <is>
          <t>0                      QT 0261000S  795e        2002</t>
        </is>
      </c>
      <c r="F1135" t="inlineStr">
        <is>
          <t>Evaluation of orthopedic and athletic injuries / Chad Starkey, Jeffrey L. Ryan.</t>
        </is>
      </c>
      <c r="H1135" t="inlineStr">
        <is>
          <t>No</t>
        </is>
      </c>
      <c r="I1135" t="inlineStr">
        <is>
          <t>1</t>
        </is>
      </c>
      <c r="J1135" t="inlineStr">
        <is>
          <t>Yes</t>
        </is>
      </c>
      <c r="K1135" t="inlineStr">
        <is>
          <t>No</t>
        </is>
      </c>
      <c r="L1135" t="inlineStr">
        <is>
          <t>0</t>
        </is>
      </c>
      <c r="M1135" t="inlineStr">
        <is>
          <t>Starkey, Chad, 1959-</t>
        </is>
      </c>
      <c r="N1135" t="inlineStr">
        <is>
          <t>Philadelphia, PA : F.A. Davis Co., c2002.</t>
        </is>
      </c>
      <c r="O1135" t="inlineStr">
        <is>
          <t>2002</t>
        </is>
      </c>
      <c r="P1135" t="inlineStr">
        <is>
          <t>2nd ed.</t>
        </is>
      </c>
      <c r="Q1135" t="inlineStr">
        <is>
          <t>eng</t>
        </is>
      </c>
      <c r="R1135" t="inlineStr">
        <is>
          <t>pau</t>
        </is>
      </c>
      <c r="T1135" t="inlineStr">
        <is>
          <t xml:space="preserve">QT </t>
        </is>
      </c>
      <c r="U1135" t="n">
        <v>2</v>
      </c>
      <c r="V1135" t="n">
        <v>4</v>
      </c>
      <c r="W1135" t="inlineStr">
        <is>
          <t>2004-11-01</t>
        </is>
      </c>
      <c r="X1135" t="inlineStr">
        <is>
          <t>2004-11-01</t>
        </is>
      </c>
      <c r="Y1135" t="inlineStr">
        <is>
          <t>2002-02-22</t>
        </is>
      </c>
      <c r="Z1135" t="inlineStr">
        <is>
          <t>2004-10-16</t>
        </is>
      </c>
      <c r="AA1135" t="n">
        <v>249</v>
      </c>
      <c r="AB1135" t="n">
        <v>211</v>
      </c>
      <c r="AC1135" t="n">
        <v>393</v>
      </c>
      <c r="AD1135" t="n">
        <v>3</v>
      </c>
      <c r="AE1135" t="n">
        <v>5</v>
      </c>
      <c r="AF1135" t="n">
        <v>8</v>
      </c>
      <c r="AG1135" t="n">
        <v>16</v>
      </c>
      <c r="AH1135" t="n">
        <v>3</v>
      </c>
      <c r="AI1135" t="n">
        <v>8</v>
      </c>
      <c r="AJ1135" t="n">
        <v>2</v>
      </c>
      <c r="AK1135" t="n">
        <v>4</v>
      </c>
      <c r="AL1135" t="n">
        <v>4</v>
      </c>
      <c r="AM1135" t="n">
        <v>6</v>
      </c>
      <c r="AN1135" t="n">
        <v>1</v>
      </c>
      <c r="AO1135" t="n">
        <v>3</v>
      </c>
      <c r="AP1135" t="n">
        <v>0</v>
      </c>
      <c r="AQ1135" t="n">
        <v>0</v>
      </c>
      <c r="AR1135" t="inlineStr">
        <is>
          <t>No</t>
        </is>
      </c>
      <c r="AS1135" t="inlineStr">
        <is>
          <t>No</t>
        </is>
      </c>
      <c r="AU1135">
        <f>HYPERLINK("https://creighton-primo.hosted.exlibrisgroup.com/primo-explore/search?tab=default_tab&amp;search_scope=EVERYTHING&amp;vid=01CRU&amp;lang=en_US&amp;offset=0&amp;query=any,contains,991001712129702656","Catalog Record")</f>
        <v/>
      </c>
      <c r="AV1135">
        <f>HYPERLINK("http://www.worldcat.org/oclc/46713179","WorldCat Record")</f>
        <v/>
      </c>
    </row>
    <row r="1136">
      <c r="D1136" t="inlineStr">
        <is>
          <t>QT 261 S795t 1999</t>
        </is>
      </c>
      <c r="E1136" t="inlineStr">
        <is>
          <t>0                      QT 0261000S  795t        1999</t>
        </is>
      </c>
      <c r="F1136" t="inlineStr">
        <is>
          <t>Therapeutic modalities / Chad Starkey.</t>
        </is>
      </c>
      <c r="H1136" t="inlineStr">
        <is>
          <t>No</t>
        </is>
      </c>
      <c r="I1136" t="inlineStr">
        <is>
          <t>1</t>
        </is>
      </c>
      <c r="J1136" t="inlineStr">
        <is>
          <t>No</t>
        </is>
      </c>
      <c r="K1136" t="inlineStr">
        <is>
          <t>Yes</t>
        </is>
      </c>
      <c r="L1136" t="inlineStr">
        <is>
          <t>0</t>
        </is>
      </c>
      <c r="M1136" t="inlineStr">
        <is>
          <t>Starkey, Chad, 1959-</t>
        </is>
      </c>
      <c r="N1136" t="inlineStr">
        <is>
          <t>Philadelphia : F.A. Davis, c1999.</t>
        </is>
      </c>
      <c r="O1136" t="inlineStr">
        <is>
          <t>1999</t>
        </is>
      </c>
      <c r="P1136" t="inlineStr">
        <is>
          <t>2nd ed.</t>
        </is>
      </c>
      <c r="Q1136" t="inlineStr">
        <is>
          <t>eng</t>
        </is>
      </c>
      <c r="R1136" t="inlineStr">
        <is>
          <t>pau</t>
        </is>
      </c>
      <c r="T1136" t="inlineStr">
        <is>
          <t xml:space="preserve">QT </t>
        </is>
      </c>
      <c r="U1136" t="n">
        <v>14</v>
      </c>
      <c r="V1136" t="n">
        <v>14</v>
      </c>
      <c r="W1136" t="inlineStr">
        <is>
          <t>2004-06-25</t>
        </is>
      </c>
      <c r="X1136" t="inlineStr">
        <is>
          <t>2004-06-25</t>
        </is>
      </c>
      <c r="Y1136" t="inlineStr">
        <is>
          <t>1998-10-09</t>
        </is>
      </c>
      <c r="Z1136" t="inlineStr">
        <is>
          <t>1998-10-09</t>
        </is>
      </c>
      <c r="AA1136" t="n">
        <v>240</v>
      </c>
      <c r="AB1136" t="n">
        <v>212</v>
      </c>
      <c r="AC1136" t="n">
        <v>466</v>
      </c>
      <c r="AD1136" t="n">
        <v>1</v>
      </c>
      <c r="AE1136" t="n">
        <v>5</v>
      </c>
      <c r="AF1136" t="n">
        <v>5</v>
      </c>
      <c r="AG1136" t="n">
        <v>9</v>
      </c>
      <c r="AH1136" t="n">
        <v>3</v>
      </c>
      <c r="AI1136" t="n">
        <v>4</v>
      </c>
      <c r="AJ1136" t="n">
        <v>3</v>
      </c>
      <c r="AK1136" t="n">
        <v>3</v>
      </c>
      <c r="AL1136" t="n">
        <v>1</v>
      </c>
      <c r="AM1136" t="n">
        <v>1</v>
      </c>
      <c r="AN1136" t="n">
        <v>0</v>
      </c>
      <c r="AO1136" t="n">
        <v>3</v>
      </c>
      <c r="AP1136" t="n">
        <v>0</v>
      </c>
      <c r="AQ1136" t="n">
        <v>0</v>
      </c>
      <c r="AR1136" t="inlineStr">
        <is>
          <t>No</t>
        </is>
      </c>
      <c r="AS1136" t="inlineStr">
        <is>
          <t>Yes</t>
        </is>
      </c>
      <c r="AT1136">
        <f>HYPERLINK("http://catalog.hathitrust.org/Record/003271024","HathiTrust Record")</f>
        <v/>
      </c>
      <c r="AU1136">
        <f>HYPERLINK("https://creighton-primo.hosted.exlibrisgroup.com/primo-explore/search?tab=default_tab&amp;search_scope=EVERYTHING&amp;vid=01CRU&amp;lang=en_US&amp;offset=0&amp;query=any,contains,991001570489702656","Catalog Record")</f>
        <v/>
      </c>
      <c r="AV1136">
        <f>HYPERLINK("http://www.worldcat.org/oclc/38603038","WorldCat Record")</f>
        <v/>
      </c>
    </row>
    <row r="1137">
      <c r="D1137" t="inlineStr">
        <is>
          <t>QT 261 T398 2003</t>
        </is>
      </c>
      <c r="E1137" t="inlineStr">
        <is>
          <t>0                      QT 0261000T  398         2003</t>
        </is>
      </c>
      <c r="F1137" t="inlineStr">
        <is>
          <t>Therapeutic modalities : for sports medicine and athletic training / [edited by] William E. Prentice.</t>
        </is>
      </c>
      <c r="H1137" t="inlineStr">
        <is>
          <t>No</t>
        </is>
      </c>
      <c r="I1137" t="inlineStr">
        <is>
          <t>1</t>
        </is>
      </c>
      <c r="J1137" t="inlineStr">
        <is>
          <t>No</t>
        </is>
      </c>
      <c r="K1137" t="inlineStr">
        <is>
          <t>Yes</t>
        </is>
      </c>
      <c r="L1137" t="inlineStr">
        <is>
          <t>0</t>
        </is>
      </c>
      <c r="N1137" t="inlineStr">
        <is>
          <t>Boston : McGraw-Hill, c2003.</t>
        </is>
      </c>
      <c r="O1137" t="inlineStr">
        <is>
          <t>2003</t>
        </is>
      </c>
      <c r="P1137" t="inlineStr">
        <is>
          <t>5th ed.</t>
        </is>
      </c>
      <c r="Q1137" t="inlineStr">
        <is>
          <t>eng</t>
        </is>
      </c>
      <c r="R1137" t="inlineStr">
        <is>
          <t>mau</t>
        </is>
      </c>
      <c r="T1137" t="inlineStr">
        <is>
          <t xml:space="preserve">QT </t>
        </is>
      </c>
      <c r="U1137" t="n">
        <v>2</v>
      </c>
      <c r="V1137" t="n">
        <v>2</v>
      </c>
      <c r="W1137" t="inlineStr">
        <is>
          <t>2008-09-02</t>
        </is>
      </c>
      <c r="X1137" t="inlineStr">
        <is>
          <t>2008-09-02</t>
        </is>
      </c>
      <c r="Y1137" t="inlineStr">
        <is>
          <t>2004-09-08</t>
        </is>
      </c>
      <c r="Z1137" t="inlineStr">
        <is>
          <t>2004-09-08</t>
        </is>
      </c>
      <c r="AA1137" t="n">
        <v>145</v>
      </c>
      <c r="AB1137" t="n">
        <v>124</v>
      </c>
      <c r="AC1137" t="n">
        <v>687</v>
      </c>
      <c r="AD1137" t="n">
        <v>1</v>
      </c>
      <c r="AE1137" t="n">
        <v>8</v>
      </c>
      <c r="AF1137" t="n">
        <v>5</v>
      </c>
      <c r="AG1137" t="n">
        <v>25</v>
      </c>
      <c r="AH1137" t="n">
        <v>4</v>
      </c>
      <c r="AI1137" t="n">
        <v>12</v>
      </c>
      <c r="AJ1137" t="n">
        <v>1</v>
      </c>
      <c r="AK1137" t="n">
        <v>5</v>
      </c>
      <c r="AL1137" t="n">
        <v>1</v>
      </c>
      <c r="AM1137" t="n">
        <v>7</v>
      </c>
      <c r="AN1137" t="n">
        <v>0</v>
      </c>
      <c r="AO1137" t="n">
        <v>6</v>
      </c>
      <c r="AP1137" t="n">
        <v>0</v>
      </c>
      <c r="AQ1137" t="n">
        <v>0</v>
      </c>
      <c r="AR1137" t="inlineStr">
        <is>
          <t>No</t>
        </is>
      </c>
      <c r="AS1137" t="inlineStr">
        <is>
          <t>No</t>
        </is>
      </c>
      <c r="AU1137">
        <f>HYPERLINK("https://creighton-primo.hosted.exlibrisgroup.com/primo-explore/search?tab=default_tab&amp;search_scope=EVERYTHING&amp;vid=01CRU&amp;lang=en_US&amp;offset=0&amp;query=any,contains,991000384359702656","Catalog Record")</f>
        <v/>
      </c>
      <c r="AV1137">
        <f>HYPERLINK("http://www.worldcat.org/oclc/48957905","WorldCat Record")</f>
        <v/>
      </c>
    </row>
    <row r="1138">
      <c r="D1138" t="inlineStr">
        <is>
          <t>QT 261 T3983L 2003</t>
        </is>
      </c>
      <c r="E1138" t="inlineStr">
        <is>
          <t>0                      QT 0261000T  3983L       2003</t>
        </is>
      </c>
      <c r="F1138" t="inlineStr">
        <is>
          <t>Laboratory manual to accompany Therapeutic modalities in sports medicine, Fifth edition / William E. Prentice ; prepared by William S. Quillen, Frank B. Underwood.</t>
        </is>
      </c>
      <c r="H1138" t="inlineStr">
        <is>
          <t>No</t>
        </is>
      </c>
      <c r="I1138" t="inlineStr">
        <is>
          <t>1</t>
        </is>
      </c>
      <c r="J1138" t="inlineStr">
        <is>
          <t>No</t>
        </is>
      </c>
      <c r="K1138" t="inlineStr">
        <is>
          <t>No</t>
        </is>
      </c>
      <c r="L1138" t="inlineStr">
        <is>
          <t>0</t>
        </is>
      </c>
      <c r="M1138" t="inlineStr">
        <is>
          <t>Quillen, William S.</t>
        </is>
      </c>
      <c r="N1138" t="inlineStr">
        <is>
          <t>Boston : McGraw-Hill, c2003.</t>
        </is>
      </c>
      <c r="O1138" t="inlineStr">
        <is>
          <t>2003</t>
        </is>
      </c>
      <c r="Q1138" t="inlineStr">
        <is>
          <t>eng</t>
        </is>
      </c>
      <c r="R1138" t="inlineStr">
        <is>
          <t>mau</t>
        </is>
      </c>
      <c r="T1138" t="inlineStr">
        <is>
          <t xml:space="preserve">QT </t>
        </is>
      </c>
      <c r="U1138" t="n">
        <v>0</v>
      </c>
      <c r="V1138" t="n">
        <v>0</v>
      </c>
      <c r="W1138" t="inlineStr">
        <is>
          <t>2004-09-09</t>
        </is>
      </c>
      <c r="X1138" t="inlineStr">
        <is>
          <t>2004-09-09</t>
        </is>
      </c>
      <c r="Y1138" t="inlineStr">
        <is>
          <t>2004-09-08</t>
        </is>
      </c>
      <c r="Z1138" t="inlineStr">
        <is>
          <t>2004-09-08</t>
        </is>
      </c>
      <c r="AA1138" t="n">
        <v>31</v>
      </c>
      <c r="AB1138" t="n">
        <v>27</v>
      </c>
      <c r="AC1138" t="n">
        <v>27</v>
      </c>
      <c r="AD1138" t="n">
        <v>1</v>
      </c>
      <c r="AE1138" t="n">
        <v>1</v>
      </c>
      <c r="AF1138" t="n">
        <v>1</v>
      </c>
      <c r="AG1138" t="n">
        <v>1</v>
      </c>
      <c r="AH1138" t="n">
        <v>0</v>
      </c>
      <c r="AI1138" t="n">
        <v>0</v>
      </c>
      <c r="AJ1138" t="n">
        <v>1</v>
      </c>
      <c r="AK1138" t="n">
        <v>1</v>
      </c>
      <c r="AL1138" t="n">
        <v>1</v>
      </c>
      <c r="AM1138" t="n">
        <v>1</v>
      </c>
      <c r="AN1138" t="n">
        <v>0</v>
      </c>
      <c r="AO1138" t="n">
        <v>0</v>
      </c>
      <c r="AP1138" t="n">
        <v>0</v>
      </c>
      <c r="AQ1138" t="n">
        <v>0</v>
      </c>
      <c r="AR1138" t="inlineStr">
        <is>
          <t>No</t>
        </is>
      </c>
      <c r="AS1138" t="inlineStr">
        <is>
          <t>No</t>
        </is>
      </c>
      <c r="AU1138">
        <f>HYPERLINK("https://creighton-primo.hosted.exlibrisgroup.com/primo-explore/search?tab=default_tab&amp;search_scope=EVERYTHING&amp;vid=01CRU&amp;lang=en_US&amp;offset=0&amp;query=any,contains,991000384389702656","Catalog Record")</f>
        <v/>
      </c>
      <c r="AV1138">
        <f>HYPERLINK("http://www.worldcat.org/oclc/50997558","WorldCat Record")</f>
        <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2022-07-15T00:43:46Z</dcterms:created>
  <dcterms:modified xsi:type="dcterms:W3CDTF">2022-07-15T00:43:46Z</dcterms:modified>
</cp:coreProperties>
</file>